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rinterSettings/printerSettings7.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ATA\PRICING&amp;RATES\Rate Case\Rate Design\2024 Rate Case Rate Design MFRs\Submitted Models\"/>
    </mc:Choice>
  </mc:AlternateContent>
  <xr:revisionPtr revIDLastSave="0" documentId="13_ncr:1_{66A74A19-43B2-4880-BE13-7651AFEB5348}" xr6:coauthVersionLast="47" xr6:coauthVersionMax="47" xr10:uidLastSave="{00000000-0000-0000-0000-000000000000}"/>
  <bookViews>
    <workbookView xWindow="-120" yWindow="-120" windowWidth="29040" windowHeight="15840" xr2:uid="{8FE50105-0CC5-410D-B667-1B79DF47E4A3}"/>
  </bookViews>
  <sheets>
    <sheet name="2025 Org Base Case BDs" sheetId="16" r:id="rId1"/>
    <sheet name="2025 Billing Determinants" sheetId="1" r:id="rId2"/>
    <sheet name="2025 Calendar Year BDs" sheetId="25" r:id="rId3"/>
    <sheet name="AMI Opt Out" sheetId="32" r:id="rId4"/>
    <sheet name="CISR &amp; EDR" sheetId="33" r:id="rId5"/>
    <sheet name="2024 Base Rates" sheetId="8" r:id="rId6"/>
    <sheet name="Time of Day Inputs" sheetId="18" r:id="rId7"/>
    <sheet name="2025 Lighting BDs" sheetId="26" r:id="rId8"/>
    <sheet name="2024 Lighting Rates" sheetId="27" r:id="rId9"/>
    <sheet name="LS-2 Facilities Input" sheetId="31" r:id="rId10"/>
    <sheet name="Operating Revenue Requirement" sheetId="10" r:id="rId11"/>
    <sheet name="Service Charges Allocation Fact" sheetId="30" r:id="rId12"/>
    <sheet name="A-2 for RS_GS_GSD" sheetId="19" r:id="rId13"/>
    <sheet name="A-2 FOR GSLDPR_GSLDTPR_GSLDSU" sheetId="20" r:id="rId14"/>
    <sheet name="A-3" sheetId="21" r:id="rId15"/>
    <sheet name="E-5" sheetId="34" r:id="rId16"/>
    <sheet name="E-8" sheetId="29" r:id="rId17"/>
    <sheet name="E-12" sheetId="23" r:id="rId18"/>
    <sheet name="E-13a" sheetId="13" r:id="rId19"/>
    <sheet name="Cover Page E-13c" sheetId="9" r:id="rId20"/>
    <sheet name="2025 RS Rate Class E-13c" sheetId="3" r:id="rId21"/>
    <sheet name="2025 GS Rate Class E-13c" sheetId="4" r:id="rId22"/>
    <sheet name="2025 GSD Rate Class E-13c" sheetId="5" r:id="rId23"/>
    <sheet name="2025 GSLDPR Rate Class E-13c" sheetId="6" r:id="rId24"/>
    <sheet name="2025 GSLDSU Rate Class E-13c" sheetId="11" r:id="rId25"/>
    <sheet name="2025 LS Rate Class E-13c" sheetId="7" r:id="rId26"/>
    <sheet name="E-13d" sheetId="24" r:id="rId27"/>
    <sheet name="E-14 Supp A Pages 1-9" sheetId="35" r:id="rId28"/>
    <sheet name="Unit Cost Rate Design Input" sheetId="17" r:id="rId29"/>
    <sheet name="2025 Base Rates" sheetId="14" r:id="rId30"/>
  </sheets>
  <externalReferences>
    <externalReference r:id="rId31"/>
    <externalReference r:id="rId32"/>
    <externalReference r:id="rId33"/>
  </externalReferences>
  <definedNames>
    <definedName name="\S">#REF!</definedName>
    <definedName name="_12MEACT">#REF!</definedName>
    <definedName name="_12MEBUD">#REF!</definedName>
    <definedName name="_Key1" hidden="1">#REF!</definedName>
    <definedName name="_Order1" hidden="1">255</definedName>
    <definedName name="_Sort" hidden="1">#REF!</definedName>
    <definedName name="a">#REF!</definedName>
    <definedName name="ADJTS">#REF!</definedName>
    <definedName name="AP_OTHER">#REF!</definedName>
    <definedName name="ASSUMPTIONS">#REF!</definedName>
    <definedName name="BAL">#REF!</definedName>
    <definedName name="BalDat">#REF!</definedName>
    <definedName name="BalDatData" localSheetId="13">#REF!</definedName>
    <definedName name="BalDatData" localSheetId="12">#REF!</definedName>
    <definedName name="BalDatData" localSheetId="14">#REF!</definedName>
    <definedName name="BalDatData" localSheetId="17">#REF!</definedName>
    <definedName name="BalDatData" localSheetId="27">#REF!</definedName>
    <definedName name="BalDatData">#REF!</definedName>
    <definedName name="BegMonth" localSheetId="27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ASHFLS">#REF!</definedName>
    <definedName name="CF_Forecast">#REF!</definedName>
    <definedName name="CF_Plan2">#REF!</definedName>
    <definedName name="CMACT">#REF!</definedName>
    <definedName name="CMBUD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#REF!</definedName>
    <definedName name="DEC">#REF!</definedName>
    <definedName name="DEC_Proj">#REF!</definedName>
    <definedName name="DETAIL146234">#REF!</definedName>
    <definedName name="docket">#REF!</definedName>
    <definedName name="DocketNum" localSheetId="13">'[1]Page Set-up'!$B$5</definedName>
    <definedName name="DocketNum" localSheetId="14">'[1]Page Set-up'!$B$5</definedName>
    <definedName name="DocketNum" localSheetId="17">#REF!</definedName>
    <definedName name="DocketNum" localSheetId="27">#REF!</definedName>
    <definedName name="DocketNum">#REF!</definedName>
    <definedName name="DocKetNumber">#REF!</definedName>
    <definedName name="DOWNLOAD">#REF!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">#REF!</definedName>
    <definedName name="FOR_DENISE_O.">#REF!</definedName>
    <definedName name="FullDocketNumber">#REF!</definedName>
    <definedName name="GLDOWNLOAD">#REF!</definedName>
    <definedName name="HistYear" localSheetId="13">'[1]Page Set-up'!$B$17</definedName>
    <definedName name="HistYear" localSheetId="12">'[2]Page Set-up'!$B$17</definedName>
    <definedName name="HistYear" localSheetId="14">'[1]Page Set-up'!$B$17</definedName>
    <definedName name="HistYear" localSheetId="17">#REF!</definedName>
    <definedName name="HistYear" localSheetId="27">#REF!</definedName>
    <definedName name="HistYear">#REF!</definedName>
    <definedName name="IncTax_GainDisp">#REF!</definedName>
    <definedName name="intangibles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Meter_Type_1">#REF!</definedName>
    <definedName name="Meter_Type_10">#REF!</definedName>
    <definedName name="Meter_Type_2">#REF!</definedName>
    <definedName name="Meter_Type_3">#REF!</definedName>
    <definedName name="Meter_Type_4">#REF!</definedName>
    <definedName name="Meter_Type_5">#REF!</definedName>
    <definedName name="Meter_Type_6">#REF!</definedName>
    <definedName name="Meter_Type_7">#REF!</definedName>
    <definedName name="Meter_Type_8">#REF!</definedName>
    <definedName name="Meter_Type_9">#REF!</definedName>
    <definedName name="No_Cust_GS_1PH_Egy">#REF!</definedName>
    <definedName name="No_Cust_GS_1PH_TOU">#REF!</definedName>
    <definedName name="No_Cust_GS_3PH_EGY">#REF!</definedName>
    <definedName name="No_Cust_GS_3PH_TOU">#REF!</definedName>
    <definedName name="No_Cust_GSD_Pri_Dem">#REF!</definedName>
    <definedName name="No_Cust_GSD_Pri_Rec">#REF!</definedName>
    <definedName name="No_Cust_GSD_Sec_Dem">#REF!</definedName>
    <definedName name="No_Cust_GSD_Sec_Egy">#REF!</definedName>
    <definedName name="No_Cust_GSLD_Pri_Rec">#REF!</definedName>
    <definedName name="No_Cust_GSLD_Sec_Rec">#REF!</definedName>
    <definedName name="No_Cust_GSLD_TRANSM">#REF!</definedName>
    <definedName name="No_Cust_IS_Pri">#REF!</definedName>
    <definedName name="No_Cust_IS_TRANSM">#REF!</definedName>
    <definedName name="No_Cust_RS_1PH">#REF!</definedName>
    <definedName name="No_Cust_RS_AMR">#REF!</definedName>
    <definedName name="No_Cust_RS_TOU">#REF!</definedName>
    <definedName name="No_Cust_SL_OL">#REF!</definedName>
    <definedName name="NOI">#REF!</definedName>
    <definedName name="OTHER_CF">#REF!</definedName>
    <definedName name="OTHER_CR">#REF!</definedName>
    <definedName name="P_10">#REF!</definedName>
    <definedName name="P_4">'[3]E-10_120_series 4CP'!#REF!</definedName>
    <definedName name="P_9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A">#REF!</definedName>
    <definedName name="PAGE2B">#REF!</definedName>
    <definedName name="PAGE4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E_CPYIS">#REF!</definedName>
    <definedName name="PLine1" localSheetId="13">'[1]Page Set-up'!$B$8</definedName>
    <definedName name="PLine1" localSheetId="14">'[1]Page Set-up'!$B$8</definedName>
    <definedName name="PLine1" localSheetId="17">#REF!</definedName>
    <definedName name="PLine1" localSheetId="27">#REF!</definedName>
    <definedName name="PLine1">#REF!</definedName>
    <definedName name="PLine2" localSheetId="13">'[1]Page Set-up'!$B$9</definedName>
    <definedName name="PLine2" localSheetId="14">'[1]Page Set-up'!$B$9</definedName>
    <definedName name="PLine2" localSheetId="17">#REF!</definedName>
    <definedName name="PLine2" localSheetId="27">#REF!</definedName>
    <definedName name="PLine2">#REF!</definedName>
    <definedName name="PLine3" localSheetId="13">'[1]Page Set-up'!$B$10</definedName>
    <definedName name="PLine3" localSheetId="14">'[1]Page Set-up'!$B$10</definedName>
    <definedName name="PLine3" localSheetId="17">#REF!</definedName>
    <definedName name="PLine3" localSheetId="27">#REF!</definedName>
    <definedName name="PLine3">#REF!</definedName>
    <definedName name="PLine4" localSheetId="13">'[1]Page Set-up'!$B$11</definedName>
    <definedName name="PLine4" localSheetId="14">'[1]Page Set-up'!$B$11</definedName>
    <definedName name="PLine4" localSheetId="17">#REF!</definedName>
    <definedName name="PLine4" localSheetId="27">#REF!</definedName>
    <definedName name="PLine4">#REF!</definedName>
    <definedName name="PP_51004_NO_CB">#REF!</definedName>
    <definedName name="_xlnm.Print_Area" localSheetId="21">'2025 GS Rate Class E-13c'!$D$57:$V$110</definedName>
    <definedName name="_xlnm.Print_Area" localSheetId="22">'2025 GSD Rate Class E-13c'!$E$327:$W$380</definedName>
    <definedName name="_xlnm.Print_Area" localSheetId="23">'2025 GSLDPR Rate Class E-13c'!$D$111:$V$164</definedName>
    <definedName name="_xlnm.Print_Area" localSheetId="24">'2025 GSLDSU Rate Class E-13c'!$D$111:$V$164</definedName>
    <definedName name="_xlnm.Print_Area" localSheetId="25">'2025 LS Rate Class E-13c'!$D$3:$V$56</definedName>
    <definedName name="_xlnm.Print_Area" localSheetId="20">'2025 RS Rate Class E-13c'!$D$3:$V$56</definedName>
    <definedName name="_xlnm.Print_Area" localSheetId="13">'A-2 FOR GSLDPR_GSLDTPR_GSLDSU'!$A$55:$AB$108</definedName>
    <definedName name="_xlnm.Print_Area" localSheetId="12">'A-2 for RS_GS_GSD'!$A$1:$AA$158</definedName>
    <definedName name="_xlnm.Print_Area" localSheetId="19">'Cover Page E-13c'!$A$2:$S$55</definedName>
    <definedName name="_xlnm.Print_Area" localSheetId="17">'E-12'!$A$1:$Y$102</definedName>
    <definedName name="_xlnm.Print_Area" localSheetId="18">'E-13a'!$A$1:$R$63</definedName>
    <definedName name="_xlnm.Print_Area" localSheetId="26">'E-13d'!$D$1:$T$364</definedName>
    <definedName name="_xlnm.Print_Area" localSheetId="27">'E-14 Supp A Pages 1-9'!$A$2:$U$443</definedName>
    <definedName name="printa1a_d12">#N/A</definedName>
    <definedName name="PriorYear" localSheetId="13">'[1]Page Set-up'!$B$16</definedName>
    <definedName name="PriorYear" localSheetId="12">'[2]Page Set-up'!$B$16</definedName>
    <definedName name="PriorYear" localSheetId="14">'[1]Page Set-up'!$B$16</definedName>
    <definedName name="PriorYear" localSheetId="17">#REF!</definedName>
    <definedName name="PriorYear" localSheetId="27">#REF!</definedName>
    <definedName name="PriorYear">#REF!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#REF!</definedName>
    <definedName name="ScheduleData">#REF!</definedName>
    <definedName name="solver_adj" localSheetId="21" hidden="1">'2025 GS Rate Class E-13c'!$B$7</definedName>
    <definedName name="solver_adj" localSheetId="22" hidden="1">'2025 GSD Rate Class E-13c'!$C$7</definedName>
    <definedName name="solver_adj" localSheetId="23" hidden="1">'2025 GSLDPR Rate Class E-13c'!$B$7</definedName>
    <definedName name="solver_adj" localSheetId="24" hidden="1">'2025 GSLDSU Rate Class E-13c'!$B$7</definedName>
    <definedName name="solver_adj" localSheetId="25" hidden="1">'2025 LS Rate Class E-13c'!$B$7</definedName>
    <definedName name="solver_adj" localSheetId="20" hidden="1">'2025 RS Rate Class E-13c'!$B$7</definedName>
    <definedName name="solver_adj" localSheetId="26" hidden="1">'E-13d'!$B$4</definedName>
    <definedName name="solver_cvg" localSheetId="21" hidden="1">0.0001</definedName>
    <definedName name="solver_cvg" localSheetId="22" hidden="1">0.0001</definedName>
    <definedName name="solver_cvg" localSheetId="23" hidden="1">0.0001</definedName>
    <definedName name="solver_cvg" localSheetId="24" hidden="1">0.0001</definedName>
    <definedName name="solver_cvg" localSheetId="25" hidden="1">0.0001</definedName>
    <definedName name="solver_cvg" localSheetId="20" hidden="1">0.0001</definedName>
    <definedName name="solver_cvg" localSheetId="26" hidden="1">0.0001</definedName>
    <definedName name="solver_drv" localSheetId="21" hidden="1">1</definedName>
    <definedName name="solver_drv" localSheetId="22" hidden="1">1</definedName>
    <definedName name="solver_drv" localSheetId="23" hidden="1">1</definedName>
    <definedName name="solver_drv" localSheetId="24" hidden="1">1</definedName>
    <definedName name="solver_drv" localSheetId="25" hidden="1">1</definedName>
    <definedName name="solver_drv" localSheetId="20" hidden="1">1</definedName>
    <definedName name="solver_drv" localSheetId="26" hidden="1">1</definedName>
    <definedName name="solver_eng" localSheetId="21" hidden="1">1</definedName>
    <definedName name="solver_eng" localSheetId="22" hidden="1">1</definedName>
    <definedName name="solver_eng" localSheetId="23" hidden="1">1</definedName>
    <definedName name="solver_eng" localSheetId="24" hidden="1">1</definedName>
    <definedName name="solver_eng" localSheetId="25" hidden="1">1</definedName>
    <definedName name="solver_eng" localSheetId="20" hidden="1">1</definedName>
    <definedName name="solver_eng" localSheetId="26" hidden="1">1</definedName>
    <definedName name="solver_est" localSheetId="21" hidden="1">1</definedName>
    <definedName name="solver_est" localSheetId="22" hidden="1">1</definedName>
    <definedName name="solver_est" localSheetId="23" hidden="1">1</definedName>
    <definedName name="solver_est" localSheetId="24" hidden="1">1</definedName>
    <definedName name="solver_est" localSheetId="25" hidden="1">1</definedName>
    <definedName name="solver_est" localSheetId="20" hidden="1">1</definedName>
    <definedName name="solver_est" localSheetId="26" hidden="1">1</definedName>
    <definedName name="solver_itr" localSheetId="21" hidden="1">2147483647</definedName>
    <definedName name="solver_itr" localSheetId="22" hidden="1">2147483647</definedName>
    <definedName name="solver_itr" localSheetId="23" hidden="1">2147483647</definedName>
    <definedName name="solver_itr" localSheetId="24" hidden="1">2147483647</definedName>
    <definedName name="solver_itr" localSheetId="25" hidden="1">2147483647</definedName>
    <definedName name="solver_itr" localSheetId="20" hidden="1">2147483647</definedName>
    <definedName name="solver_itr" localSheetId="26" hidden="1">2147483647</definedName>
    <definedName name="solver_mip" localSheetId="21" hidden="1">2147483647</definedName>
    <definedName name="solver_mip" localSheetId="22" hidden="1">2147483647</definedName>
    <definedName name="solver_mip" localSheetId="23" hidden="1">2147483647</definedName>
    <definedName name="solver_mip" localSheetId="24" hidden="1">2147483647</definedName>
    <definedName name="solver_mip" localSheetId="25" hidden="1">2147483647</definedName>
    <definedName name="solver_mip" localSheetId="20" hidden="1">2147483647</definedName>
    <definedName name="solver_mip" localSheetId="26" hidden="1">2147483647</definedName>
    <definedName name="solver_mni" localSheetId="21" hidden="1">30</definedName>
    <definedName name="solver_mni" localSheetId="22" hidden="1">30</definedName>
    <definedName name="solver_mni" localSheetId="23" hidden="1">30</definedName>
    <definedName name="solver_mni" localSheetId="24" hidden="1">30</definedName>
    <definedName name="solver_mni" localSheetId="25" hidden="1">30</definedName>
    <definedName name="solver_mni" localSheetId="20" hidden="1">30</definedName>
    <definedName name="solver_mni" localSheetId="26" hidden="1">30</definedName>
    <definedName name="solver_mrt" localSheetId="21" hidden="1">0.075</definedName>
    <definedName name="solver_mrt" localSheetId="22" hidden="1">0.075</definedName>
    <definedName name="solver_mrt" localSheetId="23" hidden="1">0.075</definedName>
    <definedName name="solver_mrt" localSheetId="24" hidden="1">0.075</definedName>
    <definedName name="solver_mrt" localSheetId="25" hidden="1">0.075</definedName>
    <definedName name="solver_mrt" localSheetId="20" hidden="1">0.075</definedName>
    <definedName name="solver_mrt" localSheetId="26" hidden="1">0.075</definedName>
    <definedName name="solver_msl" localSheetId="21" hidden="1">2</definedName>
    <definedName name="solver_msl" localSheetId="22" hidden="1">2</definedName>
    <definedName name="solver_msl" localSheetId="23" hidden="1">2</definedName>
    <definedName name="solver_msl" localSheetId="24" hidden="1">2</definedName>
    <definedName name="solver_msl" localSheetId="25" hidden="1">2</definedName>
    <definedName name="solver_msl" localSheetId="20" hidden="1">2</definedName>
    <definedName name="solver_msl" localSheetId="26" hidden="1">2</definedName>
    <definedName name="solver_neg" localSheetId="21" hidden="1">2</definedName>
    <definedName name="solver_neg" localSheetId="22" hidden="1">2</definedName>
    <definedName name="solver_neg" localSheetId="23" hidden="1">2</definedName>
    <definedName name="solver_neg" localSheetId="24" hidden="1">2</definedName>
    <definedName name="solver_neg" localSheetId="25" hidden="1">1</definedName>
    <definedName name="solver_neg" localSheetId="20" hidden="1">2</definedName>
    <definedName name="solver_neg" localSheetId="26" hidden="1">2</definedName>
    <definedName name="solver_nod" localSheetId="21" hidden="1">2147483647</definedName>
    <definedName name="solver_nod" localSheetId="22" hidden="1">2147483647</definedName>
    <definedName name="solver_nod" localSheetId="23" hidden="1">2147483647</definedName>
    <definedName name="solver_nod" localSheetId="24" hidden="1">2147483647</definedName>
    <definedName name="solver_nod" localSheetId="25" hidden="1">2147483647</definedName>
    <definedName name="solver_nod" localSheetId="20" hidden="1">2147483647</definedName>
    <definedName name="solver_nod" localSheetId="26" hidden="1">2147483647</definedName>
    <definedName name="solver_num" localSheetId="21" hidden="1">0</definedName>
    <definedName name="solver_num" localSheetId="22" hidden="1">0</definedName>
    <definedName name="solver_num" localSheetId="23" hidden="1">0</definedName>
    <definedName name="solver_num" localSheetId="24" hidden="1">0</definedName>
    <definedName name="solver_num" localSheetId="25" hidden="1">0</definedName>
    <definedName name="solver_num" localSheetId="20" hidden="1">0</definedName>
    <definedName name="solver_num" localSheetId="26" hidden="1">0</definedName>
    <definedName name="solver_nwt" localSheetId="21" hidden="1">1</definedName>
    <definedName name="solver_nwt" localSheetId="22" hidden="1">1</definedName>
    <definedName name="solver_nwt" localSheetId="23" hidden="1">1</definedName>
    <definedName name="solver_nwt" localSheetId="24" hidden="1">1</definedName>
    <definedName name="solver_nwt" localSheetId="25" hidden="1">1</definedName>
    <definedName name="solver_nwt" localSheetId="20" hidden="1">1</definedName>
    <definedName name="solver_nwt" localSheetId="26" hidden="1">1</definedName>
    <definedName name="solver_opt" localSheetId="21" hidden="1">'2025 GS Rate Class E-13c'!$B$8</definedName>
    <definedName name="solver_opt" localSheetId="22" hidden="1">'2025 GSD Rate Class E-13c'!$C$8</definedName>
    <definedName name="solver_opt" localSheetId="23" hidden="1">'2025 GSLDPR Rate Class E-13c'!$B$8</definedName>
    <definedName name="solver_opt" localSheetId="24" hidden="1">'2025 GSLDSU Rate Class E-13c'!$B$8</definedName>
    <definedName name="solver_opt" localSheetId="25" hidden="1">'2025 LS Rate Class E-13c'!$B$8</definedName>
    <definedName name="solver_opt" localSheetId="20" hidden="1">'2025 RS Rate Class E-13c'!$B$8</definedName>
    <definedName name="solver_opt" localSheetId="26" hidden="1">'E-13d'!$B$5</definedName>
    <definedName name="solver_pre" localSheetId="21" hidden="1">0.000001</definedName>
    <definedName name="solver_pre" localSheetId="22" hidden="1">0.000001</definedName>
    <definedName name="solver_pre" localSheetId="23" hidden="1">0.000001</definedName>
    <definedName name="solver_pre" localSheetId="24" hidden="1">0.000001</definedName>
    <definedName name="solver_pre" localSheetId="25" hidden="1">0.000001</definedName>
    <definedName name="solver_pre" localSheetId="20" hidden="1">0.000001</definedName>
    <definedName name="solver_pre" localSheetId="26" hidden="1">0.000001</definedName>
    <definedName name="solver_rbv" localSheetId="21" hidden="1">1</definedName>
    <definedName name="solver_rbv" localSheetId="22" hidden="1">1</definedName>
    <definedName name="solver_rbv" localSheetId="23" hidden="1">1</definedName>
    <definedName name="solver_rbv" localSheetId="24" hidden="1">1</definedName>
    <definedName name="solver_rbv" localSheetId="25" hidden="1">1</definedName>
    <definedName name="solver_rbv" localSheetId="20" hidden="1">1</definedName>
    <definedName name="solver_rbv" localSheetId="26" hidden="1">1</definedName>
    <definedName name="solver_rlx" localSheetId="21" hidden="1">2</definedName>
    <definedName name="solver_rlx" localSheetId="22" hidden="1">2</definedName>
    <definedName name="solver_rlx" localSheetId="23" hidden="1">2</definedName>
    <definedName name="solver_rlx" localSheetId="24" hidden="1">2</definedName>
    <definedName name="solver_rlx" localSheetId="25" hidden="1">2</definedName>
    <definedName name="solver_rlx" localSheetId="20" hidden="1">2</definedName>
    <definedName name="solver_rlx" localSheetId="26" hidden="1">2</definedName>
    <definedName name="solver_rsd" localSheetId="21" hidden="1">0</definedName>
    <definedName name="solver_rsd" localSheetId="22" hidden="1">0</definedName>
    <definedName name="solver_rsd" localSheetId="23" hidden="1">0</definedName>
    <definedName name="solver_rsd" localSheetId="24" hidden="1">0</definedName>
    <definedName name="solver_rsd" localSheetId="25" hidden="1">0</definedName>
    <definedName name="solver_rsd" localSheetId="20" hidden="1">0</definedName>
    <definedName name="solver_rsd" localSheetId="26" hidden="1">0</definedName>
    <definedName name="solver_scl" localSheetId="21" hidden="1">1</definedName>
    <definedName name="solver_scl" localSheetId="22" hidden="1">1</definedName>
    <definedName name="solver_scl" localSheetId="23" hidden="1">1</definedName>
    <definedName name="solver_scl" localSheetId="24" hidden="1">1</definedName>
    <definedName name="solver_scl" localSheetId="25" hidden="1">1</definedName>
    <definedName name="solver_scl" localSheetId="20" hidden="1">1</definedName>
    <definedName name="solver_scl" localSheetId="26" hidden="1">1</definedName>
    <definedName name="solver_sho" localSheetId="21" hidden="1">2</definedName>
    <definedName name="solver_sho" localSheetId="22" hidden="1">2</definedName>
    <definedName name="solver_sho" localSheetId="23" hidden="1">2</definedName>
    <definedName name="solver_sho" localSheetId="24" hidden="1">2</definedName>
    <definedName name="solver_sho" localSheetId="25" hidden="1">2</definedName>
    <definedName name="solver_sho" localSheetId="20" hidden="1">2</definedName>
    <definedName name="solver_sho" localSheetId="26" hidden="1">2</definedName>
    <definedName name="solver_ssz" localSheetId="21" hidden="1">100</definedName>
    <definedName name="solver_ssz" localSheetId="22" hidden="1">100</definedName>
    <definedName name="solver_ssz" localSheetId="23" hidden="1">100</definedName>
    <definedName name="solver_ssz" localSheetId="24" hidden="1">100</definedName>
    <definedName name="solver_ssz" localSheetId="25" hidden="1">100</definedName>
    <definedName name="solver_ssz" localSheetId="20" hidden="1">100</definedName>
    <definedName name="solver_ssz" localSheetId="26" hidden="1">100</definedName>
    <definedName name="solver_tim" localSheetId="21" hidden="1">2147483647</definedName>
    <definedName name="solver_tim" localSheetId="22" hidden="1">2147483647</definedName>
    <definedName name="solver_tim" localSheetId="23" hidden="1">2147483647</definedName>
    <definedName name="solver_tim" localSheetId="24" hidden="1">2147483647</definedName>
    <definedName name="solver_tim" localSheetId="25" hidden="1">2147483647</definedName>
    <definedName name="solver_tim" localSheetId="20" hidden="1">2147483647</definedName>
    <definedName name="solver_tim" localSheetId="26" hidden="1">2147483647</definedName>
    <definedName name="solver_tol" localSheetId="21" hidden="1">0.01</definedName>
    <definedName name="solver_tol" localSheetId="22" hidden="1">0.01</definedName>
    <definedName name="solver_tol" localSheetId="23" hidden="1">0.01</definedName>
    <definedName name="solver_tol" localSheetId="24" hidden="1">0.01</definedName>
    <definedName name="solver_tol" localSheetId="25" hidden="1">0.01</definedName>
    <definedName name="solver_tol" localSheetId="20" hidden="1">0.01</definedName>
    <definedName name="solver_tol" localSheetId="26" hidden="1">0.01</definedName>
    <definedName name="solver_typ" localSheetId="21" hidden="1">3</definedName>
    <definedName name="solver_typ" localSheetId="22" hidden="1">3</definedName>
    <definedName name="solver_typ" localSheetId="23" hidden="1">3</definedName>
    <definedName name="solver_typ" localSheetId="24" hidden="1">3</definedName>
    <definedName name="solver_typ" localSheetId="25" hidden="1">3</definedName>
    <definedName name="solver_typ" localSheetId="20" hidden="1">3</definedName>
    <definedName name="solver_typ" localSheetId="26" hidden="1">3</definedName>
    <definedName name="solver_val" localSheetId="21" hidden="1">99214926</definedName>
    <definedName name="solver_val" localSheetId="22" hidden="1">411077263</definedName>
    <definedName name="solver_val" localSheetId="23" hidden="1">47902933</definedName>
    <definedName name="solver_val" localSheetId="24" hidden="1">30000303</definedName>
    <definedName name="solver_val" localSheetId="25" hidden="1">3573047</definedName>
    <definedName name="solver_val" localSheetId="20" hidden="1">1099875972</definedName>
    <definedName name="solver_val" localSheetId="26" hidden="1">82707821</definedName>
    <definedName name="solver_ver" localSheetId="21" hidden="1">3</definedName>
    <definedName name="solver_ver" localSheetId="22" hidden="1">3</definedName>
    <definedName name="solver_ver" localSheetId="23" hidden="1">3</definedName>
    <definedName name="solver_ver" localSheetId="24" hidden="1">3</definedName>
    <definedName name="solver_ver" localSheetId="25" hidden="1">3</definedName>
    <definedName name="solver_ver" localSheetId="20" hidden="1">3</definedName>
    <definedName name="solver_ver" localSheetId="26" hidden="1">3</definedName>
    <definedName name="SURV">#REF!</definedName>
    <definedName name="TEFIS">#REF!</definedName>
    <definedName name="TEFIS2">#REF!</definedName>
    <definedName name="TestYear" localSheetId="13">'[1]Page Set-up'!$B$15</definedName>
    <definedName name="TestYear" localSheetId="12">'[2]Page Set-up'!$B$15</definedName>
    <definedName name="TestYear" localSheetId="14">'[1]Page Set-up'!$B$15</definedName>
    <definedName name="TestYear" localSheetId="17">#REF!</definedName>
    <definedName name="TestYear" localSheetId="27">#REF!</definedName>
    <definedName name="TestYear">#REF!</definedName>
    <definedName name="TYL1_">#REF!</definedName>
    <definedName name="TYL2_">#REF!</definedName>
    <definedName name="TYL3_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#REF!</definedName>
    <definedName name="YTDB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1" i="20" l="1"/>
  <c r="N137" i="19"/>
  <c r="N136" i="19"/>
  <c r="M135" i="19"/>
  <c r="I40" i="19"/>
  <c r="J81" i="35"/>
  <c r="J80" i="35"/>
  <c r="H81" i="35"/>
  <c r="H80" i="35"/>
  <c r="J402" i="35" l="1"/>
  <c r="J404" i="35"/>
  <c r="J353" i="35"/>
  <c r="J394" i="35"/>
  <c r="J393" i="35"/>
  <c r="J390" i="35"/>
  <c r="J389" i="35"/>
  <c r="J385" i="35"/>
  <c r="J384" i="35"/>
  <c r="J380" i="35"/>
  <c r="J379" i="35"/>
  <c r="J378" i="35"/>
  <c r="J377" i="35"/>
  <c r="J375" i="35"/>
  <c r="J374" i="35"/>
  <c r="J373" i="35"/>
  <c r="J372" i="35"/>
  <c r="J368" i="35"/>
  <c r="J367" i="35"/>
  <c r="J366" i="35"/>
  <c r="J365" i="35"/>
  <c r="J364" i="35"/>
  <c r="J363" i="35"/>
  <c r="J360" i="35"/>
  <c r="J359" i="35"/>
  <c r="J358" i="35"/>
  <c r="J354" i="35"/>
  <c r="J305" i="35"/>
  <c r="J310" i="35"/>
  <c r="J309" i="35"/>
  <c r="J306" i="35"/>
  <c r="J256" i="35"/>
  <c r="J293" i="35"/>
  <c r="J292" i="35"/>
  <c r="J288" i="35"/>
  <c r="J287" i="35"/>
  <c r="J283" i="35"/>
  <c r="J282" i="35"/>
  <c r="J281" i="35"/>
  <c r="J280" i="35"/>
  <c r="J278" i="35"/>
  <c r="J277" i="35"/>
  <c r="J276" i="35"/>
  <c r="J275" i="35"/>
  <c r="J271" i="35"/>
  <c r="J270" i="35"/>
  <c r="J269" i="35"/>
  <c r="J268" i="35"/>
  <c r="J267" i="35"/>
  <c r="J266" i="35"/>
  <c r="J263" i="35"/>
  <c r="J262" i="35"/>
  <c r="J261" i="35"/>
  <c r="J257" i="35"/>
  <c r="J208" i="35"/>
  <c r="J243" i="35"/>
  <c r="J242" i="35"/>
  <c r="J239" i="35"/>
  <c r="J238" i="35"/>
  <c r="J235" i="35"/>
  <c r="J234" i="35"/>
  <c r="J231" i="35"/>
  <c r="J230" i="35"/>
  <c r="J229" i="35"/>
  <c r="J228" i="35"/>
  <c r="J224" i="35"/>
  <c r="J223" i="35"/>
  <c r="J222" i="35"/>
  <c r="J219" i="35"/>
  <c r="J218" i="35"/>
  <c r="J213" i="35"/>
  <c r="J212" i="35"/>
  <c r="J209" i="35"/>
  <c r="J174" i="35"/>
  <c r="J196" i="35"/>
  <c r="J195" i="35"/>
  <c r="J192" i="35"/>
  <c r="J187" i="35"/>
  <c r="J186" i="35"/>
  <c r="J185" i="35"/>
  <c r="J184" i="35"/>
  <c r="J180" i="35"/>
  <c r="J179" i="35"/>
  <c r="J178" i="35"/>
  <c r="J175" i="35"/>
  <c r="J160" i="35"/>
  <c r="J168" i="35"/>
  <c r="J167" i="35"/>
  <c r="J164" i="35"/>
  <c r="J163" i="35"/>
  <c r="J161" i="35"/>
  <c r="J120" i="35"/>
  <c r="J145" i="35"/>
  <c r="J143" i="35"/>
  <c r="J142" i="35"/>
  <c r="J141" i="35"/>
  <c r="J140" i="35"/>
  <c r="J139" i="35"/>
  <c r="J135" i="35"/>
  <c r="J134" i="35"/>
  <c r="J133" i="35"/>
  <c r="J130" i="35"/>
  <c r="J129" i="35"/>
  <c r="J128" i="35"/>
  <c r="J127" i="35"/>
  <c r="J126" i="35"/>
  <c r="J122" i="35"/>
  <c r="J121" i="35"/>
  <c r="J108" i="35"/>
  <c r="J111" i="35"/>
  <c r="J58" i="35"/>
  <c r="J96" i="35"/>
  <c r="J95" i="35"/>
  <c r="J92" i="35"/>
  <c r="J91" i="35"/>
  <c r="J89" i="35"/>
  <c r="J88" i="35"/>
  <c r="J79" i="35"/>
  <c r="J77" i="35"/>
  <c r="J76" i="35"/>
  <c r="J73" i="35"/>
  <c r="J72" i="35"/>
  <c r="J70" i="35"/>
  <c r="J69" i="35"/>
  <c r="J68" i="35"/>
  <c r="J64" i="35"/>
  <c r="J63" i="35"/>
  <c r="J62" i="35"/>
  <c r="J60" i="35"/>
  <c r="J59" i="35"/>
  <c r="J20" i="35"/>
  <c r="J46" i="35"/>
  <c r="J43" i="35"/>
  <c r="J42" i="35"/>
  <c r="J41" i="35"/>
  <c r="J40" i="35"/>
  <c r="J39" i="35"/>
  <c r="J35" i="35"/>
  <c r="J34" i="35"/>
  <c r="J33" i="35"/>
  <c r="J27" i="35"/>
  <c r="J26" i="35"/>
  <c r="J25" i="35"/>
  <c r="J21" i="35"/>
  <c r="H404" i="35"/>
  <c r="H402" i="35"/>
  <c r="H394" i="35"/>
  <c r="H393" i="35"/>
  <c r="H390" i="35"/>
  <c r="H389" i="35"/>
  <c r="H385" i="35"/>
  <c r="H384" i="35"/>
  <c r="H378" i="35"/>
  <c r="H379" i="35"/>
  <c r="H380" i="35"/>
  <c r="H377" i="35"/>
  <c r="H373" i="35"/>
  <c r="H374" i="35"/>
  <c r="H375" i="35"/>
  <c r="H372" i="35"/>
  <c r="H364" i="35"/>
  <c r="H365" i="35"/>
  <c r="H366" i="35"/>
  <c r="H367" i="35"/>
  <c r="H368" i="35"/>
  <c r="H363" i="35"/>
  <c r="H359" i="35"/>
  <c r="H360" i="35"/>
  <c r="H358" i="35"/>
  <c r="H354" i="35"/>
  <c r="H353" i="35"/>
  <c r="H310" i="35"/>
  <c r="H309" i="35"/>
  <c r="H306" i="35"/>
  <c r="H305" i="35"/>
  <c r="H293" i="35"/>
  <c r="H292" i="35"/>
  <c r="H288" i="35"/>
  <c r="H287" i="35"/>
  <c r="H281" i="35"/>
  <c r="H282" i="35"/>
  <c r="H283" i="35"/>
  <c r="H280" i="35"/>
  <c r="H276" i="35"/>
  <c r="H277" i="35"/>
  <c r="H278" i="35"/>
  <c r="H275" i="35"/>
  <c r="H268" i="35"/>
  <c r="H269" i="35"/>
  <c r="H270" i="35"/>
  <c r="H271" i="35"/>
  <c r="H267" i="35"/>
  <c r="H266" i="35"/>
  <c r="H262" i="35"/>
  <c r="H263" i="35"/>
  <c r="H261" i="35"/>
  <c r="H257" i="35"/>
  <c r="H256" i="35"/>
  <c r="H243" i="35"/>
  <c r="H242" i="35"/>
  <c r="H239" i="35"/>
  <c r="H238" i="35"/>
  <c r="H235" i="35"/>
  <c r="H234" i="35"/>
  <c r="H229" i="35"/>
  <c r="H230" i="35"/>
  <c r="H231" i="35"/>
  <c r="H228" i="35"/>
  <c r="H223" i="35"/>
  <c r="H224" i="35"/>
  <c r="H222" i="35"/>
  <c r="H219" i="35"/>
  <c r="H218" i="35"/>
  <c r="H213" i="35"/>
  <c r="H212" i="35"/>
  <c r="H209" i="35"/>
  <c r="H208" i="35"/>
  <c r="H196" i="35"/>
  <c r="H195" i="35"/>
  <c r="H192" i="35"/>
  <c r="H185" i="35"/>
  <c r="H186" i="35"/>
  <c r="H187" i="35"/>
  <c r="H184" i="35"/>
  <c r="H179" i="35"/>
  <c r="H180" i="35"/>
  <c r="H178" i="35"/>
  <c r="H175" i="35"/>
  <c r="H174" i="35"/>
  <c r="H168" i="35"/>
  <c r="H167" i="35"/>
  <c r="H164" i="35"/>
  <c r="H163" i="35"/>
  <c r="H161" i="35"/>
  <c r="H160" i="35"/>
  <c r="H145" i="35"/>
  <c r="H143" i="35"/>
  <c r="H142" i="35"/>
  <c r="H141" i="35"/>
  <c r="H140" i="35"/>
  <c r="H139" i="35"/>
  <c r="H135" i="35"/>
  <c r="H134" i="35"/>
  <c r="H133" i="35"/>
  <c r="H130" i="35"/>
  <c r="H129" i="35"/>
  <c r="H127" i="35"/>
  <c r="H128" i="35"/>
  <c r="H126" i="35"/>
  <c r="H121" i="35"/>
  <c r="H122" i="35"/>
  <c r="H120" i="35"/>
  <c r="H111" i="35"/>
  <c r="H108" i="35"/>
  <c r="H96" i="35"/>
  <c r="H95" i="35"/>
  <c r="H92" i="35"/>
  <c r="H91" i="35"/>
  <c r="H89" i="35"/>
  <c r="H88" i="35"/>
  <c r="H79" i="35"/>
  <c r="H77" i="35"/>
  <c r="H76" i="35"/>
  <c r="H73" i="35"/>
  <c r="H72" i="35"/>
  <c r="H69" i="35"/>
  <c r="H70" i="35"/>
  <c r="H68" i="35"/>
  <c r="H63" i="35"/>
  <c r="H64" i="35"/>
  <c r="H62" i="35"/>
  <c r="H59" i="35"/>
  <c r="H60" i="35"/>
  <c r="H58" i="35"/>
  <c r="H46" i="35"/>
  <c r="H40" i="35"/>
  <c r="H41" i="35"/>
  <c r="H42" i="35"/>
  <c r="H43" i="35"/>
  <c r="H39" i="35"/>
  <c r="H34" i="35"/>
  <c r="H35" i="35"/>
  <c r="H33" i="35"/>
  <c r="H27" i="35"/>
  <c r="H26" i="35"/>
  <c r="H25" i="35"/>
  <c r="H21" i="35"/>
  <c r="H20" i="35"/>
  <c r="L385" i="35"/>
  <c r="L384" i="35"/>
  <c r="L366" i="35"/>
  <c r="L367" i="35"/>
  <c r="L368" i="35"/>
  <c r="L364" i="35"/>
  <c r="L365" i="35"/>
  <c r="L363" i="35"/>
  <c r="L359" i="35"/>
  <c r="L360" i="35"/>
  <c r="L358" i="35"/>
  <c r="L354" i="35"/>
  <c r="L353" i="35"/>
  <c r="L288" i="35"/>
  <c r="L287" i="35"/>
  <c r="L267" i="35"/>
  <c r="L268" i="35"/>
  <c r="L269" i="35"/>
  <c r="L270" i="35"/>
  <c r="L271" i="35"/>
  <c r="L266" i="35"/>
  <c r="L263" i="35"/>
  <c r="L262" i="35"/>
  <c r="L261" i="35"/>
  <c r="L257" i="35"/>
  <c r="L256" i="35"/>
  <c r="L235" i="35"/>
  <c r="L234" i="35"/>
  <c r="L224" i="35"/>
  <c r="L223" i="35"/>
  <c r="L222" i="35"/>
  <c r="L219" i="35"/>
  <c r="L218" i="35"/>
  <c r="L196" i="35"/>
  <c r="L195" i="35"/>
  <c r="L180" i="35"/>
  <c r="L179" i="35"/>
  <c r="L178" i="35"/>
  <c r="L175" i="35"/>
  <c r="L174" i="35"/>
  <c r="L164" i="35"/>
  <c r="L163" i="35"/>
  <c r="L161" i="35"/>
  <c r="L160" i="35"/>
  <c r="L145" i="35"/>
  <c r="L133" i="35"/>
  <c r="L96" i="35"/>
  <c r="L95" i="35"/>
  <c r="L92" i="35"/>
  <c r="L91" i="35"/>
  <c r="L89" i="35"/>
  <c r="L88" i="35"/>
  <c r="L73" i="35"/>
  <c r="L72" i="35"/>
  <c r="L69" i="35"/>
  <c r="L70" i="35"/>
  <c r="L68" i="35"/>
  <c r="L63" i="35"/>
  <c r="L64" i="35"/>
  <c r="L62" i="35"/>
  <c r="L60" i="35"/>
  <c r="L59" i="35"/>
  <c r="L58" i="35"/>
  <c r="L46" i="35"/>
  <c r="L35" i="35"/>
  <c r="L34" i="35"/>
  <c r="L33" i="35"/>
  <c r="L21" i="35"/>
  <c r="L20" i="35"/>
  <c r="L76" i="20" l="1"/>
  <c r="L75" i="20"/>
  <c r="L74" i="20"/>
  <c r="L72" i="20"/>
  <c r="L71" i="20"/>
  <c r="L70" i="20"/>
  <c r="L67" i="20"/>
  <c r="L68" i="20"/>
  <c r="L66" i="20"/>
  <c r="K76" i="20"/>
  <c r="K75" i="20"/>
  <c r="K74" i="20"/>
  <c r="K72" i="20"/>
  <c r="K71" i="20"/>
  <c r="K70" i="20"/>
  <c r="K67" i="20"/>
  <c r="K68" i="20"/>
  <c r="K66" i="20"/>
  <c r="L22" i="20"/>
  <c r="L21" i="20"/>
  <c r="L20" i="20"/>
  <c r="L18" i="20"/>
  <c r="L17" i="20"/>
  <c r="L16" i="20"/>
  <c r="L13" i="20"/>
  <c r="L14" i="20"/>
  <c r="L12" i="20"/>
  <c r="K22" i="20"/>
  <c r="K21" i="20"/>
  <c r="K20" i="20"/>
  <c r="K18" i="20"/>
  <c r="K17" i="20"/>
  <c r="K16" i="20"/>
  <c r="K14" i="20"/>
  <c r="K13" i="20"/>
  <c r="K12" i="20"/>
  <c r="L127" i="19"/>
  <c r="L128" i="19"/>
  <c r="L129" i="19"/>
  <c r="L126" i="19"/>
  <c r="L122" i="19"/>
  <c r="L123" i="19"/>
  <c r="L124" i="19"/>
  <c r="L121" i="19"/>
  <c r="L117" i="19"/>
  <c r="L118" i="19"/>
  <c r="L119" i="19"/>
  <c r="L116" i="19"/>
  <c r="K129" i="19"/>
  <c r="K128" i="19"/>
  <c r="K127" i="19"/>
  <c r="K126" i="19"/>
  <c r="K124" i="19"/>
  <c r="K123" i="19"/>
  <c r="K122" i="19"/>
  <c r="K121" i="19"/>
  <c r="K116" i="19"/>
  <c r="K119" i="19"/>
  <c r="K118" i="19"/>
  <c r="K117" i="19"/>
  <c r="K86" i="19"/>
  <c r="K84" i="19"/>
  <c r="K82" i="19"/>
  <c r="K80" i="19"/>
  <c r="K78" i="19"/>
  <c r="K76" i="19"/>
  <c r="K74" i="19"/>
  <c r="K72" i="19"/>
  <c r="K70" i="19"/>
  <c r="K68" i="19"/>
  <c r="K66" i="19"/>
  <c r="K64" i="19"/>
  <c r="K32" i="19"/>
  <c r="K30" i="19"/>
  <c r="K28" i="19"/>
  <c r="K26" i="19"/>
  <c r="K24" i="19"/>
  <c r="K22" i="19"/>
  <c r="K20" i="19"/>
  <c r="K18" i="19"/>
  <c r="K16" i="19"/>
  <c r="K14" i="19"/>
  <c r="K12" i="19"/>
  <c r="C12" i="20"/>
  <c r="C13" i="20"/>
  <c r="C14" i="20"/>
  <c r="C16" i="20"/>
  <c r="C17" i="20"/>
  <c r="C18" i="20"/>
  <c r="C20" i="20"/>
  <c r="C21" i="20"/>
  <c r="C22" i="20"/>
  <c r="W34" i="23" l="1"/>
  <c r="W33" i="23"/>
  <c r="C117" i="19" l="1"/>
  <c r="C116" i="19"/>
  <c r="C121" i="19" l="1"/>
  <c r="Q92" i="11"/>
  <c r="Q30" i="11"/>
  <c r="Q92" i="6"/>
  <c r="Q30" i="6"/>
  <c r="Q32" i="6"/>
  <c r="L39" i="3"/>
  <c r="O33" i="3"/>
  <c r="S33" i="3" s="1"/>
  <c r="L33" i="3"/>
  <c r="L34" i="3" s="1"/>
  <c r="U33" i="3" l="1"/>
  <c r="S34" i="3"/>
  <c r="U34" i="3" s="1"/>
  <c r="P46" i="34" l="1"/>
  <c r="O46" i="34"/>
  <c r="N46" i="34"/>
  <c r="M46" i="34"/>
  <c r="L46" i="34"/>
  <c r="K46" i="34"/>
  <c r="J46" i="34"/>
  <c r="H46" i="34"/>
  <c r="G46" i="34"/>
  <c r="F46" i="34"/>
  <c r="F28" i="34"/>
  <c r="G28" i="34"/>
  <c r="H28" i="34"/>
  <c r="J28" i="34"/>
  <c r="K28" i="34"/>
  <c r="L28" i="34"/>
  <c r="M28" i="34"/>
  <c r="N28" i="34"/>
  <c r="O28" i="34"/>
  <c r="P28" i="34"/>
  <c r="R237" i="5" l="1"/>
  <c r="R238" i="5"/>
  <c r="R236" i="5"/>
  <c r="R44" i="5"/>
  <c r="R45" i="5"/>
  <c r="R43" i="5"/>
  <c r="I27" i="29" l="1"/>
  <c r="I26" i="29"/>
  <c r="Q18" i="7" l="1"/>
  <c r="Q20" i="7"/>
  <c r="Q333" i="24"/>
  <c r="P333" i="24"/>
  <c r="Q332" i="24"/>
  <c r="P332" i="24"/>
  <c r="Q327" i="24"/>
  <c r="P327" i="24"/>
  <c r="Q326" i="24"/>
  <c r="P326" i="24"/>
  <c r="Q306" i="24"/>
  <c r="P306" i="24"/>
  <c r="Q305" i="24"/>
  <c r="P305" i="24"/>
  <c r="Q304" i="24"/>
  <c r="P304" i="24"/>
  <c r="Q303" i="24"/>
  <c r="P303" i="24"/>
  <c r="Q302" i="24"/>
  <c r="P302" i="24"/>
  <c r="Q301" i="24"/>
  <c r="P301" i="24"/>
  <c r="Q300" i="24"/>
  <c r="P300" i="24"/>
  <c r="Q299" i="24"/>
  <c r="P299" i="24"/>
  <c r="Q298" i="24"/>
  <c r="P298" i="24"/>
  <c r="Q297" i="24"/>
  <c r="P297" i="24"/>
  <c r="Q296" i="24"/>
  <c r="P296" i="24"/>
  <c r="Q295" i="24"/>
  <c r="P295" i="24"/>
  <c r="Q294" i="24"/>
  <c r="P294" i="24"/>
  <c r="Q293" i="24"/>
  <c r="P293" i="24"/>
  <c r="Q292" i="24"/>
  <c r="P292" i="24"/>
  <c r="Q291" i="24"/>
  <c r="P291" i="24"/>
  <c r="Q290" i="24"/>
  <c r="P290" i="24"/>
  <c r="Q289" i="24"/>
  <c r="P289" i="24"/>
  <c r="Q288" i="24"/>
  <c r="P288" i="24"/>
  <c r="Q287" i="24"/>
  <c r="P287" i="24"/>
  <c r="Q286" i="24"/>
  <c r="P286" i="24"/>
  <c r="Q285" i="24"/>
  <c r="P285" i="24"/>
  <c r="Q284" i="24"/>
  <c r="P284" i="24"/>
  <c r="Q283" i="24"/>
  <c r="P283" i="24"/>
  <c r="Q282" i="24"/>
  <c r="P282" i="24"/>
  <c r="Q281" i="24"/>
  <c r="P281" i="24"/>
  <c r="Q280" i="24"/>
  <c r="P280" i="24"/>
  <c r="Q279" i="24"/>
  <c r="P279" i="24"/>
  <c r="Q278" i="24"/>
  <c r="P278" i="24"/>
  <c r="Q277" i="24"/>
  <c r="P277" i="24"/>
  <c r="Q276" i="24"/>
  <c r="P276" i="24"/>
  <c r="Q275" i="24"/>
  <c r="P275" i="24"/>
  <c r="Q274" i="24"/>
  <c r="P274" i="24"/>
  <c r="Q243" i="24"/>
  <c r="P243" i="24"/>
  <c r="Q242" i="24"/>
  <c r="P242" i="24"/>
  <c r="Q241" i="24"/>
  <c r="P241" i="24"/>
  <c r="Q240" i="24"/>
  <c r="P240" i="24"/>
  <c r="Q239" i="24"/>
  <c r="P239" i="24"/>
  <c r="Q238" i="24"/>
  <c r="P238" i="24"/>
  <c r="Q237" i="24"/>
  <c r="P237" i="24"/>
  <c r="Q236" i="24"/>
  <c r="P236" i="24"/>
  <c r="Q235" i="24"/>
  <c r="P235" i="24"/>
  <c r="Q234" i="24"/>
  <c r="P234" i="24"/>
  <c r="Q233" i="24"/>
  <c r="P233" i="24"/>
  <c r="Q232" i="24"/>
  <c r="P232" i="24"/>
  <c r="Q231" i="24"/>
  <c r="P231" i="24"/>
  <c r="Q230" i="24"/>
  <c r="P230" i="24"/>
  <c r="Q229" i="24"/>
  <c r="P229" i="24"/>
  <c r="Q228" i="24"/>
  <c r="P228" i="24"/>
  <c r="Q227" i="24"/>
  <c r="P227" i="24"/>
  <c r="Q226" i="24"/>
  <c r="P226" i="24"/>
  <c r="Q225" i="24"/>
  <c r="P225" i="24"/>
  <c r="Q224" i="24"/>
  <c r="P224" i="24"/>
  <c r="Q223" i="24"/>
  <c r="P223" i="24"/>
  <c r="Q190" i="24"/>
  <c r="P190" i="24"/>
  <c r="Q189" i="24"/>
  <c r="P189" i="24"/>
  <c r="Q188" i="24"/>
  <c r="P188" i="24"/>
  <c r="Q187" i="24"/>
  <c r="P187" i="24"/>
  <c r="Q186" i="24"/>
  <c r="P186" i="24"/>
  <c r="Q185" i="24"/>
  <c r="P185" i="24"/>
  <c r="Q184" i="24"/>
  <c r="P184" i="24"/>
  <c r="Q183" i="24"/>
  <c r="P183" i="24"/>
  <c r="Q182" i="24"/>
  <c r="P182" i="24"/>
  <c r="Q181" i="24"/>
  <c r="P181" i="24"/>
  <c r="Q180" i="24"/>
  <c r="P180" i="24"/>
  <c r="Q179" i="24"/>
  <c r="P179" i="24"/>
  <c r="Q178" i="24"/>
  <c r="P178" i="24"/>
  <c r="Q177" i="24"/>
  <c r="P177" i="24"/>
  <c r="Q176" i="24"/>
  <c r="P176" i="24"/>
  <c r="Q175" i="24"/>
  <c r="P175" i="24"/>
  <c r="Q174" i="24"/>
  <c r="P174" i="24"/>
  <c r="Q173" i="24"/>
  <c r="P173" i="24"/>
  <c r="Q172" i="24"/>
  <c r="P172" i="24"/>
  <c r="Q171" i="24"/>
  <c r="P171" i="24"/>
  <c r="Q170" i="24"/>
  <c r="P170" i="24"/>
  <c r="Q153" i="24"/>
  <c r="P153" i="24"/>
  <c r="Q152" i="24"/>
  <c r="P152" i="24"/>
  <c r="Q151" i="24"/>
  <c r="P151" i="24"/>
  <c r="Q150" i="24"/>
  <c r="P150" i="24"/>
  <c r="Q149" i="24"/>
  <c r="P149" i="24"/>
  <c r="Q148" i="24"/>
  <c r="P148" i="24"/>
  <c r="Q147" i="24"/>
  <c r="P147" i="24"/>
  <c r="Q146" i="24"/>
  <c r="P146" i="24"/>
  <c r="Q145" i="24"/>
  <c r="P145" i="24"/>
  <c r="Q144" i="24"/>
  <c r="P144" i="24"/>
  <c r="Q143" i="24"/>
  <c r="P143" i="24"/>
  <c r="Q142" i="24"/>
  <c r="P142" i="24"/>
  <c r="Q141" i="24"/>
  <c r="P141" i="24"/>
  <c r="Q140" i="24"/>
  <c r="P140" i="24"/>
  <c r="Q139" i="24"/>
  <c r="P139" i="24"/>
  <c r="Q138" i="24"/>
  <c r="P138" i="24"/>
  <c r="Q137" i="24"/>
  <c r="P137" i="24"/>
  <c r="Q134" i="24"/>
  <c r="P134" i="24"/>
  <c r="Q133" i="24"/>
  <c r="P133" i="24"/>
  <c r="Q132" i="24"/>
  <c r="P132" i="24"/>
  <c r="Q131" i="24"/>
  <c r="P131" i="24"/>
  <c r="Q130" i="24"/>
  <c r="P130" i="24"/>
  <c r="Q129" i="24"/>
  <c r="P129" i="24"/>
  <c r="Q128" i="24"/>
  <c r="P128" i="24"/>
  <c r="Q127" i="24"/>
  <c r="P127" i="24"/>
  <c r="Q126" i="24"/>
  <c r="P126" i="24"/>
  <c r="Q125" i="24"/>
  <c r="P125" i="24"/>
  <c r="Q124" i="24"/>
  <c r="P124" i="24"/>
  <c r="Q123" i="24"/>
  <c r="P123" i="24"/>
  <c r="Q122" i="24"/>
  <c r="P122" i="24"/>
  <c r="Q121" i="24"/>
  <c r="P121" i="24"/>
  <c r="Q120" i="24"/>
  <c r="P120" i="24"/>
  <c r="Q119" i="24"/>
  <c r="P119" i="24"/>
  <c r="Q118" i="24"/>
  <c r="P118" i="24"/>
  <c r="Q99" i="24"/>
  <c r="P99" i="24"/>
  <c r="Q98" i="24"/>
  <c r="P98" i="24"/>
  <c r="Q97" i="24"/>
  <c r="P97" i="24"/>
  <c r="Q96" i="24"/>
  <c r="P96" i="24"/>
  <c r="Q95" i="24"/>
  <c r="P95" i="24"/>
  <c r="Q94" i="24"/>
  <c r="P94" i="24"/>
  <c r="Q93" i="24"/>
  <c r="P93" i="24"/>
  <c r="Q92" i="24"/>
  <c r="P92" i="24"/>
  <c r="Q91" i="24"/>
  <c r="P91" i="24"/>
  <c r="Q90" i="24"/>
  <c r="P90" i="24"/>
  <c r="Q89" i="24"/>
  <c r="P89" i="24"/>
  <c r="Q88" i="24"/>
  <c r="P88" i="24"/>
  <c r="Q87" i="24"/>
  <c r="P87" i="24"/>
  <c r="Q86" i="24"/>
  <c r="P86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Q66" i="24"/>
  <c r="P66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P13" i="24"/>
  <c r="Q27" i="29"/>
  <c r="Q13" i="24" l="1"/>
  <c r="Q94" i="11"/>
  <c r="Q32" i="11"/>
  <c r="Q93" i="11"/>
  <c r="Q31" i="11"/>
  <c r="Q23" i="11"/>
  <c r="Q78" i="11"/>
  <c r="Q87" i="6"/>
  <c r="Q88" i="6" s="1"/>
  <c r="Q86" i="6"/>
  <c r="Q85" i="6"/>
  <c r="Q78" i="6"/>
  <c r="Q23" i="6"/>
  <c r="R240" i="5"/>
  <c r="R241" i="5"/>
  <c r="R239" i="5"/>
  <c r="R47" i="5"/>
  <c r="R48" i="5"/>
  <c r="R46" i="5"/>
  <c r="R27" i="5"/>
  <c r="R28" i="5"/>
  <c r="R29" i="5"/>
  <c r="Q25" i="4"/>
  <c r="Q26" i="4"/>
  <c r="H25" i="23" l="1"/>
  <c r="M107" i="5"/>
  <c r="T103" i="5"/>
  <c r="M103" i="5"/>
  <c r="V100" i="5"/>
  <c r="W100" i="5" s="1"/>
  <c r="V99" i="5"/>
  <c r="W99" i="5" s="1"/>
  <c r="H38" i="4"/>
  <c r="H39" i="4" s="1"/>
  <c r="I99" i="5"/>
  <c r="P99" i="5" s="1"/>
  <c r="T99" i="5" s="1"/>
  <c r="T100" i="5" s="1"/>
  <c r="M104" i="5" l="1"/>
  <c r="I100" i="5"/>
  <c r="M99" i="5"/>
  <c r="M100" i="5" s="1"/>
  <c r="L38" i="4"/>
  <c r="L39" i="4" s="1"/>
  <c r="L41" i="4" s="1"/>
  <c r="H19" i="23" s="1"/>
  <c r="O38" i="4"/>
  <c r="S38" i="4" s="1"/>
  <c r="T104" i="5" l="1"/>
  <c r="V104" i="5" s="1"/>
  <c r="W104" i="5" s="1"/>
  <c r="V103" i="5"/>
  <c r="W103" i="5" s="1"/>
  <c r="S39" i="4"/>
  <c r="U38" i="4"/>
  <c r="V38" i="4" s="1"/>
  <c r="U39" i="4" l="1"/>
  <c r="V39" i="4" s="1"/>
  <c r="H37" i="3" l="1"/>
  <c r="O36" i="3"/>
  <c r="S36" i="3" s="1"/>
  <c r="H36" i="3"/>
  <c r="L36" i="3" s="1"/>
  <c r="L37" i="3" s="1"/>
  <c r="H18" i="23" s="1"/>
  <c r="U36" i="3" l="1"/>
  <c r="V36" i="3" s="1"/>
  <c r="S37" i="3"/>
  <c r="U37" i="3" s="1"/>
  <c r="V37" i="3" s="1"/>
  <c r="Q27" i="4"/>
  <c r="F5" i="10"/>
  <c r="F6" i="10"/>
  <c r="F7" i="10"/>
  <c r="F8" i="10"/>
  <c r="F9" i="10"/>
  <c r="F10" i="10"/>
  <c r="F4" i="10"/>
  <c r="Q103" i="11"/>
  <c r="Q102" i="11"/>
  <c r="Q101" i="11"/>
  <c r="Q100" i="11"/>
  <c r="Q99" i="11"/>
  <c r="Q98" i="11"/>
  <c r="Q85" i="11"/>
  <c r="Q79" i="11"/>
  <c r="Q24" i="11"/>
  <c r="Q103" i="6"/>
  <c r="Q102" i="6"/>
  <c r="Q101" i="6"/>
  <c r="Q100" i="6"/>
  <c r="Q99" i="6"/>
  <c r="Q98" i="6"/>
  <c r="Q94" i="6"/>
  <c r="Q93" i="6"/>
  <c r="Q31" i="6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2" i="5"/>
  <c r="R243" i="5"/>
  <c r="R244" i="5"/>
  <c r="R207" i="5"/>
  <c r="R208" i="5" s="1"/>
  <c r="R209" i="5" s="1"/>
  <c r="R210" i="5" s="1"/>
  <c r="R211" i="5" s="1"/>
  <c r="R212" i="5" s="1"/>
  <c r="R213" i="5" s="1"/>
  <c r="R214" i="5" s="1"/>
  <c r="R215" i="5" s="1"/>
  <c r="R216" i="5" s="1"/>
  <c r="R206" i="5"/>
  <c r="R205" i="5"/>
  <c r="R191" i="5"/>
  <c r="R192" i="5"/>
  <c r="R190" i="5"/>
  <c r="R49" i="5"/>
  <c r="R50" i="5"/>
  <c r="R51" i="5"/>
  <c r="W39" i="5" l="1"/>
  <c r="T39" i="5"/>
  <c r="V39" i="5"/>
  <c r="P39" i="5"/>
  <c r="M40" i="5"/>
  <c r="M39" i="5"/>
  <c r="I39" i="5"/>
  <c r="L31" i="4"/>
  <c r="V30" i="4"/>
  <c r="U30" i="4"/>
  <c r="S30" i="4"/>
  <c r="O30" i="4"/>
  <c r="L30" i="4"/>
  <c r="H30" i="4"/>
  <c r="L31" i="3"/>
  <c r="V30" i="3"/>
  <c r="U30" i="3"/>
  <c r="S30" i="3"/>
  <c r="Q30" i="3"/>
  <c r="H30" i="3"/>
  <c r="L30" i="3" s="1"/>
  <c r="O30" i="3"/>
  <c r="T339" i="24" l="1"/>
  <c r="T338" i="24"/>
  <c r="S339" i="24"/>
  <c r="N339" i="24"/>
  <c r="S338" i="24"/>
  <c r="N338" i="24"/>
  <c r="G28" i="29" l="1"/>
  <c r="G31" i="29"/>
  <c r="I28" i="29"/>
  <c r="K27" i="29"/>
  <c r="K26" i="29"/>
  <c r="J27" i="29"/>
  <c r="J26" i="29"/>
  <c r="J23" i="29"/>
  <c r="J21" i="29"/>
  <c r="J19" i="29"/>
  <c r="J17" i="29"/>
  <c r="J15" i="29"/>
  <c r="H27" i="29"/>
  <c r="H26" i="29"/>
  <c r="H28" i="29" s="1"/>
  <c r="H23" i="29"/>
  <c r="H21" i="29"/>
  <c r="H19" i="29"/>
  <c r="H17" i="29"/>
  <c r="H15" i="29"/>
  <c r="H31" i="29" s="1"/>
  <c r="M27" i="29"/>
  <c r="P78" i="23"/>
  <c r="K28" i="29" l="1"/>
  <c r="L15" i="29"/>
  <c r="L23" i="29"/>
  <c r="L17" i="29"/>
  <c r="L26" i="29"/>
  <c r="L28" i="29" s="1"/>
  <c r="L19" i="29"/>
  <c r="L27" i="29"/>
  <c r="N27" i="29" s="1"/>
  <c r="L21" i="29"/>
  <c r="J31" i="29"/>
  <c r="J28" i="29"/>
  <c r="L333" i="24"/>
  <c r="K333" i="24"/>
  <c r="L332" i="24"/>
  <c r="K332" i="24"/>
  <c r="L327" i="24"/>
  <c r="K327" i="24"/>
  <c r="L326" i="24"/>
  <c r="K326" i="24"/>
  <c r="L306" i="24"/>
  <c r="K306" i="24"/>
  <c r="L305" i="24"/>
  <c r="K305" i="24"/>
  <c r="L304" i="24"/>
  <c r="K304" i="24"/>
  <c r="L303" i="24"/>
  <c r="K303" i="24"/>
  <c r="L302" i="24"/>
  <c r="K302" i="24"/>
  <c r="L301" i="24"/>
  <c r="K301" i="24"/>
  <c r="L300" i="24"/>
  <c r="K300" i="24"/>
  <c r="L299" i="24"/>
  <c r="K299" i="24"/>
  <c r="L298" i="24"/>
  <c r="K298" i="24"/>
  <c r="L297" i="24"/>
  <c r="K297" i="24"/>
  <c r="L296" i="24"/>
  <c r="K296" i="24"/>
  <c r="L295" i="24"/>
  <c r="K295" i="24"/>
  <c r="L294" i="24"/>
  <c r="K294" i="24"/>
  <c r="L293" i="24"/>
  <c r="K293" i="24"/>
  <c r="L292" i="24"/>
  <c r="K292" i="24"/>
  <c r="L291" i="24"/>
  <c r="K291" i="24"/>
  <c r="L290" i="24"/>
  <c r="K290" i="24"/>
  <c r="L289" i="24"/>
  <c r="K289" i="24"/>
  <c r="L288" i="24"/>
  <c r="K288" i="24"/>
  <c r="L287" i="24"/>
  <c r="K287" i="24"/>
  <c r="L286" i="24"/>
  <c r="K286" i="24"/>
  <c r="L285" i="24"/>
  <c r="K285" i="24"/>
  <c r="L284" i="24"/>
  <c r="K284" i="24"/>
  <c r="L283" i="24"/>
  <c r="K283" i="24"/>
  <c r="L282" i="24"/>
  <c r="K282" i="24"/>
  <c r="L281" i="24"/>
  <c r="K281" i="24"/>
  <c r="L280" i="24"/>
  <c r="K280" i="24"/>
  <c r="L279" i="24"/>
  <c r="K279" i="24"/>
  <c r="L278" i="24"/>
  <c r="K278" i="24"/>
  <c r="L277" i="24"/>
  <c r="K277" i="24"/>
  <c r="L276" i="24"/>
  <c r="K276" i="24"/>
  <c r="L275" i="24"/>
  <c r="K275" i="24"/>
  <c r="L274" i="24"/>
  <c r="K274" i="24"/>
  <c r="L243" i="24"/>
  <c r="K243" i="24"/>
  <c r="L242" i="24"/>
  <c r="K242" i="24"/>
  <c r="L241" i="24"/>
  <c r="K241" i="24"/>
  <c r="L240" i="24"/>
  <c r="K240" i="24"/>
  <c r="L239" i="24"/>
  <c r="K239" i="24"/>
  <c r="L238" i="24"/>
  <c r="K238" i="24"/>
  <c r="L237" i="24"/>
  <c r="K237" i="24"/>
  <c r="L236" i="24"/>
  <c r="K236" i="24"/>
  <c r="L235" i="24"/>
  <c r="K235" i="24"/>
  <c r="L234" i="24"/>
  <c r="K234" i="24"/>
  <c r="L233" i="24"/>
  <c r="K233" i="24"/>
  <c r="L232" i="24"/>
  <c r="K232" i="24"/>
  <c r="L231" i="24"/>
  <c r="K231" i="24"/>
  <c r="L230" i="24"/>
  <c r="K230" i="24"/>
  <c r="L229" i="24"/>
  <c r="K229" i="24"/>
  <c r="L228" i="24"/>
  <c r="K228" i="24"/>
  <c r="L227" i="24"/>
  <c r="K227" i="24"/>
  <c r="L226" i="24"/>
  <c r="K226" i="24"/>
  <c r="L225" i="24"/>
  <c r="K225" i="24"/>
  <c r="L224" i="24"/>
  <c r="K224" i="24"/>
  <c r="L223" i="24"/>
  <c r="K223" i="24"/>
  <c r="L190" i="24"/>
  <c r="K190" i="24"/>
  <c r="L189" i="24"/>
  <c r="K189" i="24"/>
  <c r="L188" i="24"/>
  <c r="K188" i="24"/>
  <c r="L187" i="24"/>
  <c r="K187" i="24"/>
  <c r="L186" i="24"/>
  <c r="K186" i="24"/>
  <c r="L185" i="24"/>
  <c r="K185" i="24"/>
  <c r="L184" i="24"/>
  <c r="K184" i="24"/>
  <c r="L183" i="24"/>
  <c r="K183" i="24"/>
  <c r="L182" i="24"/>
  <c r="K182" i="24"/>
  <c r="L181" i="24"/>
  <c r="K181" i="24"/>
  <c r="L180" i="24"/>
  <c r="K180" i="24"/>
  <c r="L179" i="24"/>
  <c r="K179" i="24"/>
  <c r="L178" i="24"/>
  <c r="K178" i="24"/>
  <c r="L177" i="24"/>
  <c r="K177" i="24"/>
  <c r="L176" i="24"/>
  <c r="K176" i="24"/>
  <c r="L175" i="24"/>
  <c r="K175" i="24"/>
  <c r="L174" i="24"/>
  <c r="K174" i="24"/>
  <c r="L173" i="24"/>
  <c r="K173" i="24"/>
  <c r="L172" i="24"/>
  <c r="K172" i="24"/>
  <c r="L171" i="24"/>
  <c r="K171" i="24"/>
  <c r="L170" i="24"/>
  <c r="K170" i="24"/>
  <c r="L153" i="24"/>
  <c r="K153" i="24"/>
  <c r="L152" i="24"/>
  <c r="K152" i="24"/>
  <c r="L151" i="24"/>
  <c r="K151" i="24"/>
  <c r="L150" i="24"/>
  <c r="K150" i="24"/>
  <c r="L149" i="24"/>
  <c r="K149" i="24"/>
  <c r="L148" i="24"/>
  <c r="K148" i="24"/>
  <c r="L147" i="24"/>
  <c r="K147" i="24"/>
  <c r="L146" i="24"/>
  <c r="K146" i="24"/>
  <c r="L145" i="24"/>
  <c r="K145" i="24"/>
  <c r="L144" i="24"/>
  <c r="K144" i="24"/>
  <c r="L143" i="24"/>
  <c r="K143" i="24"/>
  <c r="L142" i="24"/>
  <c r="K142" i="24"/>
  <c r="L141" i="24"/>
  <c r="K141" i="24"/>
  <c r="L140" i="24"/>
  <c r="K140" i="24"/>
  <c r="L139" i="24"/>
  <c r="K139" i="24"/>
  <c r="L138" i="24"/>
  <c r="K138" i="24"/>
  <c r="L137" i="24"/>
  <c r="K137" i="24"/>
  <c r="L134" i="24"/>
  <c r="K134" i="24"/>
  <c r="L133" i="24"/>
  <c r="K133" i="24"/>
  <c r="L132" i="24"/>
  <c r="K132" i="24"/>
  <c r="L131" i="24"/>
  <c r="K131" i="24"/>
  <c r="L130" i="24"/>
  <c r="K130" i="24"/>
  <c r="L129" i="24"/>
  <c r="K129" i="24"/>
  <c r="L128" i="24"/>
  <c r="K128" i="24"/>
  <c r="L127" i="24"/>
  <c r="K127" i="24"/>
  <c r="L126" i="24"/>
  <c r="K126" i="24"/>
  <c r="L125" i="24"/>
  <c r="K125" i="24"/>
  <c r="L124" i="24"/>
  <c r="K124" i="24"/>
  <c r="L123" i="24"/>
  <c r="K123" i="24"/>
  <c r="L122" i="24"/>
  <c r="K122" i="24"/>
  <c r="L121" i="24"/>
  <c r="K121" i="24"/>
  <c r="L120" i="24"/>
  <c r="K120" i="24"/>
  <c r="L119" i="24"/>
  <c r="K119" i="24"/>
  <c r="L118" i="24"/>
  <c r="K118" i="24"/>
  <c r="L99" i="24"/>
  <c r="K99" i="24"/>
  <c r="L98" i="24"/>
  <c r="K98" i="24"/>
  <c r="L97" i="24"/>
  <c r="K97" i="24"/>
  <c r="L96" i="24"/>
  <c r="K96" i="24"/>
  <c r="L95" i="24"/>
  <c r="K95" i="24"/>
  <c r="L94" i="24"/>
  <c r="K94" i="24"/>
  <c r="L93" i="24"/>
  <c r="K93" i="24"/>
  <c r="L92" i="24"/>
  <c r="K92" i="24"/>
  <c r="L91" i="24"/>
  <c r="K91" i="24"/>
  <c r="L90" i="24"/>
  <c r="K90" i="24"/>
  <c r="L89" i="24"/>
  <c r="K89" i="24"/>
  <c r="L88" i="24"/>
  <c r="K88" i="24"/>
  <c r="L87" i="24"/>
  <c r="K87" i="24"/>
  <c r="L86" i="24"/>
  <c r="K86" i="24"/>
  <c r="L82" i="24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L31" i="29" l="1"/>
  <c r="G333" i="24"/>
  <c r="G332" i="24"/>
  <c r="G327" i="24"/>
  <c r="G326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R27" i="23"/>
  <c r="N25" i="23"/>
  <c r="N33" i="23" l="1"/>
  <c r="N27" i="23"/>
  <c r="N26" i="23"/>
  <c r="E12" i="10"/>
  <c r="D12" i="10"/>
  <c r="N19" i="23" l="1"/>
  <c r="N18" i="23"/>
  <c r="B13" i="25" l="1"/>
  <c r="B16" i="25" s="1"/>
  <c r="B28" i="25" s="1"/>
  <c r="B50" i="25" s="1"/>
  <c r="B91" i="25" s="1"/>
  <c r="B113" i="25" s="1"/>
  <c r="B125" i="25" s="1"/>
  <c r="B137" i="25" s="1"/>
  <c r="B157" i="25" s="1"/>
  <c r="B169" i="25" s="1"/>
  <c r="B197" i="25" s="1"/>
  <c r="B229" i="25" s="1"/>
  <c r="B237" i="25" s="1"/>
  <c r="B245" i="25" s="1"/>
  <c r="B258" i="25" s="1"/>
  <c r="B270" i="25" s="1"/>
  <c r="B283" i="25" s="1"/>
  <c r="B296" i="25" s="1"/>
  <c r="B303" i="25" s="1"/>
  <c r="B310" i="25" s="1"/>
  <c r="B318" i="25" s="1"/>
  <c r="B325" i="25" s="1"/>
  <c r="B332" i="25" s="1"/>
  <c r="B340" i="25" s="1"/>
  <c r="B347" i="25" s="1"/>
  <c r="B351" i="25" s="1"/>
  <c r="B354" i="25" s="1"/>
  <c r="B9" i="25"/>
  <c r="N85" i="23" l="1"/>
  <c r="N84" i="23"/>
  <c r="N78" i="23"/>
  <c r="N77" i="23"/>
  <c r="N76" i="23"/>
  <c r="N70" i="23"/>
  <c r="N69" i="23"/>
  <c r="F85" i="23"/>
  <c r="J33" i="23"/>
  <c r="H33" i="23"/>
  <c r="B2" i="24"/>
  <c r="M332" i="24"/>
  <c r="G335" i="24"/>
  <c r="M326" i="24"/>
  <c r="H318" i="24"/>
  <c r="D318" i="24"/>
  <c r="I313" i="24"/>
  <c r="D313" i="24"/>
  <c r="R312" i="24"/>
  <c r="R364" i="24" s="1"/>
  <c r="M305" i="24"/>
  <c r="N305" i="24" s="1"/>
  <c r="M303" i="24"/>
  <c r="N303" i="24" s="1"/>
  <c r="M301" i="24"/>
  <c r="N301" i="24" s="1"/>
  <c r="M299" i="24"/>
  <c r="N299" i="24" s="1"/>
  <c r="M297" i="24"/>
  <c r="N297" i="24" s="1"/>
  <c r="M296" i="24"/>
  <c r="N296" i="24" s="1"/>
  <c r="M295" i="24"/>
  <c r="M294" i="24"/>
  <c r="N294" i="24" s="1"/>
  <c r="M293" i="24"/>
  <c r="N293" i="24" s="1"/>
  <c r="M292" i="24"/>
  <c r="N292" i="24" s="1"/>
  <c r="M291" i="24"/>
  <c r="N291" i="24" s="1"/>
  <c r="M289" i="24"/>
  <c r="N289" i="24" s="1"/>
  <c r="M288" i="24"/>
  <c r="N288" i="24" s="1"/>
  <c r="M287" i="24"/>
  <c r="M286" i="24"/>
  <c r="N286" i="24" s="1"/>
  <c r="R286" i="24"/>
  <c r="S286" i="24" s="1"/>
  <c r="T286" i="24" s="1"/>
  <c r="M285" i="24"/>
  <c r="N285" i="24" s="1"/>
  <c r="M284" i="24"/>
  <c r="N284" i="24" s="1"/>
  <c r="M283" i="24"/>
  <c r="N283" i="24" s="1"/>
  <c r="M281" i="24"/>
  <c r="N281" i="24" s="1"/>
  <c r="M280" i="24"/>
  <c r="N280" i="24" s="1"/>
  <c r="M279" i="24"/>
  <c r="M278" i="24"/>
  <c r="N278" i="24" s="1"/>
  <c r="M277" i="24"/>
  <c r="N277" i="24" s="1"/>
  <c r="M276" i="24"/>
  <c r="N276" i="24" s="1"/>
  <c r="M275" i="24"/>
  <c r="N275" i="24" s="1"/>
  <c r="H266" i="24"/>
  <c r="D266" i="24"/>
  <c r="H265" i="24"/>
  <c r="H264" i="24"/>
  <c r="H263" i="24"/>
  <c r="I261" i="24"/>
  <c r="D261" i="24"/>
  <c r="M243" i="24"/>
  <c r="N243" i="24" s="1"/>
  <c r="I243" i="24"/>
  <c r="I242" i="24"/>
  <c r="M241" i="24"/>
  <c r="N241" i="24" s="1"/>
  <c r="I241" i="24"/>
  <c r="I240" i="24"/>
  <c r="M239" i="24"/>
  <c r="N239" i="24" s="1"/>
  <c r="I239" i="24"/>
  <c r="I238" i="24"/>
  <c r="I237" i="24"/>
  <c r="M236" i="24"/>
  <c r="N236" i="24" s="1"/>
  <c r="I236" i="24"/>
  <c r="M235" i="24"/>
  <c r="N235" i="24" s="1"/>
  <c r="I235" i="24"/>
  <c r="I234" i="24"/>
  <c r="M233" i="24"/>
  <c r="N233" i="24" s="1"/>
  <c r="I233" i="24"/>
  <c r="I232" i="24"/>
  <c r="M231" i="24"/>
  <c r="N231" i="24" s="1"/>
  <c r="I231" i="24"/>
  <c r="M230" i="24"/>
  <c r="N230" i="24" s="1"/>
  <c r="I230" i="24"/>
  <c r="M229" i="24"/>
  <c r="N229" i="24" s="1"/>
  <c r="I229" i="24"/>
  <c r="I228" i="24"/>
  <c r="R227" i="24"/>
  <c r="S227" i="24" s="1"/>
  <c r="T227" i="24" s="1"/>
  <c r="M227" i="24"/>
  <c r="N227" i="24" s="1"/>
  <c r="I227" i="24"/>
  <c r="M226" i="24"/>
  <c r="N226" i="24" s="1"/>
  <c r="I226" i="24"/>
  <c r="M225" i="24"/>
  <c r="N225" i="24" s="1"/>
  <c r="I225" i="24"/>
  <c r="I224" i="24"/>
  <c r="M223" i="24"/>
  <c r="N223" i="24" s="1"/>
  <c r="I223" i="24"/>
  <c r="D214" i="24"/>
  <c r="R208" i="24"/>
  <c r="R260" i="24" s="1"/>
  <c r="M190" i="24"/>
  <c r="N190" i="24" s="1"/>
  <c r="I190" i="24"/>
  <c r="M189" i="24"/>
  <c r="N189" i="24" s="1"/>
  <c r="I189" i="24"/>
  <c r="M188" i="24"/>
  <c r="R188" i="24"/>
  <c r="I188" i="24"/>
  <c r="M187" i="24"/>
  <c r="N187" i="24" s="1"/>
  <c r="I187" i="24"/>
  <c r="I186" i="24"/>
  <c r="N185" i="24"/>
  <c r="M185" i="24"/>
  <c r="I185" i="24"/>
  <c r="M184" i="24"/>
  <c r="N184" i="24" s="1"/>
  <c r="I184" i="24"/>
  <c r="M183" i="24"/>
  <c r="N183" i="24" s="1"/>
  <c r="I183" i="24"/>
  <c r="M182" i="24"/>
  <c r="N182" i="24" s="1"/>
  <c r="I182" i="24"/>
  <c r="M181" i="24"/>
  <c r="N181" i="24" s="1"/>
  <c r="I181" i="24"/>
  <c r="M180" i="24"/>
  <c r="N180" i="24" s="1"/>
  <c r="I180" i="24"/>
  <c r="I179" i="24"/>
  <c r="M178" i="24"/>
  <c r="N178" i="24" s="1"/>
  <c r="I178" i="24"/>
  <c r="M177" i="24"/>
  <c r="N177" i="24" s="1"/>
  <c r="I177" i="24"/>
  <c r="M176" i="24"/>
  <c r="N176" i="24" s="1"/>
  <c r="I176" i="24"/>
  <c r="I175" i="24"/>
  <c r="I174" i="24"/>
  <c r="M173" i="24"/>
  <c r="N173" i="24" s="1"/>
  <c r="I173" i="24"/>
  <c r="M172" i="24"/>
  <c r="N172" i="24" s="1"/>
  <c r="I172" i="24"/>
  <c r="M171" i="24"/>
  <c r="N171" i="24" s="1"/>
  <c r="I171" i="24"/>
  <c r="M170" i="24"/>
  <c r="N170" i="24" s="1"/>
  <c r="I170" i="24"/>
  <c r="D162" i="24"/>
  <c r="I153" i="24"/>
  <c r="M152" i="24"/>
  <c r="R152" i="24"/>
  <c r="S152" i="24" s="1"/>
  <c r="T152" i="24" s="1"/>
  <c r="I152" i="24"/>
  <c r="M151" i="24"/>
  <c r="N151" i="24" s="1"/>
  <c r="I151" i="24"/>
  <c r="M150" i="24"/>
  <c r="N150" i="24" s="1"/>
  <c r="I150" i="24"/>
  <c r="M149" i="24"/>
  <c r="N149" i="24" s="1"/>
  <c r="I149" i="24"/>
  <c r="M148" i="24"/>
  <c r="I148" i="24"/>
  <c r="M147" i="24"/>
  <c r="N147" i="24" s="1"/>
  <c r="I147" i="24"/>
  <c r="M146" i="24"/>
  <c r="N146" i="24" s="1"/>
  <c r="I146" i="24"/>
  <c r="M145" i="24"/>
  <c r="N145" i="24" s="1"/>
  <c r="I145" i="24"/>
  <c r="M144" i="24"/>
  <c r="R144" i="24"/>
  <c r="S144" i="24" s="1"/>
  <c r="I144" i="24"/>
  <c r="M143" i="24"/>
  <c r="N143" i="24" s="1"/>
  <c r="I143" i="24"/>
  <c r="M142" i="24"/>
  <c r="N142" i="24" s="1"/>
  <c r="I142" i="24"/>
  <c r="I141" i="24"/>
  <c r="N140" i="24"/>
  <c r="M140" i="24"/>
  <c r="R140" i="24"/>
  <c r="S140" i="24" s="1"/>
  <c r="T140" i="24" s="1"/>
  <c r="I140" i="24"/>
  <c r="M139" i="24"/>
  <c r="I139" i="24"/>
  <c r="I138" i="24"/>
  <c r="I137" i="24"/>
  <c r="I134" i="24"/>
  <c r="M133" i="24"/>
  <c r="N133" i="24" s="1"/>
  <c r="I133" i="24"/>
  <c r="M132" i="24"/>
  <c r="N132" i="24" s="1"/>
  <c r="I132" i="24"/>
  <c r="M131" i="24"/>
  <c r="N131" i="24" s="1"/>
  <c r="R131" i="24"/>
  <c r="S131" i="24" s="1"/>
  <c r="I131" i="24"/>
  <c r="I130" i="24"/>
  <c r="M129" i="24"/>
  <c r="N129" i="24" s="1"/>
  <c r="I129" i="24"/>
  <c r="M128" i="24"/>
  <c r="N128" i="24" s="1"/>
  <c r="I128" i="24"/>
  <c r="R127" i="24"/>
  <c r="S127" i="24" s="1"/>
  <c r="I127" i="24"/>
  <c r="M126" i="24"/>
  <c r="N126" i="24" s="1"/>
  <c r="I126" i="24"/>
  <c r="N125" i="24"/>
  <c r="M125" i="24"/>
  <c r="R125" i="24"/>
  <c r="S125" i="24" s="1"/>
  <c r="I125" i="24"/>
  <c r="M124" i="24"/>
  <c r="N124" i="24" s="1"/>
  <c r="R124" i="24"/>
  <c r="S124" i="24" s="1"/>
  <c r="I124" i="24"/>
  <c r="I123" i="24"/>
  <c r="R122" i="24"/>
  <c r="S122" i="24" s="1"/>
  <c r="M122" i="24"/>
  <c r="N122" i="24" s="1"/>
  <c r="I122" i="24"/>
  <c r="N121" i="24"/>
  <c r="M121" i="24"/>
  <c r="I121" i="24"/>
  <c r="M120" i="24"/>
  <c r="R120" i="24"/>
  <c r="I120" i="24"/>
  <c r="I119" i="24"/>
  <c r="M118" i="24"/>
  <c r="N118" i="24" s="1"/>
  <c r="I118" i="24"/>
  <c r="H110" i="24"/>
  <c r="D110" i="24"/>
  <c r="H109" i="24"/>
  <c r="H108" i="24"/>
  <c r="H107" i="24"/>
  <c r="I105" i="24"/>
  <c r="D105" i="24"/>
  <c r="P103" i="24"/>
  <c r="I99" i="24"/>
  <c r="I98" i="24"/>
  <c r="M97" i="24"/>
  <c r="N97" i="24" s="1"/>
  <c r="I97" i="24"/>
  <c r="I96" i="24"/>
  <c r="I95" i="24"/>
  <c r="I94" i="24"/>
  <c r="I93" i="24"/>
  <c r="I92" i="24"/>
  <c r="I91" i="24"/>
  <c r="I90" i="24"/>
  <c r="I89" i="24"/>
  <c r="I88" i="24"/>
  <c r="I87" i="24"/>
  <c r="I86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M70" i="24"/>
  <c r="N70" i="24" s="1"/>
  <c r="I70" i="24"/>
  <c r="I69" i="24"/>
  <c r="I68" i="24"/>
  <c r="I67" i="24"/>
  <c r="I66" i="24"/>
  <c r="H58" i="24"/>
  <c r="D58" i="24"/>
  <c r="H57" i="24"/>
  <c r="H56" i="24"/>
  <c r="H55" i="24"/>
  <c r="I53" i="24"/>
  <c r="D53" i="24"/>
  <c r="M47" i="24"/>
  <c r="N47" i="24" s="1"/>
  <c r="M99" i="24"/>
  <c r="N99" i="24" s="1"/>
  <c r="I47" i="24"/>
  <c r="M46" i="24"/>
  <c r="N46" i="24" s="1"/>
  <c r="I46" i="24"/>
  <c r="R97" i="24"/>
  <c r="S97" i="24" s="1"/>
  <c r="T97" i="24" s="1"/>
  <c r="I45" i="24"/>
  <c r="I44" i="24"/>
  <c r="M43" i="24"/>
  <c r="N43" i="24" s="1"/>
  <c r="M95" i="24"/>
  <c r="N95" i="24" s="1"/>
  <c r="I43" i="24"/>
  <c r="M42" i="24"/>
  <c r="I42" i="24"/>
  <c r="I41" i="24"/>
  <c r="M40" i="24"/>
  <c r="N40" i="24" s="1"/>
  <c r="I40" i="24"/>
  <c r="M39" i="24"/>
  <c r="N39" i="24" s="1"/>
  <c r="I39" i="24"/>
  <c r="M38" i="24"/>
  <c r="N38" i="24" s="1"/>
  <c r="I38" i="24"/>
  <c r="I37" i="24"/>
  <c r="I36" i="24"/>
  <c r="M35" i="24"/>
  <c r="N35" i="24" s="1"/>
  <c r="I35" i="24"/>
  <c r="M34" i="24"/>
  <c r="I34" i="24"/>
  <c r="I29" i="24"/>
  <c r="M28" i="24"/>
  <c r="N28" i="24" s="1"/>
  <c r="I28" i="24"/>
  <c r="M27" i="24"/>
  <c r="N27" i="24" s="1"/>
  <c r="I27" i="24"/>
  <c r="I26" i="24"/>
  <c r="M25" i="24"/>
  <c r="N25" i="24" s="1"/>
  <c r="I25" i="24"/>
  <c r="M24" i="24"/>
  <c r="N24" i="24" s="1"/>
  <c r="I23" i="24"/>
  <c r="I22" i="24"/>
  <c r="I21" i="24"/>
  <c r="M20" i="24"/>
  <c r="N20" i="24" s="1"/>
  <c r="R20" i="24"/>
  <c r="S20" i="24" s="1"/>
  <c r="T20" i="24" s="1"/>
  <c r="I20" i="24"/>
  <c r="I19" i="24"/>
  <c r="M18" i="24"/>
  <c r="N18" i="24" s="1"/>
  <c r="I18" i="24"/>
  <c r="M17" i="24"/>
  <c r="N17" i="24" s="1"/>
  <c r="I17" i="24"/>
  <c r="I16" i="24"/>
  <c r="I15" i="24"/>
  <c r="M14" i="24"/>
  <c r="N14" i="24" s="1"/>
  <c r="I14" i="24"/>
  <c r="M13" i="24"/>
  <c r="N13" i="24" s="1"/>
  <c r="G246" i="24"/>
  <c r="T125" i="24" l="1"/>
  <c r="T124" i="24"/>
  <c r="T131" i="24"/>
  <c r="R333" i="24"/>
  <c r="S333" i="24" s="1"/>
  <c r="R278" i="24"/>
  <c r="S278" i="24" s="1"/>
  <c r="T278" i="24" s="1"/>
  <c r="R300" i="24"/>
  <c r="S300" i="24" s="1"/>
  <c r="R304" i="24"/>
  <c r="S304" i="24" s="1"/>
  <c r="R229" i="24"/>
  <c r="S229" i="24" s="1"/>
  <c r="T229" i="24" s="1"/>
  <c r="R241" i="24"/>
  <c r="S241" i="24" s="1"/>
  <c r="T241" i="24" s="1"/>
  <c r="R225" i="24"/>
  <c r="S225" i="24" s="1"/>
  <c r="T225" i="24" s="1"/>
  <c r="R237" i="24"/>
  <c r="S237" i="24" s="1"/>
  <c r="T237" i="24" s="1"/>
  <c r="R170" i="24"/>
  <c r="S170" i="24" s="1"/>
  <c r="T170" i="24" s="1"/>
  <c r="R184" i="24"/>
  <c r="S184" i="24" s="1"/>
  <c r="T184" i="24" s="1"/>
  <c r="R148" i="24"/>
  <c r="S148" i="24" s="1"/>
  <c r="T122" i="24"/>
  <c r="R27" i="24"/>
  <c r="S27" i="24" s="1"/>
  <c r="T27" i="24" s="1"/>
  <c r="R332" i="24"/>
  <c r="S332" i="24" s="1"/>
  <c r="R294" i="24"/>
  <c r="S294" i="24" s="1"/>
  <c r="T294" i="24" s="1"/>
  <c r="R240" i="24"/>
  <c r="S240" i="24" s="1"/>
  <c r="T240" i="24" s="1"/>
  <c r="R233" i="24"/>
  <c r="S233" i="24" s="1"/>
  <c r="T233" i="24" s="1"/>
  <c r="R243" i="24"/>
  <c r="S243" i="24" s="1"/>
  <c r="T243" i="24" s="1"/>
  <c r="R177" i="24"/>
  <c r="S177" i="24" s="1"/>
  <c r="T177" i="24" s="1"/>
  <c r="R180" i="24"/>
  <c r="S180" i="24" s="1"/>
  <c r="T180" i="24" s="1"/>
  <c r="R172" i="24"/>
  <c r="S172" i="24" s="1"/>
  <c r="T172" i="24" s="1"/>
  <c r="R176" i="24"/>
  <c r="S176" i="24" s="1"/>
  <c r="T176" i="24" s="1"/>
  <c r="R76" i="24"/>
  <c r="S76" i="24" s="1"/>
  <c r="T76" i="24" s="1"/>
  <c r="M89" i="24"/>
  <c r="N89" i="24" s="1"/>
  <c r="M86" i="24"/>
  <c r="N86" i="24" s="1"/>
  <c r="R89" i="24"/>
  <c r="S89" i="24" s="1"/>
  <c r="T89" i="24" s="1"/>
  <c r="M91" i="24"/>
  <c r="N91" i="24" s="1"/>
  <c r="R78" i="24"/>
  <c r="S78" i="24" s="1"/>
  <c r="T78" i="24" s="1"/>
  <c r="M67" i="24"/>
  <c r="N67" i="24" s="1"/>
  <c r="M69" i="24"/>
  <c r="N69" i="24" s="1"/>
  <c r="M72" i="24"/>
  <c r="N72" i="24" s="1"/>
  <c r="M77" i="24"/>
  <c r="N77" i="24" s="1"/>
  <c r="M81" i="24"/>
  <c r="N81" i="24" s="1"/>
  <c r="R82" i="24"/>
  <c r="S82" i="24" s="1"/>
  <c r="T82" i="24" s="1"/>
  <c r="R70" i="24"/>
  <c r="S70" i="24" s="1"/>
  <c r="T70" i="24" s="1"/>
  <c r="R93" i="24"/>
  <c r="S93" i="24" s="1"/>
  <c r="T93" i="24" s="1"/>
  <c r="R175" i="24"/>
  <c r="S175" i="24" s="1"/>
  <c r="M175" i="24"/>
  <c r="N175" i="24" s="1"/>
  <c r="I13" i="24"/>
  <c r="M16" i="24"/>
  <c r="N16" i="24" s="1"/>
  <c r="M71" i="24"/>
  <c r="N71" i="24" s="1"/>
  <c r="R74" i="24"/>
  <c r="S74" i="24" s="1"/>
  <c r="T74" i="24" s="1"/>
  <c r="R21" i="24"/>
  <c r="S21" i="24" s="1"/>
  <c r="T21" i="24" s="1"/>
  <c r="M75" i="24"/>
  <c r="N75" i="24" s="1"/>
  <c r="M22" i="24"/>
  <c r="N22" i="24" s="1"/>
  <c r="M23" i="24"/>
  <c r="N23" i="24" s="1"/>
  <c r="I24" i="24"/>
  <c r="M88" i="24"/>
  <c r="N88" i="24" s="1"/>
  <c r="M36" i="24"/>
  <c r="N36" i="24" s="1"/>
  <c r="M96" i="24"/>
  <c r="N96" i="24" s="1"/>
  <c r="M44" i="24"/>
  <c r="N44" i="24" s="1"/>
  <c r="M78" i="24"/>
  <c r="N78" i="24" s="1"/>
  <c r="R119" i="24"/>
  <c r="S119" i="24" s="1"/>
  <c r="R128" i="24"/>
  <c r="S128" i="24" s="1"/>
  <c r="T128" i="24" s="1"/>
  <c r="R130" i="24"/>
  <c r="S130" i="24" s="1"/>
  <c r="M130" i="24"/>
  <c r="N130" i="24" s="1"/>
  <c r="M242" i="24"/>
  <c r="N242" i="24" s="1"/>
  <c r="R242" i="24"/>
  <c r="S242" i="24" s="1"/>
  <c r="T242" i="24" s="1"/>
  <c r="S120" i="24"/>
  <c r="M66" i="24"/>
  <c r="N66" i="24" s="1"/>
  <c r="M15" i="24"/>
  <c r="N15" i="24" s="1"/>
  <c r="M19" i="24"/>
  <c r="N19" i="24" s="1"/>
  <c r="M74" i="24"/>
  <c r="N74" i="24" s="1"/>
  <c r="M21" i="24"/>
  <c r="N21" i="24" s="1"/>
  <c r="R23" i="24"/>
  <c r="S23" i="24" s="1"/>
  <c r="T23" i="24" s="1"/>
  <c r="M79" i="24"/>
  <c r="N79" i="24" s="1"/>
  <c r="N34" i="24"/>
  <c r="R35" i="24"/>
  <c r="S35" i="24" s="1"/>
  <c r="T35" i="24" s="1"/>
  <c r="R37" i="24"/>
  <c r="S37" i="24" s="1"/>
  <c r="T37" i="24" s="1"/>
  <c r="M90" i="24"/>
  <c r="N90" i="24" s="1"/>
  <c r="R41" i="24"/>
  <c r="S41" i="24" s="1"/>
  <c r="T41" i="24" s="1"/>
  <c r="N42" i="24"/>
  <c r="R45" i="24"/>
  <c r="S45" i="24" s="1"/>
  <c r="T45" i="24" s="1"/>
  <c r="M98" i="24"/>
  <c r="N98" i="24" s="1"/>
  <c r="M76" i="24"/>
  <c r="N76" i="24" s="1"/>
  <c r="R118" i="24"/>
  <c r="S118" i="24" s="1"/>
  <c r="R126" i="24"/>
  <c r="S126" i="24" s="1"/>
  <c r="T126" i="24" s="1"/>
  <c r="R139" i="24"/>
  <c r="S139" i="24" s="1"/>
  <c r="M68" i="24"/>
  <c r="N68" i="24" s="1"/>
  <c r="R17" i="24"/>
  <c r="S17" i="24" s="1"/>
  <c r="T17" i="24" s="1"/>
  <c r="R75" i="24"/>
  <c r="S75" i="24" s="1"/>
  <c r="T75" i="24" s="1"/>
  <c r="R22" i="24"/>
  <c r="S22" i="24" s="1"/>
  <c r="T22" i="24" s="1"/>
  <c r="M29" i="24"/>
  <c r="N29" i="24" s="1"/>
  <c r="M82" i="24"/>
  <c r="N82" i="24" s="1"/>
  <c r="R88" i="24"/>
  <c r="S88" i="24" s="1"/>
  <c r="T88" i="24" s="1"/>
  <c r="R42" i="24"/>
  <c r="S42" i="24" s="1"/>
  <c r="T42" i="24" s="1"/>
  <c r="R96" i="24"/>
  <c r="S96" i="24" s="1"/>
  <c r="T96" i="24" s="1"/>
  <c r="M92" i="24"/>
  <c r="N92" i="24" s="1"/>
  <c r="N120" i="24"/>
  <c r="R121" i="24"/>
  <c r="S121" i="24" s="1"/>
  <c r="T121" i="24" s="1"/>
  <c r="R123" i="24"/>
  <c r="S123" i="24" s="1"/>
  <c r="R134" i="24"/>
  <c r="S134" i="24" s="1"/>
  <c r="M134" i="24"/>
  <c r="M137" i="24"/>
  <c r="N137" i="24" s="1"/>
  <c r="R137" i="24"/>
  <c r="S137" i="24" s="1"/>
  <c r="R138" i="24"/>
  <c r="S138" i="24" s="1"/>
  <c r="T138" i="24" s="1"/>
  <c r="M141" i="24"/>
  <c r="N141" i="24" s="1"/>
  <c r="R141" i="24"/>
  <c r="S141" i="24" s="1"/>
  <c r="T141" i="24" s="1"/>
  <c r="M186" i="24"/>
  <c r="N186" i="24" s="1"/>
  <c r="R186" i="24"/>
  <c r="S186" i="24" s="1"/>
  <c r="R25" i="24"/>
  <c r="S25" i="24" s="1"/>
  <c r="T25" i="24" s="1"/>
  <c r="M26" i="24"/>
  <c r="N26" i="24" s="1"/>
  <c r="R29" i="24"/>
  <c r="S29" i="24" s="1"/>
  <c r="T29" i="24" s="1"/>
  <c r="R36" i="24"/>
  <c r="S36" i="24" s="1"/>
  <c r="T36" i="24" s="1"/>
  <c r="M37" i="24"/>
  <c r="N37" i="24" s="1"/>
  <c r="M41" i="24"/>
  <c r="N41" i="24" s="1"/>
  <c r="R44" i="24"/>
  <c r="S44" i="24" s="1"/>
  <c r="T44" i="24" s="1"/>
  <c r="M45" i="24"/>
  <c r="N45" i="24" s="1"/>
  <c r="R73" i="24"/>
  <c r="S73" i="24" s="1"/>
  <c r="T73" i="24" s="1"/>
  <c r="M94" i="24"/>
  <c r="N94" i="24" s="1"/>
  <c r="M119" i="24"/>
  <c r="N119" i="24" s="1"/>
  <c r="M123" i="24"/>
  <c r="N123" i="24" s="1"/>
  <c r="M127" i="24"/>
  <c r="N127" i="24" s="1"/>
  <c r="T127" i="24" s="1"/>
  <c r="R132" i="24"/>
  <c r="S132" i="24" s="1"/>
  <c r="T132" i="24" s="1"/>
  <c r="R142" i="24"/>
  <c r="S142" i="24" s="1"/>
  <c r="T142" i="24" s="1"/>
  <c r="R146" i="24"/>
  <c r="S146" i="24" s="1"/>
  <c r="T146" i="24" s="1"/>
  <c r="R150" i="24"/>
  <c r="S150" i="24" s="1"/>
  <c r="T150" i="24" s="1"/>
  <c r="S188" i="24"/>
  <c r="R80" i="24"/>
  <c r="S80" i="24" s="1"/>
  <c r="T80" i="24" s="1"/>
  <c r="M93" i="24"/>
  <c r="N93" i="24" s="1"/>
  <c r="R94" i="24"/>
  <c r="S94" i="24" s="1"/>
  <c r="T94" i="24" s="1"/>
  <c r="R143" i="24"/>
  <c r="S143" i="24" s="1"/>
  <c r="T143" i="24" s="1"/>
  <c r="N144" i="24"/>
  <c r="T144" i="24" s="1"/>
  <c r="R147" i="24"/>
  <c r="S147" i="24" s="1"/>
  <c r="T147" i="24" s="1"/>
  <c r="N148" i="24"/>
  <c r="R151" i="24"/>
  <c r="S151" i="24" s="1"/>
  <c r="T151" i="24" s="1"/>
  <c r="N152" i="24"/>
  <c r="R153" i="24"/>
  <c r="S153" i="24" s="1"/>
  <c r="T153" i="24" s="1"/>
  <c r="R171" i="24"/>
  <c r="S171" i="24" s="1"/>
  <c r="T171" i="24" s="1"/>
  <c r="R129" i="24"/>
  <c r="S129" i="24" s="1"/>
  <c r="T129" i="24" s="1"/>
  <c r="R133" i="24"/>
  <c r="S133" i="24" s="1"/>
  <c r="T133" i="24" s="1"/>
  <c r="M138" i="24"/>
  <c r="N138" i="24" s="1"/>
  <c r="N139" i="24"/>
  <c r="M179" i="24"/>
  <c r="N179" i="24" s="1"/>
  <c r="R179" i="24"/>
  <c r="S179" i="24" s="1"/>
  <c r="R232" i="24"/>
  <c r="S232" i="24" s="1"/>
  <c r="R145" i="24"/>
  <c r="S145" i="24" s="1"/>
  <c r="T145" i="24" s="1"/>
  <c r="R149" i="24"/>
  <c r="S149" i="24" s="1"/>
  <c r="T149" i="24" s="1"/>
  <c r="R173" i="24"/>
  <c r="S173" i="24" s="1"/>
  <c r="T173" i="24" s="1"/>
  <c r="R182" i="24"/>
  <c r="S182" i="24" s="1"/>
  <c r="T182" i="24" s="1"/>
  <c r="R231" i="24"/>
  <c r="S231" i="24" s="1"/>
  <c r="T231" i="24" s="1"/>
  <c r="M274" i="24"/>
  <c r="N274" i="24" s="1"/>
  <c r="R274" i="24"/>
  <c r="S274" i="24" s="1"/>
  <c r="N279" i="24"/>
  <c r="R174" i="24"/>
  <c r="S174" i="24" s="1"/>
  <c r="R183" i="24"/>
  <c r="S183" i="24" s="1"/>
  <c r="T183" i="24" s="1"/>
  <c r="R224" i="24"/>
  <c r="S224" i="24" s="1"/>
  <c r="T224" i="24" s="1"/>
  <c r="R234" i="24"/>
  <c r="S234" i="24" s="1"/>
  <c r="M234" i="24"/>
  <c r="N234" i="24" s="1"/>
  <c r="R235" i="24"/>
  <c r="S235" i="24" s="1"/>
  <c r="T235" i="24" s="1"/>
  <c r="R238" i="24"/>
  <c r="S238" i="24" s="1"/>
  <c r="T238" i="24" s="1"/>
  <c r="M238" i="24"/>
  <c r="N238" i="24" s="1"/>
  <c r="R239" i="24"/>
  <c r="S239" i="24" s="1"/>
  <c r="T239" i="24" s="1"/>
  <c r="M282" i="24"/>
  <c r="N282" i="24" s="1"/>
  <c r="R282" i="24"/>
  <c r="S282" i="24" s="1"/>
  <c r="T282" i="24" s="1"/>
  <c r="N287" i="24"/>
  <c r="M174" i="24"/>
  <c r="N174" i="24" s="1"/>
  <c r="R178" i="24"/>
  <c r="S178" i="24" s="1"/>
  <c r="T178" i="24" s="1"/>
  <c r="R187" i="24"/>
  <c r="S187" i="24" s="1"/>
  <c r="T187" i="24" s="1"/>
  <c r="N188" i="24"/>
  <c r="R190" i="24"/>
  <c r="S190" i="24" s="1"/>
  <c r="T190" i="24" s="1"/>
  <c r="R223" i="24"/>
  <c r="S223" i="24" s="1"/>
  <c r="R228" i="24"/>
  <c r="S228" i="24" s="1"/>
  <c r="T228" i="24" s="1"/>
  <c r="M290" i="24"/>
  <c r="N290" i="24" s="1"/>
  <c r="N295" i="24"/>
  <c r="R181" i="24"/>
  <c r="S181" i="24" s="1"/>
  <c r="T181" i="24" s="1"/>
  <c r="R185" i="24"/>
  <c r="S185" i="24" s="1"/>
  <c r="T185" i="24" s="1"/>
  <c r="R189" i="24"/>
  <c r="S189" i="24" s="1"/>
  <c r="T189" i="24" s="1"/>
  <c r="M224" i="24"/>
  <c r="N224" i="24" s="1"/>
  <c r="R226" i="24"/>
  <c r="S226" i="24" s="1"/>
  <c r="T226" i="24" s="1"/>
  <c r="M228" i="24"/>
  <c r="N228" i="24" s="1"/>
  <c r="R230" i="24"/>
  <c r="S230" i="24" s="1"/>
  <c r="T230" i="24" s="1"/>
  <c r="M232" i="24"/>
  <c r="N232" i="24" s="1"/>
  <c r="R236" i="24"/>
  <c r="S236" i="24" s="1"/>
  <c r="T236" i="24" s="1"/>
  <c r="R276" i="24"/>
  <c r="S276" i="24" s="1"/>
  <c r="T276" i="24" s="1"/>
  <c r="R280" i="24"/>
  <c r="S280" i="24" s="1"/>
  <c r="T280" i="24" s="1"/>
  <c r="R284" i="24"/>
  <c r="S284" i="24" s="1"/>
  <c r="T284" i="24" s="1"/>
  <c r="R288" i="24"/>
  <c r="S288" i="24" s="1"/>
  <c r="T288" i="24" s="1"/>
  <c r="R292" i="24"/>
  <c r="S292" i="24" s="1"/>
  <c r="T292" i="24" s="1"/>
  <c r="R296" i="24"/>
  <c r="S296" i="24" s="1"/>
  <c r="T296" i="24" s="1"/>
  <c r="G328" i="24"/>
  <c r="M237" i="24"/>
  <c r="N237" i="24" s="1"/>
  <c r="M240" i="24"/>
  <c r="N240" i="24" s="1"/>
  <c r="R290" i="24"/>
  <c r="S290" i="24" s="1"/>
  <c r="R298" i="24"/>
  <c r="S298" i="24" s="1"/>
  <c r="R302" i="24"/>
  <c r="S302" i="24" s="1"/>
  <c r="R306" i="24"/>
  <c r="S306" i="24" s="1"/>
  <c r="R326" i="24"/>
  <c r="S326" i="24" s="1"/>
  <c r="R327" i="24"/>
  <c r="S327" i="24" s="1"/>
  <c r="R275" i="24"/>
  <c r="S275" i="24" s="1"/>
  <c r="T275" i="24" s="1"/>
  <c r="R277" i="24"/>
  <c r="S277" i="24" s="1"/>
  <c r="T277" i="24" s="1"/>
  <c r="R279" i="24"/>
  <c r="S279" i="24" s="1"/>
  <c r="R281" i="24"/>
  <c r="S281" i="24" s="1"/>
  <c r="T281" i="24" s="1"/>
  <c r="R283" i="24"/>
  <c r="S283" i="24" s="1"/>
  <c r="T283" i="24" s="1"/>
  <c r="R285" i="24"/>
  <c r="S285" i="24" s="1"/>
  <c r="T285" i="24" s="1"/>
  <c r="R287" i="24"/>
  <c r="S287" i="24" s="1"/>
  <c r="R289" i="24"/>
  <c r="S289" i="24" s="1"/>
  <c r="T289" i="24" s="1"/>
  <c r="R291" i="24"/>
  <c r="S291" i="24" s="1"/>
  <c r="T291" i="24" s="1"/>
  <c r="R293" i="24"/>
  <c r="S293" i="24" s="1"/>
  <c r="T293" i="24" s="1"/>
  <c r="R295" i="24"/>
  <c r="S295" i="24" s="1"/>
  <c r="R297" i="24"/>
  <c r="S297" i="24" s="1"/>
  <c r="T297" i="24" s="1"/>
  <c r="M298" i="24"/>
  <c r="N298" i="24" s="1"/>
  <c r="R299" i="24"/>
  <c r="S299" i="24" s="1"/>
  <c r="T299" i="24" s="1"/>
  <c r="M300" i="24"/>
  <c r="N300" i="24" s="1"/>
  <c r="R301" i="24"/>
  <c r="S301" i="24" s="1"/>
  <c r="T301" i="24" s="1"/>
  <c r="M302" i="24"/>
  <c r="N302" i="24" s="1"/>
  <c r="R303" i="24"/>
  <c r="S303" i="24" s="1"/>
  <c r="T303" i="24" s="1"/>
  <c r="M304" i="24"/>
  <c r="N304" i="24" s="1"/>
  <c r="R305" i="24"/>
  <c r="S305" i="24" s="1"/>
  <c r="T305" i="24" s="1"/>
  <c r="M306" i="24"/>
  <c r="N306" i="24" s="1"/>
  <c r="N326" i="24"/>
  <c r="N332" i="24"/>
  <c r="M327" i="24"/>
  <c r="N327" i="24" s="1"/>
  <c r="M333" i="24"/>
  <c r="N333" i="24" s="1"/>
  <c r="J27" i="23"/>
  <c r="H27" i="23"/>
  <c r="J25" i="23"/>
  <c r="F33" i="23"/>
  <c r="F27" i="23"/>
  <c r="F25" i="23"/>
  <c r="F76" i="23" s="1"/>
  <c r="J19" i="23"/>
  <c r="F19" i="23"/>
  <c r="P19" i="23" s="1"/>
  <c r="J18" i="23"/>
  <c r="F18" i="23"/>
  <c r="F69" i="23" s="1"/>
  <c r="N35" i="23"/>
  <c r="N86" i="23" s="1"/>
  <c r="N28" i="23"/>
  <c r="N79" i="23" s="1"/>
  <c r="N20" i="23"/>
  <c r="N71" i="23" s="1"/>
  <c r="P85" i="23"/>
  <c r="T85" i="23" s="1"/>
  <c r="F84" i="23"/>
  <c r="F83" i="23"/>
  <c r="A57" i="23"/>
  <c r="Y52" i="23"/>
  <c r="F35" i="23"/>
  <c r="P34" i="23"/>
  <c r="T34" i="23" s="1"/>
  <c r="P33" i="23"/>
  <c r="L33" i="23"/>
  <c r="Y1" i="23"/>
  <c r="T274" i="24" l="1"/>
  <c r="T295" i="24"/>
  <c r="T186" i="24"/>
  <c r="T304" i="24"/>
  <c r="T300" i="24"/>
  <c r="T333" i="24"/>
  <c r="S335" i="24"/>
  <c r="T332" i="24"/>
  <c r="T287" i="24"/>
  <c r="T290" i="24"/>
  <c r="T179" i="24"/>
  <c r="T306" i="24"/>
  <c r="T279" i="24"/>
  <c r="T234" i="24"/>
  <c r="T175" i="24"/>
  <c r="T148" i="24"/>
  <c r="T130" i="24"/>
  <c r="P27" i="23"/>
  <c r="T27" i="23" s="1"/>
  <c r="F78" i="23"/>
  <c r="N89" i="23"/>
  <c r="N328" i="24"/>
  <c r="N244" i="24"/>
  <c r="N191" i="24"/>
  <c r="M80" i="24"/>
  <c r="N80" i="24" s="1"/>
  <c r="N30" i="24"/>
  <c r="R81" i="24"/>
  <c r="S81" i="24" s="1"/>
  <c r="T81" i="24" s="1"/>
  <c r="R28" i="24"/>
  <c r="S28" i="24" s="1"/>
  <c r="T28" i="24" s="1"/>
  <c r="T302" i="24"/>
  <c r="T174" i="24"/>
  <c r="R79" i="24"/>
  <c r="S79" i="24" s="1"/>
  <c r="T79" i="24" s="1"/>
  <c r="R26" i="24"/>
  <c r="S26" i="24" s="1"/>
  <c r="T26" i="24" s="1"/>
  <c r="R90" i="24"/>
  <c r="S90" i="24" s="1"/>
  <c r="T90" i="24" s="1"/>
  <c r="R38" i="24"/>
  <c r="S38" i="24" s="1"/>
  <c r="T38" i="24" s="1"/>
  <c r="T188" i="24"/>
  <c r="R95" i="24"/>
  <c r="S95" i="24" s="1"/>
  <c r="T95" i="24" s="1"/>
  <c r="R43" i="24"/>
  <c r="S43" i="24" s="1"/>
  <c r="T43" i="24" s="1"/>
  <c r="S154" i="24"/>
  <c r="T137" i="24"/>
  <c r="S135" i="24"/>
  <c r="T118" i="24"/>
  <c r="R72" i="24"/>
  <c r="S72" i="24" s="1"/>
  <c r="T72" i="24" s="1"/>
  <c r="R19" i="24"/>
  <c r="S19" i="24" s="1"/>
  <c r="T19" i="24" s="1"/>
  <c r="R71" i="24"/>
  <c r="S71" i="24" s="1"/>
  <c r="T71" i="24" s="1"/>
  <c r="R18" i="24"/>
  <c r="S18" i="24" s="1"/>
  <c r="T18" i="24" s="1"/>
  <c r="R68" i="24"/>
  <c r="S68" i="24" s="1"/>
  <c r="T68" i="24" s="1"/>
  <c r="R15" i="24"/>
  <c r="S15" i="24" s="1"/>
  <c r="T15" i="24" s="1"/>
  <c r="T327" i="24"/>
  <c r="T298" i="24"/>
  <c r="S244" i="24"/>
  <c r="T223" i="24"/>
  <c r="R86" i="24"/>
  <c r="S86" i="24" s="1"/>
  <c r="R34" i="24"/>
  <c r="S34" i="24" s="1"/>
  <c r="R47" i="24"/>
  <c r="S47" i="24" s="1"/>
  <c r="T47" i="24" s="1"/>
  <c r="R99" i="24"/>
  <c r="S99" i="24" s="1"/>
  <c r="T99" i="24" s="1"/>
  <c r="T123" i="24"/>
  <c r="M73" i="24"/>
  <c r="N73" i="24" s="1"/>
  <c r="T139" i="24"/>
  <c r="R87" i="24"/>
  <c r="S87" i="24" s="1"/>
  <c r="T87" i="24" s="1"/>
  <c r="T119" i="24"/>
  <c r="I246" i="24"/>
  <c r="R39" i="24"/>
  <c r="S39" i="24" s="1"/>
  <c r="T39" i="24" s="1"/>
  <c r="R91" i="24"/>
  <c r="S91" i="24" s="1"/>
  <c r="T91" i="24" s="1"/>
  <c r="R66" i="24"/>
  <c r="S66" i="24" s="1"/>
  <c r="R13" i="24"/>
  <c r="S13" i="24" s="1"/>
  <c r="N335" i="24"/>
  <c r="S328" i="24"/>
  <c r="T326" i="24"/>
  <c r="T232" i="24"/>
  <c r="S191" i="24"/>
  <c r="T191" i="24" s="1"/>
  <c r="R98" i="24"/>
  <c r="S98" i="24" s="1"/>
  <c r="T98" i="24" s="1"/>
  <c r="R46" i="24"/>
  <c r="S46" i="24" s="1"/>
  <c r="T46" i="24" s="1"/>
  <c r="R24" i="24"/>
  <c r="S24" i="24" s="1"/>
  <c r="T24" i="24" s="1"/>
  <c r="R77" i="24"/>
  <c r="S77" i="24" s="1"/>
  <c r="T77" i="24" s="1"/>
  <c r="M153" i="24"/>
  <c r="N153" i="24" s="1"/>
  <c r="N154" i="24" s="1"/>
  <c r="N134" i="24"/>
  <c r="T134" i="24" s="1"/>
  <c r="R69" i="24"/>
  <c r="S69" i="24" s="1"/>
  <c r="T69" i="24" s="1"/>
  <c r="R16" i="24"/>
  <c r="S16" i="24" s="1"/>
  <c r="T16" i="24" s="1"/>
  <c r="N48" i="24"/>
  <c r="T120" i="24"/>
  <c r="M87" i="24"/>
  <c r="N87" i="24" s="1"/>
  <c r="N100" i="24" s="1"/>
  <c r="R40" i="24"/>
  <c r="S40" i="24" s="1"/>
  <c r="T40" i="24" s="1"/>
  <c r="R92" i="24"/>
  <c r="S92" i="24" s="1"/>
  <c r="T92" i="24" s="1"/>
  <c r="N38" i="23"/>
  <c r="L27" i="23"/>
  <c r="J20" i="23"/>
  <c r="F70" i="23"/>
  <c r="P70" i="23" s="1"/>
  <c r="F20" i="23"/>
  <c r="F71" i="23" s="1"/>
  <c r="P18" i="23"/>
  <c r="P84" i="23"/>
  <c r="P69" i="23"/>
  <c r="P35" i="23"/>
  <c r="P76" i="23"/>
  <c r="F86" i="23"/>
  <c r="P86" i="23" s="1"/>
  <c r="P25" i="23"/>
  <c r="R33" i="23"/>
  <c r="T33" i="23" s="1"/>
  <c r="T35" i="23" s="1"/>
  <c r="T335" i="24" l="1"/>
  <c r="T328" i="24"/>
  <c r="N83" i="24"/>
  <c r="T154" i="24"/>
  <c r="T66" i="24"/>
  <c r="S48" i="24"/>
  <c r="T48" i="24" s="1"/>
  <c r="T34" i="24"/>
  <c r="N135" i="24"/>
  <c r="T135" i="24" s="1"/>
  <c r="T13" i="24"/>
  <c r="T86" i="24"/>
  <c r="S100" i="24"/>
  <c r="T100" i="24" s="1"/>
  <c r="P71" i="23"/>
  <c r="P20" i="23"/>
  <c r="N246" i="24" l="1"/>
  <c r="N341" i="24" s="1"/>
  <c r="G27" i="13" l="1"/>
  <c r="H34" i="23"/>
  <c r="J34" i="23"/>
  <c r="J35" i="23" s="1"/>
  <c r="L34" i="23" l="1"/>
  <c r="L35" i="23" s="1"/>
  <c r="H35" i="23"/>
  <c r="C70" i="20" l="1"/>
  <c r="C66" i="20"/>
  <c r="C126" i="19"/>
  <c r="C124" i="19"/>
  <c r="C129" i="19"/>
  <c r="C122" i="19"/>
  <c r="N559" i="21" l="1"/>
  <c r="N558" i="21"/>
  <c r="N556" i="21"/>
  <c r="N547" i="21"/>
  <c r="Q547" i="21" s="1"/>
  <c r="N546" i="21"/>
  <c r="N545" i="21"/>
  <c r="I570" i="21"/>
  <c r="I568" i="21"/>
  <c r="I566" i="21"/>
  <c r="I565" i="21"/>
  <c r="I562" i="21"/>
  <c r="I559" i="21"/>
  <c r="I558" i="21"/>
  <c r="I556" i="21"/>
  <c r="I551" i="21"/>
  <c r="I552" i="21"/>
  <c r="I553" i="21"/>
  <c r="I550" i="21"/>
  <c r="I547" i="21"/>
  <c r="I546" i="21"/>
  <c r="I545" i="21"/>
  <c r="I542" i="21"/>
  <c r="I541" i="21"/>
  <c r="I459" i="21"/>
  <c r="N410" i="21"/>
  <c r="N409" i="21"/>
  <c r="N408" i="21"/>
  <c r="I416" i="21"/>
  <c r="I414" i="21"/>
  <c r="I412" i="21"/>
  <c r="I409" i="21"/>
  <c r="I410" i="21"/>
  <c r="I408" i="21"/>
  <c r="N589" i="21"/>
  <c r="I592" i="21"/>
  <c r="I589" i="21"/>
  <c r="I357" i="21"/>
  <c r="I405" i="21"/>
  <c r="I403" i="21"/>
  <c r="I404" i="21"/>
  <c r="I402" i="21"/>
  <c r="I399" i="21"/>
  <c r="I398" i="21"/>
  <c r="N328" i="21"/>
  <c r="N327" i="21"/>
  <c r="N326" i="21"/>
  <c r="N325" i="21"/>
  <c r="I326" i="21"/>
  <c r="Q326" i="21" s="1"/>
  <c r="I327" i="21"/>
  <c r="I328" i="21"/>
  <c r="I325" i="21"/>
  <c r="I321" i="21"/>
  <c r="I319" i="21"/>
  <c r="I316" i="21"/>
  <c r="I311" i="21"/>
  <c r="I312" i="21"/>
  <c r="I313" i="21"/>
  <c r="I310" i="21"/>
  <c r="N275" i="21"/>
  <c r="N274" i="21"/>
  <c r="Q274" i="21" s="1"/>
  <c r="N272" i="21"/>
  <c r="N264" i="21"/>
  <c r="N263" i="21"/>
  <c r="N262" i="21"/>
  <c r="I307" i="21"/>
  <c r="I308" i="21"/>
  <c r="I306" i="21"/>
  <c r="I305" i="21"/>
  <c r="I278" i="21"/>
  <c r="I275" i="21"/>
  <c r="I274" i="21"/>
  <c r="I272" i="21"/>
  <c r="I270" i="21"/>
  <c r="Q270" i="21" s="1"/>
  <c r="I269" i="21"/>
  <c r="I268" i="21"/>
  <c r="I267" i="21"/>
  <c r="I264" i="21"/>
  <c r="I263" i="21"/>
  <c r="I262" i="21"/>
  <c r="I257" i="21"/>
  <c r="I258" i="21"/>
  <c r="I259" i="21"/>
  <c r="I255" i="21"/>
  <c r="I256" i="21"/>
  <c r="I254" i="21"/>
  <c r="N208" i="21"/>
  <c r="N213" i="21"/>
  <c r="N212" i="21"/>
  <c r="N211" i="21"/>
  <c r="N210" i="21"/>
  <c r="N209" i="21"/>
  <c r="I213" i="21"/>
  <c r="I212" i="21"/>
  <c r="I211" i="21"/>
  <c r="I210" i="21"/>
  <c r="I209" i="21"/>
  <c r="I208" i="21"/>
  <c r="N179" i="21"/>
  <c r="N178" i="21"/>
  <c r="N176" i="21"/>
  <c r="I192" i="21"/>
  <c r="I191" i="21"/>
  <c r="I190" i="21"/>
  <c r="I187" i="21"/>
  <c r="I186" i="21"/>
  <c r="I185" i="21"/>
  <c r="I184" i="21"/>
  <c r="I183" i="21"/>
  <c r="I182" i="21"/>
  <c r="I179" i="21"/>
  <c r="I178" i="21"/>
  <c r="I177" i="21"/>
  <c r="Q177" i="21" s="1"/>
  <c r="I176" i="21"/>
  <c r="I173" i="21"/>
  <c r="I172" i="21"/>
  <c r="I171" i="21"/>
  <c r="I170" i="21"/>
  <c r="I169" i="21"/>
  <c r="I166" i="21"/>
  <c r="I167" i="21"/>
  <c r="I165" i="21"/>
  <c r="I163" i="21"/>
  <c r="I164" i="21"/>
  <c r="I162" i="21"/>
  <c r="I160" i="21"/>
  <c r="I161" i="21"/>
  <c r="I159" i="21"/>
  <c r="I113" i="21"/>
  <c r="I110" i="21"/>
  <c r="I73" i="21"/>
  <c r="I71" i="21"/>
  <c r="I70" i="21"/>
  <c r="I69" i="21"/>
  <c r="I68" i="21"/>
  <c r="I67" i="21"/>
  <c r="I63" i="21"/>
  <c r="I64" i="21"/>
  <c r="I62" i="21"/>
  <c r="I20" i="21"/>
  <c r="I21" i="21"/>
  <c r="I19" i="21"/>
  <c r="I15" i="21"/>
  <c r="I14" i="21"/>
  <c r="A623" i="21"/>
  <c r="T586" i="21"/>
  <c r="S586" i="21"/>
  <c r="R586" i="21"/>
  <c r="Q586" i="21"/>
  <c r="O586" i="21"/>
  <c r="N586" i="21"/>
  <c r="M586" i="21"/>
  <c r="L586" i="21"/>
  <c r="J586" i="21"/>
  <c r="I586" i="21"/>
  <c r="H586" i="21"/>
  <c r="F586" i="21"/>
  <c r="D586" i="21"/>
  <c r="C586" i="21"/>
  <c r="B586" i="21"/>
  <c r="A586" i="21"/>
  <c r="T585" i="21"/>
  <c r="S585" i="21"/>
  <c r="R585" i="21"/>
  <c r="Q585" i="21"/>
  <c r="O585" i="21"/>
  <c r="N585" i="21"/>
  <c r="M585" i="21"/>
  <c r="L585" i="21"/>
  <c r="J585" i="21"/>
  <c r="I585" i="21"/>
  <c r="H585" i="21"/>
  <c r="G585" i="21"/>
  <c r="F585" i="21"/>
  <c r="E585" i="21"/>
  <c r="D585" i="21"/>
  <c r="C585" i="21"/>
  <c r="B585" i="21"/>
  <c r="A585" i="21"/>
  <c r="T584" i="21"/>
  <c r="S584" i="21"/>
  <c r="R584" i="21"/>
  <c r="Q584" i="21"/>
  <c r="O584" i="21"/>
  <c r="N584" i="21"/>
  <c r="M584" i="21"/>
  <c r="L584" i="21"/>
  <c r="J584" i="21"/>
  <c r="I584" i="21"/>
  <c r="H584" i="21"/>
  <c r="G584" i="21"/>
  <c r="F584" i="21"/>
  <c r="E584" i="21"/>
  <c r="D584" i="21"/>
  <c r="C584" i="21"/>
  <c r="B584" i="21"/>
  <c r="A584" i="21"/>
  <c r="T583" i="21"/>
  <c r="S583" i="21"/>
  <c r="R583" i="21"/>
  <c r="Q583" i="21"/>
  <c r="O583" i="21"/>
  <c r="N583" i="21"/>
  <c r="M583" i="21"/>
  <c r="L583" i="21"/>
  <c r="J583" i="21"/>
  <c r="I583" i="21"/>
  <c r="H583" i="21"/>
  <c r="G583" i="21"/>
  <c r="F583" i="21"/>
  <c r="E583" i="21"/>
  <c r="D583" i="21"/>
  <c r="C583" i="21"/>
  <c r="B583" i="21"/>
  <c r="A583" i="21"/>
  <c r="T582" i="21"/>
  <c r="S582" i="21"/>
  <c r="R582" i="21"/>
  <c r="Q582" i="21"/>
  <c r="O582" i="21"/>
  <c r="N582" i="21"/>
  <c r="M582" i="21"/>
  <c r="L582" i="21"/>
  <c r="J582" i="21"/>
  <c r="I582" i="21"/>
  <c r="H582" i="21"/>
  <c r="G582" i="21"/>
  <c r="F582" i="21"/>
  <c r="E582" i="21"/>
  <c r="D582" i="21"/>
  <c r="C582" i="21"/>
  <c r="B582" i="21"/>
  <c r="A582" i="21"/>
  <c r="I576" i="21"/>
  <c r="A576" i="21"/>
  <c r="A575" i="21"/>
  <c r="T538" i="21"/>
  <c r="S538" i="21"/>
  <c r="R538" i="21"/>
  <c r="Q538" i="21"/>
  <c r="O538" i="21"/>
  <c r="N538" i="21"/>
  <c r="M538" i="21"/>
  <c r="L538" i="21"/>
  <c r="J538" i="21"/>
  <c r="I538" i="21"/>
  <c r="H538" i="21"/>
  <c r="F538" i="21"/>
  <c r="D538" i="21"/>
  <c r="C538" i="21"/>
  <c r="B538" i="21"/>
  <c r="A538" i="21"/>
  <c r="T537" i="21"/>
  <c r="S537" i="21"/>
  <c r="R537" i="21"/>
  <c r="Q537" i="21"/>
  <c r="O537" i="21"/>
  <c r="N537" i="21"/>
  <c r="M537" i="21"/>
  <c r="L537" i="21"/>
  <c r="J537" i="21"/>
  <c r="I537" i="21"/>
  <c r="H537" i="21"/>
  <c r="G537" i="21"/>
  <c r="F537" i="21"/>
  <c r="E537" i="21"/>
  <c r="D537" i="21"/>
  <c r="C537" i="21"/>
  <c r="B537" i="21"/>
  <c r="A537" i="21"/>
  <c r="T536" i="21"/>
  <c r="S536" i="21"/>
  <c r="R536" i="21"/>
  <c r="Q536" i="21"/>
  <c r="O536" i="21"/>
  <c r="N536" i="21"/>
  <c r="M536" i="21"/>
  <c r="L536" i="21"/>
  <c r="J536" i="21"/>
  <c r="I536" i="21"/>
  <c r="H536" i="21"/>
  <c r="G536" i="21"/>
  <c r="F536" i="21"/>
  <c r="E536" i="21"/>
  <c r="D536" i="21"/>
  <c r="C536" i="21"/>
  <c r="B536" i="21"/>
  <c r="A536" i="21"/>
  <c r="T535" i="21"/>
  <c r="S535" i="21"/>
  <c r="R535" i="21"/>
  <c r="Q535" i="21"/>
  <c r="O535" i="21"/>
  <c r="N535" i="21"/>
  <c r="M535" i="21"/>
  <c r="L535" i="21"/>
  <c r="J535" i="21"/>
  <c r="I535" i="21"/>
  <c r="H535" i="21"/>
  <c r="G535" i="21"/>
  <c r="F535" i="21"/>
  <c r="E535" i="21"/>
  <c r="D535" i="21"/>
  <c r="C535" i="21"/>
  <c r="B535" i="21"/>
  <c r="A535" i="21"/>
  <c r="T534" i="21"/>
  <c r="S534" i="21"/>
  <c r="R534" i="21"/>
  <c r="Q534" i="21"/>
  <c r="O534" i="21"/>
  <c r="N534" i="21"/>
  <c r="M534" i="21"/>
  <c r="L534" i="21"/>
  <c r="J534" i="21"/>
  <c r="I534" i="21"/>
  <c r="H534" i="21"/>
  <c r="G534" i="21"/>
  <c r="F534" i="21"/>
  <c r="E534" i="21"/>
  <c r="D534" i="21"/>
  <c r="C534" i="21"/>
  <c r="B534" i="21"/>
  <c r="A534" i="21"/>
  <c r="I528" i="21"/>
  <c r="A528" i="21"/>
  <c r="A527" i="21"/>
  <c r="C495" i="21"/>
  <c r="L495" i="21" s="1"/>
  <c r="T492" i="21"/>
  <c r="S492" i="21"/>
  <c r="R492" i="21"/>
  <c r="Q492" i="21"/>
  <c r="O492" i="21"/>
  <c r="N492" i="21"/>
  <c r="M492" i="21"/>
  <c r="L492" i="21"/>
  <c r="J492" i="21"/>
  <c r="I492" i="21"/>
  <c r="H492" i="21"/>
  <c r="F492" i="21"/>
  <c r="D492" i="21"/>
  <c r="C492" i="21"/>
  <c r="B492" i="21"/>
  <c r="A492" i="21"/>
  <c r="T491" i="21"/>
  <c r="S491" i="21"/>
  <c r="R491" i="21"/>
  <c r="Q491" i="21"/>
  <c r="O491" i="21"/>
  <c r="N491" i="21"/>
  <c r="M491" i="21"/>
  <c r="L491" i="21"/>
  <c r="J491" i="21"/>
  <c r="I491" i="21"/>
  <c r="H491" i="21"/>
  <c r="G491" i="21"/>
  <c r="F491" i="21"/>
  <c r="E491" i="21"/>
  <c r="D491" i="21"/>
  <c r="C491" i="21"/>
  <c r="B491" i="21"/>
  <c r="A491" i="21"/>
  <c r="T490" i="21"/>
  <c r="S490" i="21"/>
  <c r="R490" i="21"/>
  <c r="Q490" i="21"/>
  <c r="O490" i="21"/>
  <c r="N490" i="21"/>
  <c r="M490" i="21"/>
  <c r="L490" i="21"/>
  <c r="J490" i="21"/>
  <c r="I490" i="21"/>
  <c r="H490" i="21"/>
  <c r="G490" i="21"/>
  <c r="F490" i="21"/>
  <c r="E490" i="21"/>
  <c r="D490" i="21"/>
  <c r="C490" i="21"/>
  <c r="B490" i="21"/>
  <c r="A490" i="21"/>
  <c r="T489" i="21"/>
  <c r="S489" i="21"/>
  <c r="R489" i="21"/>
  <c r="Q489" i="21"/>
  <c r="O489" i="21"/>
  <c r="N489" i="21"/>
  <c r="M489" i="21"/>
  <c r="L489" i="21"/>
  <c r="J489" i="21"/>
  <c r="I489" i="21"/>
  <c r="H489" i="21"/>
  <c r="G489" i="21"/>
  <c r="F489" i="21"/>
  <c r="E489" i="21"/>
  <c r="D489" i="21"/>
  <c r="C489" i="21"/>
  <c r="B489" i="21"/>
  <c r="A489" i="21"/>
  <c r="T488" i="21"/>
  <c r="S488" i="21"/>
  <c r="R488" i="21"/>
  <c r="Q488" i="21"/>
  <c r="O488" i="21"/>
  <c r="N488" i="21"/>
  <c r="M488" i="21"/>
  <c r="L488" i="21"/>
  <c r="J488" i="21"/>
  <c r="I488" i="21"/>
  <c r="H488" i="21"/>
  <c r="G488" i="21"/>
  <c r="F488" i="21"/>
  <c r="E488" i="21"/>
  <c r="D488" i="21"/>
  <c r="C488" i="21"/>
  <c r="B488" i="21"/>
  <c r="A488" i="21"/>
  <c r="I482" i="21"/>
  <c r="A482" i="21"/>
  <c r="A481" i="21"/>
  <c r="T444" i="21"/>
  <c r="S444" i="21"/>
  <c r="R444" i="21"/>
  <c r="Q444" i="21"/>
  <c r="O444" i="21"/>
  <c r="N444" i="21"/>
  <c r="M444" i="21"/>
  <c r="L444" i="21"/>
  <c r="J444" i="21"/>
  <c r="I444" i="21"/>
  <c r="H444" i="21"/>
  <c r="F444" i="21"/>
  <c r="D444" i="21"/>
  <c r="C444" i="21"/>
  <c r="B444" i="21"/>
  <c r="A444" i="21"/>
  <c r="T443" i="21"/>
  <c r="S443" i="21"/>
  <c r="R443" i="21"/>
  <c r="Q443" i="21"/>
  <c r="O443" i="21"/>
  <c r="N443" i="21"/>
  <c r="M443" i="21"/>
  <c r="L443" i="21"/>
  <c r="J443" i="21"/>
  <c r="I443" i="21"/>
  <c r="H443" i="21"/>
  <c r="G443" i="21"/>
  <c r="F443" i="21"/>
  <c r="E443" i="21"/>
  <c r="D443" i="21"/>
  <c r="C443" i="21"/>
  <c r="B443" i="21"/>
  <c r="A443" i="21"/>
  <c r="T442" i="21"/>
  <c r="S442" i="21"/>
  <c r="R442" i="21"/>
  <c r="Q442" i="21"/>
  <c r="O442" i="21"/>
  <c r="N442" i="21"/>
  <c r="M442" i="21"/>
  <c r="L442" i="21"/>
  <c r="J442" i="21"/>
  <c r="I442" i="21"/>
  <c r="H442" i="21"/>
  <c r="G442" i="21"/>
  <c r="F442" i="21"/>
  <c r="E442" i="21"/>
  <c r="D442" i="21"/>
  <c r="C442" i="21"/>
  <c r="B442" i="21"/>
  <c r="A442" i="21"/>
  <c r="T441" i="21"/>
  <c r="S441" i="21"/>
  <c r="R441" i="21"/>
  <c r="Q441" i="21"/>
  <c r="O441" i="21"/>
  <c r="N441" i="21"/>
  <c r="M441" i="21"/>
  <c r="L441" i="21"/>
  <c r="J441" i="21"/>
  <c r="I441" i="21"/>
  <c r="H441" i="21"/>
  <c r="G441" i="21"/>
  <c r="F441" i="21"/>
  <c r="E441" i="21"/>
  <c r="D441" i="21"/>
  <c r="C441" i="21"/>
  <c r="B441" i="21"/>
  <c r="A441" i="21"/>
  <c r="T440" i="21"/>
  <c r="S440" i="21"/>
  <c r="R440" i="21"/>
  <c r="Q440" i="21"/>
  <c r="O440" i="21"/>
  <c r="N440" i="21"/>
  <c r="M440" i="21"/>
  <c r="L440" i="21"/>
  <c r="J440" i="21"/>
  <c r="I440" i="21"/>
  <c r="H440" i="21"/>
  <c r="G440" i="21"/>
  <c r="F440" i="21"/>
  <c r="E440" i="21"/>
  <c r="D440" i="21"/>
  <c r="C440" i="21"/>
  <c r="B440" i="21"/>
  <c r="A440" i="21"/>
  <c r="I434" i="21"/>
  <c r="A434" i="21"/>
  <c r="A433" i="21"/>
  <c r="T396" i="21"/>
  <c r="S396" i="21"/>
  <c r="R396" i="21"/>
  <c r="Q396" i="21"/>
  <c r="O396" i="21"/>
  <c r="N396" i="21"/>
  <c r="M396" i="21"/>
  <c r="L396" i="21"/>
  <c r="J396" i="21"/>
  <c r="I396" i="21"/>
  <c r="H396" i="21"/>
  <c r="F396" i="21"/>
  <c r="D396" i="21"/>
  <c r="C396" i="21"/>
  <c r="B396" i="21"/>
  <c r="A396" i="21"/>
  <c r="T395" i="21"/>
  <c r="S395" i="21"/>
  <c r="R395" i="21"/>
  <c r="Q395" i="21"/>
  <c r="O395" i="21"/>
  <c r="N395" i="21"/>
  <c r="M395" i="21"/>
  <c r="L395" i="21"/>
  <c r="J395" i="21"/>
  <c r="I395" i="21"/>
  <c r="H395" i="21"/>
  <c r="G395" i="21"/>
  <c r="F395" i="21"/>
  <c r="E395" i="21"/>
  <c r="D395" i="21"/>
  <c r="C395" i="21"/>
  <c r="B395" i="21"/>
  <c r="A395" i="21"/>
  <c r="T394" i="21"/>
  <c r="S394" i="21"/>
  <c r="R394" i="21"/>
  <c r="Q394" i="21"/>
  <c r="O394" i="21"/>
  <c r="N394" i="21"/>
  <c r="M394" i="21"/>
  <c r="L394" i="21"/>
  <c r="J394" i="21"/>
  <c r="I394" i="21"/>
  <c r="H394" i="21"/>
  <c r="G394" i="21"/>
  <c r="F394" i="21"/>
  <c r="E394" i="21"/>
  <c r="D394" i="21"/>
  <c r="C394" i="21"/>
  <c r="B394" i="21"/>
  <c r="A394" i="21"/>
  <c r="T393" i="21"/>
  <c r="S393" i="21"/>
  <c r="R393" i="21"/>
  <c r="Q393" i="21"/>
  <c r="O393" i="21"/>
  <c r="N393" i="21"/>
  <c r="M393" i="21"/>
  <c r="L393" i="21"/>
  <c r="J393" i="21"/>
  <c r="I393" i="21"/>
  <c r="H393" i="21"/>
  <c r="G393" i="21"/>
  <c r="F393" i="21"/>
  <c r="E393" i="21"/>
  <c r="D393" i="21"/>
  <c r="C393" i="21"/>
  <c r="B393" i="21"/>
  <c r="A393" i="21"/>
  <c r="T392" i="21"/>
  <c r="S392" i="21"/>
  <c r="R392" i="21"/>
  <c r="Q392" i="21"/>
  <c r="O392" i="21"/>
  <c r="N392" i="21"/>
  <c r="M392" i="21"/>
  <c r="L392" i="21"/>
  <c r="J392" i="21"/>
  <c r="I392" i="21"/>
  <c r="H392" i="21"/>
  <c r="G392" i="21"/>
  <c r="F392" i="21"/>
  <c r="E392" i="21"/>
  <c r="D392" i="21"/>
  <c r="C392" i="21"/>
  <c r="B392" i="21"/>
  <c r="A392" i="21"/>
  <c r="I386" i="21"/>
  <c r="A386" i="21"/>
  <c r="A385" i="21"/>
  <c r="T348" i="21"/>
  <c r="S348" i="21"/>
  <c r="R348" i="21"/>
  <c r="Q348" i="21"/>
  <c r="O348" i="21"/>
  <c r="N348" i="21"/>
  <c r="M348" i="21"/>
  <c r="L348" i="21"/>
  <c r="J348" i="21"/>
  <c r="I348" i="21"/>
  <c r="H348" i="21"/>
  <c r="F348" i="21"/>
  <c r="D348" i="21"/>
  <c r="C348" i="21"/>
  <c r="B348" i="21"/>
  <c r="A348" i="21"/>
  <c r="T347" i="21"/>
  <c r="S347" i="21"/>
  <c r="R347" i="21"/>
  <c r="Q347" i="21"/>
  <c r="O347" i="21"/>
  <c r="N347" i="21"/>
  <c r="M347" i="21"/>
  <c r="L347" i="21"/>
  <c r="J347" i="21"/>
  <c r="I347" i="21"/>
  <c r="H347" i="21"/>
  <c r="G347" i="21"/>
  <c r="F347" i="21"/>
  <c r="E347" i="21"/>
  <c r="D347" i="21"/>
  <c r="C347" i="21"/>
  <c r="B347" i="21"/>
  <c r="A347" i="21"/>
  <c r="T346" i="21"/>
  <c r="S346" i="21"/>
  <c r="R346" i="21"/>
  <c r="Q346" i="21"/>
  <c r="O346" i="21"/>
  <c r="N346" i="21"/>
  <c r="M346" i="21"/>
  <c r="L346" i="21"/>
  <c r="J346" i="21"/>
  <c r="I346" i="21"/>
  <c r="H346" i="21"/>
  <c r="G346" i="21"/>
  <c r="F346" i="21"/>
  <c r="E346" i="21"/>
  <c r="D346" i="21"/>
  <c r="C346" i="21"/>
  <c r="B346" i="21"/>
  <c r="A346" i="21"/>
  <c r="T345" i="21"/>
  <c r="S345" i="21"/>
  <c r="R345" i="21"/>
  <c r="Q345" i="21"/>
  <c r="O345" i="21"/>
  <c r="N345" i="21"/>
  <c r="M345" i="21"/>
  <c r="L345" i="21"/>
  <c r="J345" i="21"/>
  <c r="I345" i="21"/>
  <c r="H345" i="21"/>
  <c r="G345" i="21"/>
  <c r="F345" i="21"/>
  <c r="E345" i="21"/>
  <c r="D345" i="21"/>
  <c r="C345" i="21"/>
  <c r="B345" i="21"/>
  <c r="A345" i="21"/>
  <c r="T344" i="21"/>
  <c r="S344" i="21"/>
  <c r="R344" i="21"/>
  <c r="Q344" i="21"/>
  <c r="O344" i="21"/>
  <c r="N344" i="21"/>
  <c r="M344" i="21"/>
  <c r="L344" i="21"/>
  <c r="J344" i="21"/>
  <c r="I344" i="21"/>
  <c r="H344" i="21"/>
  <c r="G344" i="21"/>
  <c r="F344" i="21"/>
  <c r="E344" i="21"/>
  <c r="D344" i="21"/>
  <c r="C344" i="21"/>
  <c r="B344" i="21"/>
  <c r="A344" i="21"/>
  <c r="I338" i="21"/>
  <c r="A338" i="21"/>
  <c r="A337" i="21"/>
  <c r="T300" i="21"/>
  <c r="S300" i="21"/>
  <c r="R300" i="21"/>
  <c r="Q300" i="21"/>
  <c r="O300" i="21"/>
  <c r="N300" i="21"/>
  <c r="M300" i="21"/>
  <c r="L300" i="21"/>
  <c r="J300" i="21"/>
  <c r="I300" i="21"/>
  <c r="H300" i="21"/>
  <c r="F300" i="21"/>
  <c r="D300" i="21"/>
  <c r="C300" i="21"/>
  <c r="B300" i="21"/>
  <c r="A300" i="21"/>
  <c r="T299" i="21"/>
  <c r="S299" i="21"/>
  <c r="R299" i="21"/>
  <c r="Q299" i="21"/>
  <c r="O299" i="21"/>
  <c r="N299" i="21"/>
  <c r="M299" i="21"/>
  <c r="L299" i="21"/>
  <c r="J299" i="21"/>
  <c r="I299" i="21"/>
  <c r="H299" i="21"/>
  <c r="G299" i="21"/>
  <c r="F299" i="21"/>
  <c r="E299" i="21"/>
  <c r="D299" i="21"/>
  <c r="C299" i="21"/>
  <c r="B299" i="21"/>
  <c r="A299" i="21"/>
  <c r="T298" i="21"/>
  <c r="S298" i="21"/>
  <c r="R298" i="21"/>
  <c r="Q298" i="21"/>
  <c r="O298" i="21"/>
  <c r="N298" i="21"/>
  <c r="M298" i="21"/>
  <c r="L298" i="21"/>
  <c r="J298" i="21"/>
  <c r="I298" i="21"/>
  <c r="H298" i="21"/>
  <c r="G298" i="21"/>
  <c r="F298" i="21"/>
  <c r="E298" i="21"/>
  <c r="D298" i="21"/>
  <c r="C298" i="21"/>
  <c r="B298" i="21"/>
  <c r="A298" i="21"/>
  <c r="T297" i="21"/>
  <c r="S297" i="21"/>
  <c r="R297" i="21"/>
  <c r="Q297" i="21"/>
  <c r="O297" i="21"/>
  <c r="N297" i="21"/>
  <c r="M297" i="21"/>
  <c r="L297" i="21"/>
  <c r="J297" i="21"/>
  <c r="I297" i="21"/>
  <c r="H297" i="21"/>
  <c r="G297" i="21"/>
  <c r="F297" i="21"/>
  <c r="E297" i="21"/>
  <c r="D297" i="21"/>
  <c r="C297" i="21"/>
  <c r="B297" i="21"/>
  <c r="A297" i="21"/>
  <c r="T296" i="21"/>
  <c r="S296" i="21"/>
  <c r="R296" i="21"/>
  <c r="Q296" i="21"/>
  <c r="O296" i="21"/>
  <c r="N296" i="21"/>
  <c r="M296" i="21"/>
  <c r="L296" i="21"/>
  <c r="J296" i="21"/>
  <c r="I296" i="21"/>
  <c r="H296" i="21"/>
  <c r="G296" i="21"/>
  <c r="F296" i="21"/>
  <c r="E296" i="21"/>
  <c r="D296" i="21"/>
  <c r="C296" i="21"/>
  <c r="B296" i="21"/>
  <c r="A296" i="21"/>
  <c r="I290" i="21"/>
  <c r="A290" i="21"/>
  <c r="A289" i="21"/>
  <c r="T252" i="21"/>
  <c r="S252" i="21"/>
  <c r="R252" i="21"/>
  <c r="Q252" i="21"/>
  <c r="O252" i="21"/>
  <c r="N252" i="21"/>
  <c r="M252" i="21"/>
  <c r="L252" i="21"/>
  <c r="J252" i="21"/>
  <c r="I252" i="21"/>
  <c r="H252" i="21"/>
  <c r="F252" i="21"/>
  <c r="D252" i="21"/>
  <c r="C252" i="21"/>
  <c r="B252" i="21"/>
  <c r="A252" i="21"/>
  <c r="T251" i="21"/>
  <c r="S251" i="21"/>
  <c r="R251" i="21"/>
  <c r="Q251" i="21"/>
  <c r="O251" i="21"/>
  <c r="N251" i="21"/>
  <c r="M251" i="21"/>
  <c r="L251" i="21"/>
  <c r="J251" i="21"/>
  <c r="I251" i="21"/>
  <c r="H251" i="21"/>
  <c r="G251" i="21"/>
  <c r="F251" i="21"/>
  <c r="E251" i="21"/>
  <c r="D251" i="21"/>
  <c r="C251" i="21"/>
  <c r="B251" i="21"/>
  <c r="A251" i="21"/>
  <c r="T250" i="21"/>
  <c r="S250" i="21"/>
  <c r="R250" i="21"/>
  <c r="Q250" i="21"/>
  <c r="O250" i="21"/>
  <c r="N250" i="21"/>
  <c r="M250" i="21"/>
  <c r="L250" i="21"/>
  <c r="J250" i="21"/>
  <c r="I250" i="21"/>
  <c r="H250" i="21"/>
  <c r="G250" i="21"/>
  <c r="F250" i="21"/>
  <c r="E250" i="21"/>
  <c r="D250" i="21"/>
  <c r="C250" i="21"/>
  <c r="B250" i="21"/>
  <c r="A250" i="21"/>
  <c r="T249" i="21"/>
  <c r="S249" i="21"/>
  <c r="R249" i="21"/>
  <c r="Q249" i="21"/>
  <c r="O249" i="21"/>
  <c r="N249" i="21"/>
  <c r="M249" i="21"/>
  <c r="L249" i="21"/>
  <c r="J249" i="21"/>
  <c r="I249" i="21"/>
  <c r="H249" i="21"/>
  <c r="G249" i="21"/>
  <c r="F249" i="21"/>
  <c r="E249" i="21"/>
  <c r="D249" i="21"/>
  <c r="C249" i="21"/>
  <c r="B249" i="21"/>
  <c r="A249" i="21"/>
  <c r="T248" i="21"/>
  <c r="S248" i="21"/>
  <c r="R248" i="21"/>
  <c r="Q248" i="21"/>
  <c r="O248" i="21"/>
  <c r="N248" i="21"/>
  <c r="M248" i="21"/>
  <c r="L248" i="21"/>
  <c r="J248" i="21"/>
  <c r="I248" i="21"/>
  <c r="H248" i="21"/>
  <c r="G248" i="21"/>
  <c r="F248" i="21"/>
  <c r="E248" i="21"/>
  <c r="D248" i="21"/>
  <c r="C248" i="21"/>
  <c r="B248" i="21"/>
  <c r="A248" i="21"/>
  <c r="I242" i="21"/>
  <c r="A242" i="21"/>
  <c r="A241" i="21"/>
  <c r="T204" i="21"/>
  <c r="S204" i="21"/>
  <c r="R204" i="21"/>
  <c r="Q204" i="21"/>
  <c r="O204" i="21"/>
  <c r="N204" i="21"/>
  <c r="M204" i="21"/>
  <c r="L204" i="21"/>
  <c r="J204" i="21"/>
  <c r="I204" i="21"/>
  <c r="H204" i="21"/>
  <c r="F204" i="21"/>
  <c r="D204" i="21"/>
  <c r="C204" i="21"/>
  <c r="B204" i="21"/>
  <c r="A204" i="21"/>
  <c r="T203" i="21"/>
  <c r="S203" i="21"/>
  <c r="R203" i="21"/>
  <c r="Q203" i="21"/>
  <c r="O203" i="21"/>
  <c r="N203" i="21"/>
  <c r="M203" i="21"/>
  <c r="L203" i="21"/>
  <c r="J203" i="21"/>
  <c r="I203" i="21"/>
  <c r="H203" i="21"/>
  <c r="G203" i="21"/>
  <c r="F203" i="21"/>
  <c r="E203" i="21"/>
  <c r="D203" i="21"/>
  <c r="C203" i="21"/>
  <c r="B203" i="21"/>
  <c r="A203" i="21"/>
  <c r="T202" i="21"/>
  <c r="S202" i="21"/>
  <c r="R202" i="21"/>
  <c r="Q202" i="21"/>
  <c r="O202" i="21"/>
  <c r="N202" i="21"/>
  <c r="M202" i="21"/>
  <c r="L202" i="21"/>
  <c r="J202" i="21"/>
  <c r="I202" i="21"/>
  <c r="H202" i="21"/>
  <c r="G202" i="21"/>
  <c r="F202" i="21"/>
  <c r="E202" i="21"/>
  <c r="D202" i="21"/>
  <c r="C202" i="21"/>
  <c r="B202" i="21"/>
  <c r="A202" i="21"/>
  <c r="T201" i="21"/>
  <c r="S201" i="21"/>
  <c r="R201" i="21"/>
  <c r="Q201" i="21"/>
  <c r="O201" i="21"/>
  <c r="N201" i="21"/>
  <c r="M201" i="21"/>
  <c r="L201" i="21"/>
  <c r="J201" i="21"/>
  <c r="I201" i="21"/>
  <c r="H201" i="21"/>
  <c r="G201" i="21"/>
  <c r="F201" i="21"/>
  <c r="E201" i="21"/>
  <c r="D201" i="21"/>
  <c r="C201" i="21"/>
  <c r="B201" i="21"/>
  <c r="A201" i="21"/>
  <c r="T200" i="21"/>
  <c r="S200" i="21"/>
  <c r="R200" i="21"/>
  <c r="Q200" i="21"/>
  <c r="O200" i="21"/>
  <c r="N200" i="21"/>
  <c r="M200" i="21"/>
  <c r="L200" i="21"/>
  <c r="J200" i="21"/>
  <c r="I200" i="21"/>
  <c r="H200" i="21"/>
  <c r="G200" i="21"/>
  <c r="F200" i="21"/>
  <c r="E200" i="21"/>
  <c r="D200" i="21"/>
  <c r="C200" i="21"/>
  <c r="B200" i="21"/>
  <c r="A200" i="21"/>
  <c r="I194" i="21"/>
  <c r="A194" i="21"/>
  <c r="A193" i="21"/>
  <c r="T156" i="21"/>
  <c r="S156" i="21"/>
  <c r="R156" i="21"/>
  <c r="Q156" i="21"/>
  <c r="O156" i="21"/>
  <c r="N156" i="21"/>
  <c r="M156" i="21"/>
  <c r="L156" i="21"/>
  <c r="J156" i="21"/>
  <c r="I156" i="21"/>
  <c r="H156" i="21"/>
  <c r="F156" i="21"/>
  <c r="D156" i="21"/>
  <c r="C156" i="21"/>
  <c r="B156" i="21"/>
  <c r="A156" i="21"/>
  <c r="T155" i="21"/>
  <c r="S155" i="21"/>
  <c r="R155" i="21"/>
  <c r="Q155" i="21"/>
  <c r="O155" i="21"/>
  <c r="N155" i="21"/>
  <c r="M155" i="21"/>
  <c r="L155" i="21"/>
  <c r="J155" i="21"/>
  <c r="I155" i="21"/>
  <c r="H155" i="21"/>
  <c r="G155" i="21"/>
  <c r="F155" i="21"/>
  <c r="E155" i="21"/>
  <c r="D155" i="21"/>
  <c r="C155" i="21"/>
  <c r="B155" i="21"/>
  <c r="A155" i="21"/>
  <c r="T154" i="21"/>
  <c r="S154" i="21"/>
  <c r="R154" i="21"/>
  <c r="Q154" i="21"/>
  <c r="O154" i="21"/>
  <c r="N154" i="21"/>
  <c r="M154" i="21"/>
  <c r="L154" i="21"/>
  <c r="J154" i="21"/>
  <c r="I154" i="21"/>
  <c r="H154" i="21"/>
  <c r="G154" i="21"/>
  <c r="F154" i="21"/>
  <c r="E154" i="21"/>
  <c r="D154" i="21"/>
  <c r="C154" i="21"/>
  <c r="B154" i="21"/>
  <c r="A154" i="21"/>
  <c r="T153" i="21"/>
  <c r="S153" i="21"/>
  <c r="R153" i="21"/>
  <c r="Q153" i="21"/>
  <c r="O153" i="21"/>
  <c r="N153" i="21"/>
  <c r="M153" i="21"/>
  <c r="L153" i="21"/>
  <c r="J153" i="21"/>
  <c r="I153" i="21"/>
  <c r="H153" i="21"/>
  <c r="G153" i="21"/>
  <c r="F153" i="21"/>
  <c r="E153" i="21"/>
  <c r="D153" i="21"/>
  <c r="C153" i="21"/>
  <c r="B153" i="21"/>
  <c r="A153" i="21"/>
  <c r="T152" i="21"/>
  <c r="S152" i="21"/>
  <c r="R152" i="21"/>
  <c r="Q152" i="21"/>
  <c r="O152" i="21"/>
  <c r="N152" i="21"/>
  <c r="M152" i="21"/>
  <c r="L152" i="21"/>
  <c r="J152" i="21"/>
  <c r="I152" i="21"/>
  <c r="H152" i="21"/>
  <c r="G152" i="21"/>
  <c r="F152" i="21"/>
  <c r="E152" i="21"/>
  <c r="D152" i="21"/>
  <c r="C152" i="21"/>
  <c r="B152" i="21"/>
  <c r="A152" i="21"/>
  <c r="I146" i="21"/>
  <c r="A146" i="21"/>
  <c r="A145" i="21"/>
  <c r="T108" i="21"/>
  <c r="S108" i="21"/>
  <c r="R108" i="21"/>
  <c r="Q108" i="21"/>
  <c r="O108" i="21"/>
  <c r="N108" i="21"/>
  <c r="M108" i="21"/>
  <c r="L108" i="21"/>
  <c r="J108" i="21"/>
  <c r="I108" i="21"/>
  <c r="H108" i="21"/>
  <c r="F108" i="21"/>
  <c r="D108" i="21"/>
  <c r="C108" i="21"/>
  <c r="B108" i="21"/>
  <c r="A108" i="21"/>
  <c r="T107" i="21"/>
  <c r="S107" i="21"/>
  <c r="R107" i="21"/>
  <c r="Q107" i="21"/>
  <c r="O107" i="21"/>
  <c r="N107" i="21"/>
  <c r="M107" i="21"/>
  <c r="L107" i="21"/>
  <c r="J107" i="21"/>
  <c r="I107" i="21"/>
  <c r="H107" i="21"/>
  <c r="G107" i="21"/>
  <c r="F107" i="21"/>
  <c r="E107" i="21"/>
  <c r="D107" i="21"/>
  <c r="C107" i="21"/>
  <c r="B107" i="21"/>
  <c r="A107" i="21"/>
  <c r="T106" i="21"/>
  <c r="S106" i="21"/>
  <c r="R106" i="21"/>
  <c r="Q106" i="21"/>
  <c r="O106" i="21"/>
  <c r="N106" i="21"/>
  <c r="M106" i="21"/>
  <c r="L106" i="21"/>
  <c r="J106" i="21"/>
  <c r="I106" i="21"/>
  <c r="H106" i="21"/>
  <c r="G106" i="21"/>
  <c r="F106" i="21"/>
  <c r="E106" i="21"/>
  <c r="D106" i="21"/>
  <c r="C106" i="21"/>
  <c r="B106" i="21"/>
  <c r="A106" i="21"/>
  <c r="T105" i="21"/>
  <c r="S105" i="21"/>
  <c r="R105" i="21"/>
  <c r="Q105" i="21"/>
  <c r="O105" i="21"/>
  <c r="N105" i="21"/>
  <c r="M105" i="21"/>
  <c r="L105" i="21"/>
  <c r="J105" i="21"/>
  <c r="I105" i="21"/>
  <c r="H105" i="21"/>
  <c r="G105" i="21"/>
  <c r="F105" i="21"/>
  <c r="E105" i="21"/>
  <c r="D105" i="21"/>
  <c r="C105" i="21"/>
  <c r="B105" i="21"/>
  <c r="A105" i="21"/>
  <c r="T104" i="21"/>
  <c r="S104" i="21"/>
  <c r="R104" i="21"/>
  <c r="Q104" i="21"/>
  <c r="O104" i="21"/>
  <c r="N104" i="21"/>
  <c r="M104" i="21"/>
  <c r="L104" i="21"/>
  <c r="J104" i="21"/>
  <c r="I104" i="21"/>
  <c r="H104" i="21"/>
  <c r="G104" i="21"/>
  <c r="F104" i="21"/>
  <c r="E104" i="21"/>
  <c r="D104" i="21"/>
  <c r="C104" i="21"/>
  <c r="B104" i="21"/>
  <c r="A104" i="21"/>
  <c r="I98" i="21"/>
  <c r="A98" i="21"/>
  <c r="A97" i="21"/>
  <c r="T60" i="21"/>
  <c r="S60" i="21"/>
  <c r="R60" i="21"/>
  <c r="Q60" i="21"/>
  <c r="O60" i="21"/>
  <c r="N60" i="21"/>
  <c r="M60" i="21"/>
  <c r="L60" i="21"/>
  <c r="J60" i="21"/>
  <c r="I60" i="21"/>
  <c r="H60" i="21"/>
  <c r="F60" i="21"/>
  <c r="D60" i="21"/>
  <c r="C60" i="21"/>
  <c r="B60" i="21"/>
  <c r="A60" i="21"/>
  <c r="T59" i="21"/>
  <c r="S59" i="21"/>
  <c r="R59" i="21"/>
  <c r="Q59" i="21"/>
  <c r="O59" i="21"/>
  <c r="N59" i="21"/>
  <c r="M59" i="21"/>
  <c r="L59" i="21"/>
  <c r="J59" i="21"/>
  <c r="I59" i="21"/>
  <c r="H59" i="21"/>
  <c r="G59" i="21"/>
  <c r="F59" i="21"/>
  <c r="E59" i="21"/>
  <c r="D59" i="21"/>
  <c r="C59" i="21"/>
  <c r="B59" i="21"/>
  <c r="A59" i="21"/>
  <c r="T58" i="21"/>
  <c r="S58" i="21"/>
  <c r="R58" i="21"/>
  <c r="Q58" i="21"/>
  <c r="O58" i="21"/>
  <c r="N58" i="21"/>
  <c r="M58" i="21"/>
  <c r="L58" i="21"/>
  <c r="J58" i="21"/>
  <c r="I58" i="21"/>
  <c r="H58" i="21"/>
  <c r="G58" i="21"/>
  <c r="F58" i="21"/>
  <c r="E58" i="21"/>
  <c r="D58" i="21"/>
  <c r="C58" i="21"/>
  <c r="B58" i="21"/>
  <c r="A58" i="21"/>
  <c r="T57" i="21"/>
  <c r="S57" i="21"/>
  <c r="R57" i="21"/>
  <c r="Q57" i="21"/>
  <c r="O57" i="21"/>
  <c r="N57" i="21"/>
  <c r="M57" i="21"/>
  <c r="L57" i="21"/>
  <c r="J57" i="21"/>
  <c r="I57" i="21"/>
  <c r="H57" i="21"/>
  <c r="G57" i="21"/>
  <c r="F57" i="21"/>
  <c r="E57" i="21"/>
  <c r="D57" i="21"/>
  <c r="C57" i="21"/>
  <c r="B57" i="21"/>
  <c r="A57" i="21"/>
  <c r="T56" i="21"/>
  <c r="S56" i="21"/>
  <c r="R56" i="21"/>
  <c r="Q56" i="21"/>
  <c r="O56" i="21"/>
  <c r="N56" i="21"/>
  <c r="M56" i="21"/>
  <c r="L56" i="21"/>
  <c r="J56" i="21"/>
  <c r="I56" i="21"/>
  <c r="H56" i="21"/>
  <c r="G56" i="21"/>
  <c r="F56" i="21"/>
  <c r="E56" i="21"/>
  <c r="D56" i="21"/>
  <c r="C56" i="21"/>
  <c r="B56" i="21"/>
  <c r="A56" i="21"/>
  <c r="I50" i="21"/>
  <c r="A50" i="21"/>
  <c r="M83" i="20"/>
  <c r="M82" i="20"/>
  <c r="H86" i="20"/>
  <c r="H85" i="20"/>
  <c r="H83" i="20"/>
  <c r="H82" i="20"/>
  <c r="H80" i="20"/>
  <c r="H90" i="20"/>
  <c r="H89" i="20"/>
  <c r="G94" i="20"/>
  <c r="G88" i="20"/>
  <c r="E66" i="20" s="1"/>
  <c r="G84" i="20"/>
  <c r="G81" i="20"/>
  <c r="G80" i="20"/>
  <c r="T75" i="20"/>
  <c r="J66" i="20"/>
  <c r="J76" i="20"/>
  <c r="J75" i="20"/>
  <c r="J74" i="20"/>
  <c r="J72" i="20"/>
  <c r="J71" i="20"/>
  <c r="J70" i="20"/>
  <c r="J68" i="20"/>
  <c r="J67" i="20"/>
  <c r="S76" i="20"/>
  <c r="I66" i="20"/>
  <c r="I76" i="20"/>
  <c r="I75" i="20"/>
  <c r="I74" i="20"/>
  <c r="I72" i="20"/>
  <c r="I71" i="20"/>
  <c r="I70" i="20"/>
  <c r="I68" i="20"/>
  <c r="I67" i="20"/>
  <c r="H74" i="20"/>
  <c r="G66" i="20"/>
  <c r="G76" i="20"/>
  <c r="G75" i="20"/>
  <c r="G74" i="20"/>
  <c r="G72" i="20"/>
  <c r="G71" i="20"/>
  <c r="G70" i="20"/>
  <c r="G68" i="20"/>
  <c r="G67" i="20"/>
  <c r="P74" i="20"/>
  <c r="P70" i="20"/>
  <c r="F66" i="20"/>
  <c r="F76" i="20"/>
  <c r="F75" i="20"/>
  <c r="F74" i="20"/>
  <c r="F72" i="20"/>
  <c r="F71" i="20"/>
  <c r="F70" i="20"/>
  <c r="F68" i="20"/>
  <c r="F67" i="20"/>
  <c r="E74" i="20"/>
  <c r="M95" i="20"/>
  <c r="T76" i="20" s="1"/>
  <c r="L95" i="20"/>
  <c r="T74" i="20" s="1"/>
  <c r="M94" i="20"/>
  <c r="L94" i="20"/>
  <c r="M93" i="20"/>
  <c r="S68" i="20" s="1"/>
  <c r="L93" i="20"/>
  <c r="S75" i="20" s="1"/>
  <c r="M92" i="20"/>
  <c r="Q68" i="20" s="1"/>
  <c r="L92" i="20"/>
  <c r="Q75" i="20" s="1"/>
  <c r="M91" i="20"/>
  <c r="L91" i="20"/>
  <c r="P66" i="20" s="1"/>
  <c r="L90" i="20"/>
  <c r="M90" i="20"/>
  <c r="L89" i="20"/>
  <c r="M88" i="20"/>
  <c r="C76" i="20"/>
  <c r="H76" i="20" s="1"/>
  <c r="C75" i="20"/>
  <c r="C74" i="20"/>
  <c r="C72" i="20"/>
  <c r="H72" i="20" s="1"/>
  <c r="C71" i="20"/>
  <c r="E70" i="20"/>
  <c r="C68" i="20"/>
  <c r="H68" i="20" s="1"/>
  <c r="C67" i="20"/>
  <c r="H66" i="20"/>
  <c r="L35" i="20"/>
  <c r="L36" i="20"/>
  <c r="L37" i="20"/>
  <c r="M37" i="20"/>
  <c r="L38" i="20"/>
  <c r="M38" i="20"/>
  <c r="L39" i="20"/>
  <c r="S21" i="20" s="1"/>
  <c r="M39" i="20"/>
  <c r="L41" i="20"/>
  <c r="M41" i="20"/>
  <c r="M34" i="20"/>
  <c r="H40" i="20"/>
  <c r="M40" i="20" s="1"/>
  <c r="H36" i="20"/>
  <c r="E22" i="20" s="1"/>
  <c r="H35" i="20"/>
  <c r="M35" i="20" s="1"/>
  <c r="G40" i="20"/>
  <c r="H20" i="20" s="1"/>
  <c r="G34" i="20"/>
  <c r="E20" i="20" s="1"/>
  <c r="J22" i="20"/>
  <c r="J18" i="20"/>
  <c r="J14" i="20"/>
  <c r="I22" i="20"/>
  <c r="I18" i="20"/>
  <c r="I14" i="20"/>
  <c r="G22" i="20"/>
  <c r="G18" i="20"/>
  <c r="G14" i="20"/>
  <c r="E12" i="20"/>
  <c r="J21" i="20"/>
  <c r="J20" i="20"/>
  <c r="J17" i="20"/>
  <c r="J16" i="20"/>
  <c r="J13" i="20"/>
  <c r="J12" i="20"/>
  <c r="I21" i="20"/>
  <c r="I20" i="20"/>
  <c r="I17" i="20"/>
  <c r="I16" i="20"/>
  <c r="I13" i="20"/>
  <c r="I12" i="20"/>
  <c r="H21" i="20"/>
  <c r="G21" i="20"/>
  <c r="G20" i="20"/>
  <c r="G17" i="20"/>
  <c r="G16" i="20"/>
  <c r="G13" i="20"/>
  <c r="G12" i="20"/>
  <c r="F22" i="20"/>
  <c r="F21" i="20"/>
  <c r="F20" i="20"/>
  <c r="F18" i="20"/>
  <c r="F17" i="20"/>
  <c r="F16" i="20"/>
  <c r="F14" i="20"/>
  <c r="F13" i="20"/>
  <c r="F12" i="20"/>
  <c r="E21" i="20"/>
  <c r="S22" i="20"/>
  <c r="S18" i="20"/>
  <c r="S14" i="20"/>
  <c r="L34" i="20"/>
  <c r="Q22" i="20"/>
  <c r="H18" i="20"/>
  <c r="S17" i="20"/>
  <c r="H17" i="20"/>
  <c r="H16" i="20"/>
  <c r="S13" i="20"/>
  <c r="Q71" i="20" l="1"/>
  <c r="M36" i="20"/>
  <c r="E71" i="20"/>
  <c r="S16" i="20"/>
  <c r="S20" i="20"/>
  <c r="S12" i="20"/>
  <c r="E17" i="20"/>
  <c r="H22" i="20"/>
  <c r="L40" i="20"/>
  <c r="H67" i="20"/>
  <c r="P75" i="20"/>
  <c r="T70" i="20"/>
  <c r="E13" i="20"/>
  <c r="P68" i="20"/>
  <c r="S72" i="20"/>
  <c r="T72" i="20"/>
  <c r="Q410" i="21"/>
  <c r="E75" i="20"/>
  <c r="H75" i="20"/>
  <c r="H71" i="20"/>
  <c r="M71" i="20" s="1"/>
  <c r="Y71" i="20" s="1"/>
  <c r="D71" i="20"/>
  <c r="E72" i="20"/>
  <c r="R72" i="20"/>
  <c r="E68" i="20"/>
  <c r="R66" i="20"/>
  <c r="E18" i="20"/>
  <c r="E16" i="20"/>
  <c r="E14" i="20"/>
  <c r="H14" i="20"/>
  <c r="H13" i="20"/>
  <c r="Q176" i="21"/>
  <c r="Q264" i="21"/>
  <c r="Q545" i="21"/>
  <c r="Q556" i="21"/>
  <c r="Q212" i="21"/>
  <c r="Q178" i="21"/>
  <c r="Q263" i="21"/>
  <c r="Q275" i="21"/>
  <c r="Q559" i="21"/>
  <c r="Q208" i="21"/>
  <c r="Q211" i="21"/>
  <c r="Q408" i="21"/>
  <c r="Q179" i="21"/>
  <c r="Q325" i="21"/>
  <c r="Q327" i="21"/>
  <c r="Q409" i="21"/>
  <c r="Q546" i="21"/>
  <c r="Q328" i="21"/>
  <c r="Q209" i="21"/>
  <c r="Q210" i="21"/>
  <c r="Q272" i="21"/>
  <c r="Q213" i="21"/>
  <c r="Q262" i="21"/>
  <c r="Q558" i="21"/>
  <c r="Q589" i="21"/>
  <c r="D76" i="20"/>
  <c r="M76" i="20" s="1"/>
  <c r="Y76" i="20" s="1"/>
  <c r="D68" i="20"/>
  <c r="D72" i="20"/>
  <c r="M72" i="20" s="1"/>
  <c r="Y72" i="20" s="1"/>
  <c r="E76" i="20"/>
  <c r="M89" i="20"/>
  <c r="O76" i="20" s="1"/>
  <c r="R76" i="20"/>
  <c r="Q72" i="20"/>
  <c r="Q76" i="20"/>
  <c r="R68" i="20"/>
  <c r="T68" i="20"/>
  <c r="T71" i="20"/>
  <c r="T67" i="20"/>
  <c r="T66" i="20"/>
  <c r="H70" i="20"/>
  <c r="R70" i="20"/>
  <c r="R74" i="20"/>
  <c r="R75" i="20"/>
  <c r="R71" i="20"/>
  <c r="R67" i="20"/>
  <c r="S71" i="20"/>
  <c r="S67" i="20"/>
  <c r="S66" i="20"/>
  <c r="S74" i="20"/>
  <c r="S70" i="20"/>
  <c r="Q66" i="20"/>
  <c r="Q74" i="20"/>
  <c r="Q67" i="20"/>
  <c r="Q70" i="20"/>
  <c r="P71" i="20"/>
  <c r="P76" i="20"/>
  <c r="P67" i="20"/>
  <c r="P72" i="20"/>
  <c r="L88" i="20"/>
  <c r="O67" i="20" s="1"/>
  <c r="E67" i="20"/>
  <c r="M67" i="20" s="1"/>
  <c r="Y67" i="20" s="1"/>
  <c r="D67" i="20"/>
  <c r="D75" i="20"/>
  <c r="D70" i="20"/>
  <c r="D66" i="20"/>
  <c r="M66" i="20" s="1"/>
  <c r="Y66" i="20" s="1"/>
  <c r="D74" i="20"/>
  <c r="O22" i="20"/>
  <c r="H12" i="20"/>
  <c r="Q16" i="20"/>
  <c r="Q21" i="20"/>
  <c r="R20" i="20"/>
  <c r="R13" i="20"/>
  <c r="T17" i="20"/>
  <c r="T16" i="20"/>
  <c r="P22" i="20"/>
  <c r="T18" i="20"/>
  <c r="T22" i="20"/>
  <c r="T14" i="20"/>
  <c r="O13" i="20"/>
  <c r="O14" i="20"/>
  <c r="O17" i="20"/>
  <c r="T20" i="20"/>
  <c r="T21" i="20"/>
  <c r="R14" i="20"/>
  <c r="T12" i="20"/>
  <c r="T13" i="20"/>
  <c r="O12" i="20"/>
  <c r="Q17" i="20"/>
  <c r="R21" i="20"/>
  <c r="Q12" i="20"/>
  <c r="R12" i="20"/>
  <c r="Q13" i="20"/>
  <c r="O16" i="20"/>
  <c r="Q20" i="20"/>
  <c r="P12" i="20"/>
  <c r="P14" i="20"/>
  <c r="P17" i="20"/>
  <c r="P21" i="20"/>
  <c r="Q14" i="20"/>
  <c r="P18" i="20"/>
  <c r="P13" i="20"/>
  <c r="P16" i="20"/>
  <c r="Q18" i="20"/>
  <c r="P20" i="20"/>
  <c r="R17" i="20"/>
  <c r="O18" i="20"/>
  <c r="O20" i="20"/>
  <c r="R16" i="20"/>
  <c r="O21" i="20"/>
  <c r="O68" i="20" l="1"/>
  <c r="O72" i="20"/>
  <c r="O75" i="20"/>
  <c r="O66" i="20"/>
  <c r="O70" i="20"/>
  <c r="O74" i="20"/>
  <c r="O71" i="20"/>
  <c r="M70" i="20"/>
  <c r="Y70" i="20" s="1"/>
  <c r="M74" i="20"/>
  <c r="Y74" i="20" s="1"/>
  <c r="M75" i="20"/>
  <c r="Y75" i="20" s="1"/>
  <c r="M68" i="20"/>
  <c r="Y68" i="20" s="1"/>
  <c r="R18" i="20"/>
  <c r="R22" i="20"/>
  <c r="P144" i="19" l="1"/>
  <c r="P143" i="19"/>
  <c r="I149" i="19"/>
  <c r="P149" i="19" s="1"/>
  <c r="I148" i="19"/>
  <c r="P148" i="19" s="1"/>
  <c r="I147" i="19"/>
  <c r="P147" i="19" s="1"/>
  <c r="I146" i="19"/>
  <c r="P146" i="19" s="1"/>
  <c r="I145" i="19"/>
  <c r="P145" i="19" s="1"/>
  <c r="I142" i="19"/>
  <c r="P142" i="19" s="1"/>
  <c r="I138" i="19"/>
  <c r="I134" i="19"/>
  <c r="N142" i="19"/>
  <c r="N144" i="19"/>
  <c r="N145" i="19"/>
  <c r="N146" i="19"/>
  <c r="N147" i="19"/>
  <c r="N148" i="19"/>
  <c r="N149" i="19"/>
  <c r="G148" i="19"/>
  <c r="G144" i="19"/>
  <c r="G143" i="19"/>
  <c r="N143" i="19" s="1"/>
  <c r="G140" i="19"/>
  <c r="G139" i="19"/>
  <c r="G137" i="19"/>
  <c r="G136" i="19"/>
  <c r="G134" i="19"/>
  <c r="M143" i="19"/>
  <c r="M144" i="19"/>
  <c r="M145" i="19"/>
  <c r="M146" i="19"/>
  <c r="M147" i="19"/>
  <c r="M149" i="19"/>
  <c r="F148" i="19"/>
  <c r="M148" i="19" s="1"/>
  <c r="F142" i="19"/>
  <c r="M142" i="19" s="1"/>
  <c r="F138" i="19"/>
  <c r="F135" i="19" l="1"/>
  <c r="F134" i="19"/>
  <c r="I129" i="19"/>
  <c r="I128" i="19"/>
  <c r="I127" i="19"/>
  <c r="I126" i="19"/>
  <c r="I124" i="19"/>
  <c r="I123" i="19"/>
  <c r="I122" i="19"/>
  <c r="I121" i="19"/>
  <c r="I119" i="19"/>
  <c r="I118" i="19"/>
  <c r="I117" i="19"/>
  <c r="I116" i="19"/>
  <c r="I94" i="19"/>
  <c r="I98" i="19"/>
  <c r="F98" i="19"/>
  <c r="F97" i="19"/>
  <c r="I97" i="19" s="1"/>
  <c r="F96" i="19"/>
  <c r="I96" i="19" s="1"/>
  <c r="F95" i="19"/>
  <c r="I95" i="19" s="1"/>
  <c r="F94" i="19"/>
  <c r="F93" i="19"/>
  <c r="F92" i="19"/>
  <c r="F90" i="19"/>
  <c r="I86" i="19" l="1"/>
  <c r="I84" i="19"/>
  <c r="I82" i="19"/>
  <c r="I80" i="19"/>
  <c r="I78" i="19"/>
  <c r="I76" i="19"/>
  <c r="I74" i="19"/>
  <c r="I72" i="19"/>
  <c r="I70" i="19"/>
  <c r="I68" i="19"/>
  <c r="I66" i="19"/>
  <c r="I64" i="19"/>
  <c r="S64" i="19"/>
  <c r="J64" i="19"/>
  <c r="I43" i="19"/>
  <c r="I44" i="19"/>
  <c r="I45" i="19"/>
  <c r="I46" i="19"/>
  <c r="I47" i="19"/>
  <c r="I48" i="19"/>
  <c r="I32" i="19"/>
  <c r="I30" i="19"/>
  <c r="I28" i="19"/>
  <c r="I26" i="19"/>
  <c r="I24" i="19"/>
  <c r="I22" i="19"/>
  <c r="I20" i="19"/>
  <c r="I18" i="19"/>
  <c r="I16" i="19"/>
  <c r="I14" i="19"/>
  <c r="I12" i="19"/>
  <c r="S12" i="19" l="1"/>
  <c r="J12" i="19"/>
  <c r="F40" i="19"/>
  <c r="F39" i="19"/>
  <c r="D20" i="19" s="1"/>
  <c r="F36" i="19"/>
  <c r="P119" i="19"/>
  <c r="T129" i="19"/>
  <c r="S129" i="19"/>
  <c r="Q129" i="19"/>
  <c r="P129" i="19"/>
  <c r="J129" i="19"/>
  <c r="G129" i="19"/>
  <c r="F129" i="19"/>
  <c r="E129" i="19"/>
  <c r="T128" i="19"/>
  <c r="S128" i="19"/>
  <c r="Q128" i="19"/>
  <c r="J128" i="19"/>
  <c r="G128" i="19"/>
  <c r="F128" i="19"/>
  <c r="C128" i="19"/>
  <c r="T127" i="19"/>
  <c r="S127" i="19"/>
  <c r="Q127" i="19"/>
  <c r="J127" i="19"/>
  <c r="G127" i="19"/>
  <c r="F127" i="19"/>
  <c r="C127" i="19"/>
  <c r="R127" i="19" s="1"/>
  <c r="S126" i="19"/>
  <c r="G126" i="19"/>
  <c r="T124" i="19"/>
  <c r="S124" i="19"/>
  <c r="Q124" i="19"/>
  <c r="P124" i="19"/>
  <c r="J124" i="19"/>
  <c r="G124" i="19"/>
  <c r="F124" i="19"/>
  <c r="E124" i="19"/>
  <c r="T123" i="19"/>
  <c r="S123" i="19"/>
  <c r="Q123" i="19"/>
  <c r="J123" i="19"/>
  <c r="G123" i="19"/>
  <c r="F123" i="19"/>
  <c r="C123" i="19"/>
  <c r="T122" i="19"/>
  <c r="S122" i="19"/>
  <c r="Q122" i="19"/>
  <c r="J122" i="19"/>
  <c r="G122" i="19"/>
  <c r="F122" i="19"/>
  <c r="R122" i="19"/>
  <c r="S121" i="19"/>
  <c r="G121" i="19"/>
  <c r="T119" i="19"/>
  <c r="S119" i="19"/>
  <c r="Q119" i="19"/>
  <c r="J119" i="19"/>
  <c r="G119" i="19"/>
  <c r="F119" i="19"/>
  <c r="C119" i="19"/>
  <c r="E119" i="19" s="1"/>
  <c r="T118" i="19"/>
  <c r="S118" i="19"/>
  <c r="Q118" i="19"/>
  <c r="J118" i="19"/>
  <c r="G118" i="19"/>
  <c r="F118" i="19"/>
  <c r="C118" i="19"/>
  <c r="T117" i="19"/>
  <c r="S117" i="19"/>
  <c r="Q117" i="19"/>
  <c r="J117" i="19"/>
  <c r="G117" i="19"/>
  <c r="F117" i="19"/>
  <c r="E117" i="19"/>
  <c r="R117" i="19"/>
  <c r="G116" i="19"/>
  <c r="A104" i="19"/>
  <c r="A158" i="19" s="1"/>
  <c r="T64" i="19"/>
  <c r="R82" i="19"/>
  <c r="Q74" i="19"/>
  <c r="P86" i="19"/>
  <c r="I93" i="19"/>
  <c r="O84" i="19" s="1"/>
  <c r="S86" i="19"/>
  <c r="J86" i="19"/>
  <c r="H86" i="19"/>
  <c r="G86" i="19"/>
  <c r="F86" i="19"/>
  <c r="E86" i="19"/>
  <c r="D86" i="19"/>
  <c r="S84" i="19"/>
  <c r="J84" i="19"/>
  <c r="H84" i="19"/>
  <c r="G84" i="19"/>
  <c r="F84" i="19"/>
  <c r="E84" i="19"/>
  <c r="D84" i="19"/>
  <c r="S82" i="19"/>
  <c r="P82" i="19"/>
  <c r="J82" i="19"/>
  <c r="H82" i="19"/>
  <c r="G82" i="19"/>
  <c r="F82" i="19"/>
  <c r="E82" i="19"/>
  <c r="D82" i="19"/>
  <c r="S80" i="19"/>
  <c r="J80" i="19"/>
  <c r="H80" i="19"/>
  <c r="G80" i="19"/>
  <c r="F80" i="19"/>
  <c r="E80" i="19"/>
  <c r="D80" i="19"/>
  <c r="L80" i="19" s="1"/>
  <c r="S78" i="19"/>
  <c r="J78" i="19"/>
  <c r="H78" i="19"/>
  <c r="G78" i="19"/>
  <c r="F78" i="19"/>
  <c r="E78" i="19"/>
  <c r="D78" i="19"/>
  <c r="S76" i="19"/>
  <c r="R76" i="19"/>
  <c r="P76" i="19"/>
  <c r="O76" i="19"/>
  <c r="J76" i="19"/>
  <c r="H76" i="19"/>
  <c r="G76" i="19"/>
  <c r="F76" i="19"/>
  <c r="E76" i="19"/>
  <c r="D76" i="19"/>
  <c r="S74" i="19"/>
  <c r="O74" i="19"/>
  <c r="J74" i="19"/>
  <c r="H74" i="19"/>
  <c r="G74" i="19"/>
  <c r="F74" i="19"/>
  <c r="E74" i="19"/>
  <c r="D74" i="19"/>
  <c r="S72" i="19"/>
  <c r="R72" i="19"/>
  <c r="J72" i="19"/>
  <c r="H72" i="19"/>
  <c r="G72" i="19"/>
  <c r="F72" i="19"/>
  <c r="E72" i="19"/>
  <c r="D72" i="19"/>
  <c r="T70" i="19"/>
  <c r="S70" i="19"/>
  <c r="P70" i="19"/>
  <c r="J70" i="19"/>
  <c r="H70" i="19"/>
  <c r="G70" i="19"/>
  <c r="F70" i="19"/>
  <c r="E70" i="19"/>
  <c r="D70" i="19"/>
  <c r="S68" i="19"/>
  <c r="P68" i="19"/>
  <c r="O68" i="19"/>
  <c r="J68" i="19"/>
  <c r="H68" i="19"/>
  <c r="G68" i="19"/>
  <c r="F68" i="19"/>
  <c r="E68" i="19"/>
  <c r="D68" i="19"/>
  <c r="T66" i="19"/>
  <c r="S66" i="19"/>
  <c r="J66" i="19"/>
  <c r="H66" i="19"/>
  <c r="G66" i="19"/>
  <c r="F66" i="19"/>
  <c r="E66" i="19"/>
  <c r="D66" i="19"/>
  <c r="P64" i="19"/>
  <c r="H64" i="19"/>
  <c r="G64" i="19"/>
  <c r="F64" i="19"/>
  <c r="E64" i="19"/>
  <c r="D64" i="19"/>
  <c r="T12" i="19"/>
  <c r="R24" i="19"/>
  <c r="Q28" i="19"/>
  <c r="P30" i="19"/>
  <c r="I42" i="19"/>
  <c r="O30" i="19" s="1"/>
  <c r="T32" i="19"/>
  <c r="S32" i="19"/>
  <c r="R32" i="19"/>
  <c r="Q32" i="19"/>
  <c r="P32" i="19"/>
  <c r="J32" i="19"/>
  <c r="H32" i="19"/>
  <c r="G32" i="19"/>
  <c r="F32" i="19"/>
  <c r="E32" i="19"/>
  <c r="T30" i="19"/>
  <c r="S30" i="19"/>
  <c r="Q30" i="19"/>
  <c r="J30" i="19"/>
  <c r="H30" i="19"/>
  <c r="G30" i="19"/>
  <c r="F30" i="19"/>
  <c r="E30" i="19"/>
  <c r="T28" i="19"/>
  <c r="S28" i="19"/>
  <c r="J28" i="19"/>
  <c r="H28" i="19"/>
  <c r="G28" i="19"/>
  <c r="F28" i="19"/>
  <c r="E28" i="19"/>
  <c r="T26" i="19"/>
  <c r="S26" i="19"/>
  <c r="J26" i="19"/>
  <c r="H26" i="19"/>
  <c r="G26" i="19"/>
  <c r="F26" i="19"/>
  <c r="E26" i="19"/>
  <c r="T24" i="19"/>
  <c r="S24" i="19"/>
  <c r="Q24" i="19"/>
  <c r="P24" i="19"/>
  <c r="O24" i="19"/>
  <c r="J24" i="19"/>
  <c r="H24" i="19"/>
  <c r="G24" i="19"/>
  <c r="F24" i="19"/>
  <c r="E24" i="19"/>
  <c r="T22" i="19"/>
  <c r="S22" i="19"/>
  <c r="Q22" i="19"/>
  <c r="J22" i="19"/>
  <c r="H22" i="19"/>
  <c r="G22" i="19"/>
  <c r="F22" i="19"/>
  <c r="E22" i="19"/>
  <c r="T20" i="19"/>
  <c r="S20" i="19"/>
  <c r="R20" i="19"/>
  <c r="J20" i="19"/>
  <c r="H20" i="19"/>
  <c r="G20" i="19"/>
  <c r="F20" i="19"/>
  <c r="E20" i="19"/>
  <c r="T18" i="19"/>
  <c r="S18" i="19"/>
  <c r="J18" i="19"/>
  <c r="H18" i="19"/>
  <c r="G18" i="19"/>
  <c r="F18" i="19"/>
  <c r="E18" i="19"/>
  <c r="T16" i="19"/>
  <c r="S16" i="19"/>
  <c r="Q16" i="19"/>
  <c r="P16" i="19"/>
  <c r="J16" i="19"/>
  <c r="H16" i="19"/>
  <c r="G16" i="19"/>
  <c r="F16" i="19"/>
  <c r="E16" i="19"/>
  <c r="T14" i="19"/>
  <c r="S14" i="19"/>
  <c r="Q14" i="19"/>
  <c r="J14" i="19"/>
  <c r="H14" i="19"/>
  <c r="G14" i="19"/>
  <c r="F14" i="19"/>
  <c r="E14" i="19"/>
  <c r="H12" i="19"/>
  <c r="G12" i="19"/>
  <c r="F12" i="19"/>
  <c r="E12" i="19"/>
  <c r="H89" i="11"/>
  <c r="L89" i="11"/>
  <c r="N267" i="21"/>
  <c r="Q267" i="21" s="1"/>
  <c r="Q134" i="11"/>
  <c r="N566" i="21" s="1"/>
  <c r="Q566" i="21" s="1"/>
  <c r="Q133" i="11"/>
  <c r="N565" i="21" s="1"/>
  <c r="Q565" i="21" s="1"/>
  <c r="Q129" i="11"/>
  <c r="Q128" i="11"/>
  <c r="Q108" i="11"/>
  <c r="Q107" i="11"/>
  <c r="Q74" i="11"/>
  <c r="N542" i="21" s="1"/>
  <c r="Q542" i="21" s="1"/>
  <c r="Q73" i="11"/>
  <c r="N541" i="21" s="1"/>
  <c r="Q541" i="21" s="1"/>
  <c r="Q46" i="11"/>
  <c r="Q45" i="11"/>
  <c r="Q42" i="11"/>
  <c r="Q41" i="11"/>
  <c r="Q37" i="11"/>
  <c r="Q36" i="11"/>
  <c r="N412" i="21" s="1"/>
  <c r="Q412" i="21" s="1"/>
  <c r="Q19" i="11"/>
  <c r="Q18" i="11"/>
  <c r="M217" i="5"/>
  <c r="I217" i="5"/>
  <c r="B73" i="1"/>
  <c r="N68" i="21"/>
  <c r="Q68" i="21" s="1"/>
  <c r="H31" i="4"/>
  <c r="H22" i="4"/>
  <c r="L20" i="19" l="1"/>
  <c r="L66" i="19"/>
  <c r="L68" i="19"/>
  <c r="L78" i="19"/>
  <c r="M78" i="19" s="1"/>
  <c r="Y78" i="19" s="1"/>
  <c r="L70" i="19"/>
  <c r="L86" i="19"/>
  <c r="L64" i="19"/>
  <c r="L72" i="19"/>
  <c r="M72" i="19" s="1"/>
  <c r="Y72" i="19" s="1"/>
  <c r="L74" i="19"/>
  <c r="L76" i="19"/>
  <c r="L82" i="19"/>
  <c r="L84" i="19"/>
  <c r="M84" i="19" s="1"/>
  <c r="Y84" i="19" s="1"/>
  <c r="D16" i="19"/>
  <c r="L16" i="19" s="1"/>
  <c r="N67" i="21"/>
  <c r="Q67" i="21" s="1"/>
  <c r="I92" i="19"/>
  <c r="N414" i="21"/>
  <c r="Q414" i="21" s="1"/>
  <c r="N568" i="21"/>
  <c r="Q568" i="21" s="1"/>
  <c r="N570" i="21"/>
  <c r="Q570" i="21" s="1"/>
  <c r="N416" i="21"/>
  <c r="Q416" i="21" s="1"/>
  <c r="L80" i="20"/>
  <c r="N398" i="21"/>
  <c r="Q398" i="21" s="1"/>
  <c r="N399" i="21"/>
  <c r="Q399" i="21" s="1"/>
  <c r="M80" i="20"/>
  <c r="D30" i="19"/>
  <c r="N550" i="21"/>
  <c r="Q550" i="21" s="1"/>
  <c r="N402" i="21"/>
  <c r="Q402" i="21" s="1"/>
  <c r="L84" i="20"/>
  <c r="Q86" i="11"/>
  <c r="Q87" i="11" s="1"/>
  <c r="Q88" i="11" s="1"/>
  <c r="N562" i="21"/>
  <c r="Q562" i="21" s="1"/>
  <c r="E127" i="19"/>
  <c r="O127" i="19"/>
  <c r="O129" i="19"/>
  <c r="D12" i="19"/>
  <c r="L12" i="19" s="1"/>
  <c r="O16" i="19"/>
  <c r="D24" i="19"/>
  <c r="D14" i="19"/>
  <c r="L14" i="19" s="1"/>
  <c r="D18" i="19"/>
  <c r="O26" i="19"/>
  <c r="O66" i="19"/>
  <c r="O72" i="19"/>
  <c r="Q126" i="19"/>
  <c r="D28" i="19"/>
  <c r="O18" i="19"/>
  <c r="D22" i="19"/>
  <c r="D26" i="19"/>
  <c r="O70" i="19"/>
  <c r="O64" i="19"/>
  <c r="O78" i="19"/>
  <c r="O80" i="19"/>
  <c r="O82" i="19"/>
  <c r="O86" i="19"/>
  <c r="T80" i="19"/>
  <c r="T68" i="19"/>
  <c r="T72" i="19"/>
  <c r="T76" i="19"/>
  <c r="T82" i="19"/>
  <c r="T84" i="19"/>
  <c r="T74" i="19"/>
  <c r="T78" i="19"/>
  <c r="T86" i="19"/>
  <c r="R66" i="19"/>
  <c r="R84" i="19"/>
  <c r="R80" i="19"/>
  <c r="R70" i="19"/>
  <c r="R74" i="19"/>
  <c r="R64" i="19"/>
  <c r="R68" i="19"/>
  <c r="R78" i="19"/>
  <c r="R86" i="19"/>
  <c r="P74" i="19"/>
  <c r="P66" i="19"/>
  <c r="P78" i="19"/>
  <c r="P72" i="19"/>
  <c r="P80" i="19"/>
  <c r="M64" i="19"/>
  <c r="M16" i="19"/>
  <c r="Y16" i="19" s="1"/>
  <c r="M20" i="19"/>
  <c r="Y20" i="19" s="1"/>
  <c r="M12" i="19"/>
  <c r="O12" i="19"/>
  <c r="O14" i="19"/>
  <c r="R18" i="19"/>
  <c r="O22" i="19"/>
  <c r="R26" i="19"/>
  <c r="O28" i="19"/>
  <c r="R30" i="19"/>
  <c r="O32" i="19"/>
  <c r="M74" i="19"/>
  <c r="Y74" i="19" s="1"/>
  <c r="M76" i="19"/>
  <c r="Y76" i="19" s="1"/>
  <c r="R124" i="19"/>
  <c r="R12" i="19"/>
  <c r="R28" i="19"/>
  <c r="M68" i="19"/>
  <c r="Y68" i="19" s="1"/>
  <c r="P84" i="19"/>
  <c r="O117" i="19"/>
  <c r="E122" i="19"/>
  <c r="O122" i="19"/>
  <c r="O124" i="19"/>
  <c r="R14" i="19"/>
  <c r="R16" i="19"/>
  <c r="O20" i="19"/>
  <c r="R22" i="19"/>
  <c r="Q121" i="19"/>
  <c r="D32" i="19"/>
  <c r="Q80" i="19"/>
  <c r="Q72" i="19"/>
  <c r="Q86" i="19"/>
  <c r="Q78" i="19"/>
  <c r="Q70" i="19"/>
  <c r="Q84" i="19"/>
  <c r="Q76" i="19"/>
  <c r="Q68" i="19"/>
  <c r="P12" i="19"/>
  <c r="Q12" i="19"/>
  <c r="Q18" i="19"/>
  <c r="P20" i="19"/>
  <c r="Q26" i="19"/>
  <c r="P28" i="19"/>
  <c r="Q64" i="19"/>
  <c r="M66" i="19"/>
  <c r="Y66" i="19" s="1"/>
  <c r="Q82" i="19"/>
  <c r="R119" i="19"/>
  <c r="O123" i="19"/>
  <c r="E123" i="19"/>
  <c r="R123" i="19"/>
  <c r="H123" i="19"/>
  <c r="D123" i="19"/>
  <c r="R129" i="19"/>
  <c r="T116" i="19"/>
  <c r="P116" i="19"/>
  <c r="F116" i="19"/>
  <c r="S116" i="19"/>
  <c r="O116" i="19"/>
  <c r="J116" i="19"/>
  <c r="E116" i="19"/>
  <c r="R116" i="19"/>
  <c r="H116" i="19"/>
  <c r="D116" i="19"/>
  <c r="O118" i="19"/>
  <c r="E118" i="19"/>
  <c r="R118" i="19"/>
  <c r="H118" i="19"/>
  <c r="D118" i="19"/>
  <c r="O128" i="19"/>
  <c r="E128" i="19"/>
  <c r="R128" i="19"/>
  <c r="H128" i="19"/>
  <c r="D128" i="19"/>
  <c r="P18" i="19"/>
  <c r="P26" i="19"/>
  <c r="T121" i="19"/>
  <c r="P121" i="19"/>
  <c r="F121" i="19"/>
  <c r="O121" i="19"/>
  <c r="J121" i="19"/>
  <c r="E121" i="19"/>
  <c r="R121" i="19"/>
  <c r="H121" i="19"/>
  <c r="D121" i="19"/>
  <c r="P128" i="19"/>
  <c r="P123" i="19"/>
  <c r="P118" i="19"/>
  <c r="P127" i="19"/>
  <c r="P122" i="19"/>
  <c r="P117" i="19"/>
  <c r="P14" i="19"/>
  <c r="Q20" i="19"/>
  <c r="P22" i="19"/>
  <c r="Q66" i="19"/>
  <c r="M80" i="19"/>
  <c r="Y80" i="19" s="1"/>
  <c r="M82" i="19"/>
  <c r="Y82" i="19" s="1"/>
  <c r="Q116" i="19"/>
  <c r="O119" i="19"/>
  <c r="T126" i="19"/>
  <c r="P126" i="19"/>
  <c r="F126" i="19"/>
  <c r="O126" i="19"/>
  <c r="J126" i="19"/>
  <c r="E126" i="19"/>
  <c r="R126" i="19"/>
  <c r="H126" i="19"/>
  <c r="D126" i="19"/>
  <c r="M70" i="19"/>
  <c r="Y70" i="19" s="1"/>
  <c r="M86" i="19"/>
  <c r="Y86" i="19" s="1"/>
  <c r="D117" i="19"/>
  <c r="H117" i="19"/>
  <c r="D119" i="19"/>
  <c r="H119" i="19"/>
  <c r="D122" i="19"/>
  <c r="H122" i="19"/>
  <c r="D124" i="19"/>
  <c r="H124" i="19"/>
  <c r="D127" i="19"/>
  <c r="H127" i="19"/>
  <c r="D129" i="19"/>
  <c r="H129" i="19"/>
  <c r="L32" i="19" l="1"/>
  <c r="M32" i="19" s="1"/>
  <c r="Y32" i="19" s="1"/>
  <c r="L24" i="19"/>
  <c r="M24" i="19" s="1"/>
  <c r="Y24" i="19" s="1"/>
  <c r="L22" i="19"/>
  <c r="M22" i="19" s="1"/>
  <c r="Y22" i="19" s="1"/>
  <c r="L30" i="19"/>
  <c r="M30" i="19" s="1"/>
  <c r="Y30" i="19" s="1"/>
  <c r="L28" i="19"/>
  <c r="M28" i="19" s="1"/>
  <c r="Y28" i="19" s="1"/>
  <c r="L26" i="19"/>
  <c r="M26" i="19" s="1"/>
  <c r="Y26" i="19" s="1"/>
  <c r="L18" i="19"/>
  <c r="M18" i="19" s="1"/>
  <c r="Y18" i="19" s="1"/>
  <c r="N75" i="20"/>
  <c r="U75" i="20" s="1"/>
  <c r="V75" i="20" s="1"/>
  <c r="N67" i="20"/>
  <c r="U67" i="20" s="1"/>
  <c r="V67" i="20" s="1"/>
  <c r="N71" i="20"/>
  <c r="U71" i="20" s="1"/>
  <c r="V71" i="20" s="1"/>
  <c r="N66" i="20"/>
  <c r="U66" i="20" s="1"/>
  <c r="V66" i="20" s="1"/>
  <c r="N70" i="20"/>
  <c r="U70" i="20" s="1"/>
  <c r="V70" i="20" s="1"/>
  <c r="N74" i="20"/>
  <c r="U74" i="20" s="1"/>
  <c r="V74" i="20" s="1"/>
  <c r="M14" i="19"/>
  <c r="Y14" i="19" s="1"/>
  <c r="M116" i="19"/>
  <c r="Y116" i="19" s="1"/>
  <c r="M127" i="19"/>
  <c r="Y127" i="19" s="1"/>
  <c r="M126" i="19"/>
  <c r="Y126" i="19" s="1"/>
  <c r="M122" i="19"/>
  <c r="Y122" i="19" s="1"/>
  <c r="M117" i="19"/>
  <c r="Y117" i="19" s="1"/>
  <c r="M128" i="19"/>
  <c r="Y128" i="19" s="1"/>
  <c r="M121" i="19"/>
  <c r="Y121" i="19" s="1"/>
  <c r="M129" i="19"/>
  <c r="Y129" i="19" s="1"/>
  <c r="M124" i="19"/>
  <c r="Y124" i="19" s="1"/>
  <c r="M119" i="19"/>
  <c r="Y119" i="19" s="1"/>
  <c r="M118" i="19"/>
  <c r="Y118" i="19" s="1"/>
  <c r="M123" i="19"/>
  <c r="Y123" i="19" s="1"/>
  <c r="W71" i="20" l="1"/>
  <c r="X71" i="20" s="1"/>
  <c r="Z71" i="20"/>
  <c r="W74" i="20"/>
  <c r="X74" i="20" s="1"/>
  <c r="Z74" i="20"/>
  <c r="Z67" i="20"/>
  <c r="W67" i="20"/>
  <c r="X67" i="20" s="1"/>
  <c r="Z66" i="20"/>
  <c r="W66" i="20"/>
  <c r="X66" i="20" s="1"/>
  <c r="Z70" i="20"/>
  <c r="W70" i="20"/>
  <c r="X70" i="20" s="1"/>
  <c r="Z75" i="20"/>
  <c r="W75" i="20"/>
  <c r="X75" i="20" s="1"/>
  <c r="N278" i="21" l="1"/>
  <c r="Q278" i="21" s="1"/>
  <c r="R194" i="5"/>
  <c r="R197" i="5" s="1"/>
  <c r="R200" i="5" s="1"/>
  <c r="R195" i="5"/>
  <c r="R198" i="5" s="1"/>
  <c r="R201" i="5" s="1"/>
  <c r="R193" i="5"/>
  <c r="R133" i="5"/>
  <c r="R134" i="5"/>
  <c r="Q28" i="4" l="1"/>
  <c r="N69" i="21"/>
  <c r="Q69" i="21" s="1"/>
  <c r="Q25" i="11"/>
  <c r="N403" i="21"/>
  <c r="Q403" i="21" s="1"/>
  <c r="M85" i="20"/>
  <c r="Q80" i="11"/>
  <c r="N551" i="21"/>
  <c r="Q551" i="21" s="1"/>
  <c r="R32" i="5"/>
  <c r="R35" i="5" s="1"/>
  <c r="R38" i="5" s="1"/>
  <c r="R132" i="5"/>
  <c r="N169" i="21"/>
  <c r="Q169" i="21" s="1"/>
  <c r="M138" i="19"/>
  <c r="R30" i="5"/>
  <c r="R196" i="5"/>
  <c r="N268" i="21"/>
  <c r="Q268" i="21" s="1"/>
  <c r="Q134" i="6"/>
  <c r="N498" i="21" s="1"/>
  <c r="Q133" i="6"/>
  <c r="N497" i="21" s="1"/>
  <c r="Q129" i="6"/>
  <c r="Q128" i="6"/>
  <c r="N502" i="21" s="1"/>
  <c r="Q108" i="6"/>
  <c r="Q107" i="6"/>
  <c r="N500" i="21" s="1"/>
  <c r="N465" i="21"/>
  <c r="N464" i="21"/>
  <c r="N462" i="21"/>
  <c r="N453" i="21"/>
  <c r="N452" i="21"/>
  <c r="N451" i="21"/>
  <c r="Q74" i="6"/>
  <c r="N448" i="21" s="1"/>
  <c r="Q73" i="6"/>
  <c r="N447" i="21" s="1"/>
  <c r="Q46" i="6"/>
  <c r="Q45" i="6"/>
  <c r="N368" i="21" s="1"/>
  <c r="Q42" i="6"/>
  <c r="Q41" i="6"/>
  <c r="N366" i="21" s="1"/>
  <c r="Q37" i="6"/>
  <c r="Q36" i="6"/>
  <c r="N364" i="21" s="1"/>
  <c r="Q19" i="6"/>
  <c r="Q18" i="6"/>
  <c r="R349" i="5"/>
  <c r="R348" i="5"/>
  <c r="R347" i="5"/>
  <c r="R346" i="5"/>
  <c r="R345" i="5"/>
  <c r="R344" i="5"/>
  <c r="N316" i="21" s="1"/>
  <c r="Q316" i="21" s="1"/>
  <c r="R316" i="5"/>
  <c r="N313" i="21" s="1"/>
  <c r="Q313" i="21" s="1"/>
  <c r="R315" i="5"/>
  <c r="N312" i="21" s="1"/>
  <c r="Q312" i="21" s="1"/>
  <c r="R314" i="5"/>
  <c r="N311" i="21" s="1"/>
  <c r="R313" i="5"/>
  <c r="N310" i="21" s="1"/>
  <c r="R310" i="5"/>
  <c r="N308" i="21" s="1"/>
  <c r="Q308" i="21" s="1"/>
  <c r="R309" i="5"/>
  <c r="N307" i="21" s="1"/>
  <c r="Q307" i="21" s="1"/>
  <c r="R308" i="5"/>
  <c r="N306" i="21" s="1"/>
  <c r="Q306" i="21" s="1"/>
  <c r="R307" i="5"/>
  <c r="N305" i="21" s="1"/>
  <c r="Q305" i="21" s="1"/>
  <c r="R303" i="5"/>
  <c r="R302" i="5"/>
  <c r="R301" i="5"/>
  <c r="R300" i="5"/>
  <c r="R299" i="5"/>
  <c r="R298" i="5"/>
  <c r="N321" i="21" s="1"/>
  <c r="Q321" i="21" s="1"/>
  <c r="R295" i="5"/>
  <c r="R294" i="5"/>
  <c r="R293" i="5"/>
  <c r="R292" i="5"/>
  <c r="R291" i="5"/>
  <c r="R290" i="5"/>
  <c r="N319" i="21" s="1"/>
  <c r="Q319" i="21" s="1"/>
  <c r="R186" i="5"/>
  <c r="N259" i="21" s="1"/>
  <c r="Q259" i="21" s="1"/>
  <c r="R185" i="5"/>
  <c r="N258" i="21" s="1"/>
  <c r="Q258" i="21" s="1"/>
  <c r="R184" i="5"/>
  <c r="N257" i="21" s="1"/>
  <c r="Q257" i="21" s="1"/>
  <c r="R183" i="5"/>
  <c r="N256" i="21" s="1"/>
  <c r="Q256" i="21" s="1"/>
  <c r="R182" i="5"/>
  <c r="N255" i="21" s="1"/>
  <c r="Q255" i="21" s="1"/>
  <c r="R181" i="5"/>
  <c r="N254" i="21" s="1"/>
  <c r="Q254" i="21" s="1"/>
  <c r="R152" i="5"/>
  <c r="R151" i="5"/>
  <c r="R150" i="5"/>
  <c r="N191" i="21" s="1"/>
  <c r="Q191" i="21" s="1"/>
  <c r="R145" i="5"/>
  <c r="N185" i="21" s="1"/>
  <c r="Q185" i="21" s="1"/>
  <c r="R144" i="5"/>
  <c r="N184" i="21" s="1"/>
  <c r="Q184" i="21" s="1"/>
  <c r="R128" i="5"/>
  <c r="N164" i="21" s="1"/>
  <c r="Q164" i="21" s="1"/>
  <c r="R127" i="5"/>
  <c r="N163" i="21" s="1"/>
  <c r="Q163" i="21" s="1"/>
  <c r="R126" i="5"/>
  <c r="R87" i="5"/>
  <c r="R86" i="5"/>
  <c r="R85" i="5"/>
  <c r="N192" i="21" s="1"/>
  <c r="Q192" i="21" s="1"/>
  <c r="R84" i="5"/>
  <c r="R83" i="5"/>
  <c r="R82" i="5"/>
  <c r="N190" i="21" s="1"/>
  <c r="Q190" i="21" s="1"/>
  <c r="R77" i="5"/>
  <c r="N187" i="21" s="1"/>
  <c r="Q187" i="21" s="1"/>
  <c r="R76" i="5"/>
  <c r="N186" i="21" s="1"/>
  <c r="Q186" i="21" s="1"/>
  <c r="R75" i="5"/>
  <c r="N183" i="21" s="1"/>
  <c r="Q183" i="21" s="1"/>
  <c r="R74" i="5"/>
  <c r="N182" i="21" s="1"/>
  <c r="Q182" i="21" s="1"/>
  <c r="R23" i="5"/>
  <c r="N167" i="21" s="1"/>
  <c r="Q167" i="21" s="1"/>
  <c r="R22" i="5"/>
  <c r="N166" i="21" s="1"/>
  <c r="Q166" i="21" s="1"/>
  <c r="R21" i="5"/>
  <c r="R20" i="5"/>
  <c r="N161" i="21" s="1"/>
  <c r="Q161" i="21" s="1"/>
  <c r="R19" i="5"/>
  <c r="N160" i="21" s="1"/>
  <c r="Q160" i="21" s="1"/>
  <c r="R18" i="5"/>
  <c r="Q29" i="4" l="1"/>
  <c r="N71" i="21" s="1"/>
  <c r="N70" i="21"/>
  <c r="Q70" i="21" s="1"/>
  <c r="N159" i="21"/>
  <c r="Q159" i="21" s="1"/>
  <c r="M134" i="19"/>
  <c r="N118" i="19" s="1"/>
  <c r="U118" i="19" s="1"/>
  <c r="V118" i="19" s="1"/>
  <c r="N162" i="21"/>
  <c r="Q162" i="21" s="1"/>
  <c r="P134" i="19"/>
  <c r="N165" i="21"/>
  <c r="Q165" i="21" s="1"/>
  <c r="N134" i="19"/>
  <c r="N350" i="21"/>
  <c r="L26" i="20"/>
  <c r="M26" i="20"/>
  <c r="N351" i="21"/>
  <c r="N362" i="21"/>
  <c r="M29" i="20"/>
  <c r="N360" i="21"/>
  <c r="L27" i="20"/>
  <c r="N361" i="21"/>
  <c r="M28" i="20"/>
  <c r="Q81" i="11"/>
  <c r="N553" i="21" s="1"/>
  <c r="N552" i="21"/>
  <c r="Q552" i="21" s="1"/>
  <c r="Q26" i="11"/>
  <c r="M86" i="20"/>
  <c r="N404" i="21"/>
  <c r="Q404" i="21" s="1"/>
  <c r="N128" i="19"/>
  <c r="U128" i="19" s="1"/>
  <c r="V128" i="19" s="1"/>
  <c r="R33" i="5"/>
  <c r="N171" i="21"/>
  <c r="Q171" i="21" s="1"/>
  <c r="N139" i="19"/>
  <c r="R199" i="5"/>
  <c r="N270" i="21" s="1"/>
  <c r="N269" i="21"/>
  <c r="Q269" i="21" s="1"/>
  <c r="N170" i="21"/>
  <c r="Q170" i="21" s="1"/>
  <c r="P138" i="19"/>
  <c r="Q73" i="4"/>
  <c r="N110" i="21" s="1"/>
  <c r="Q110" i="21" s="1"/>
  <c r="L29" i="4"/>
  <c r="Q35" i="4"/>
  <c r="Q34" i="4"/>
  <c r="N73" i="21" s="1"/>
  <c r="Q73" i="21" s="1"/>
  <c r="Q20" i="4"/>
  <c r="N63" i="21" s="1"/>
  <c r="Q63" i="21" s="1"/>
  <c r="Q21" i="4"/>
  <c r="N64" i="21" s="1"/>
  <c r="Q64" i="21" s="1"/>
  <c r="Q19" i="4"/>
  <c r="Q20" i="3"/>
  <c r="N15" i="21" s="1"/>
  <c r="Q15" i="21" s="1"/>
  <c r="Q19" i="3"/>
  <c r="N122" i="19" l="1"/>
  <c r="U122" i="19" s="1"/>
  <c r="V122" i="19" s="1"/>
  <c r="W122" i="19" s="1"/>
  <c r="X122" i="19" s="1"/>
  <c r="N123" i="19"/>
  <c r="U123" i="19" s="1"/>
  <c r="V123" i="19" s="1"/>
  <c r="Z123" i="19" s="1"/>
  <c r="N127" i="19"/>
  <c r="U127" i="19" s="1"/>
  <c r="V127" i="19" s="1"/>
  <c r="Z127" i="19" s="1"/>
  <c r="N117" i="19"/>
  <c r="U117" i="19" s="1"/>
  <c r="V117" i="19" s="1"/>
  <c r="Z117" i="19" s="1"/>
  <c r="N14" i="21"/>
  <c r="Q14" i="21" s="1"/>
  <c r="I36" i="19"/>
  <c r="N62" i="21"/>
  <c r="Q62" i="21" s="1"/>
  <c r="I90" i="19"/>
  <c r="M87" i="20"/>
  <c r="N405" i="21"/>
  <c r="R36" i="5"/>
  <c r="N172" i="21"/>
  <c r="Q172" i="21" s="1"/>
  <c r="N140" i="19"/>
  <c r="N124" i="19" s="1"/>
  <c r="U124" i="19" s="1"/>
  <c r="V124" i="19" s="1"/>
  <c r="W118" i="19"/>
  <c r="X118" i="19" s="1"/>
  <c r="Z118" i="19"/>
  <c r="N116" i="19"/>
  <c r="U116" i="19" s="1"/>
  <c r="V116" i="19" s="1"/>
  <c r="N126" i="19"/>
  <c r="U126" i="19" s="1"/>
  <c r="V126" i="19" s="1"/>
  <c r="N121" i="19"/>
  <c r="U121" i="19" s="1"/>
  <c r="V121" i="19" s="1"/>
  <c r="W128" i="19"/>
  <c r="X128" i="19" s="1"/>
  <c r="Z128" i="19"/>
  <c r="O88" i="11"/>
  <c r="O81" i="11"/>
  <c r="O26" i="11"/>
  <c r="O88" i="6"/>
  <c r="O81" i="6"/>
  <c r="O26" i="6"/>
  <c r="E181" i="5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180" i="5"/>
  <c r="P216" i="5"/>
  <c r="P215" i="5"/>
  <c r="I215" i="5"/>
  <c r="P214" i="5"/>
  <c r="I214" i="5"/>
  <c r="P199" i="5"/>
  <c r="P200" i="5"/>
  <c r="P201" i="5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P36" i="5"/>
  <c r="P37" i="5"/>
  <c r="P38" i="5"/>
  <c r="P51" i="5"/>
  <c r="K51" i="5"/>
  <c r="I51" i="5"/>
  <c r="P50" i="5"/>
  <c r="K50" i="5"/>
  <c r="I50" i="5"/>
  <c r="P49" i="5"/>
  <c r="K49" i="5"/>
  <c r="I49" i="5"/>
  <c r="P48" i="5"/>
  <c r="K48" i="5"/>
  <c r="I48" i="5"/>
  <c r="P47" i="5"/>
  <c r="K47" i="5"/>
  <c r="I47" i="5"/>
  <c r="P46" i="5"/>
  <c r="K46" i="5"/>
  <c r="I46" i="5"/>
  <c r="P45" i="5"/>
  <c r="K45" i="5"/>
  <c r="I45" i="5"/>
  <c r="P44" i="5"/>
  <c r="K44" i="5"/>
  <c r="I44" i="5"/>
  <c r="P43" i="5"/>
  <c r="K43" i="5"/>
  <c r="I43" i="5"/>
  <c r="W123" i="19" l="1"/>
  <c r="X123" i="19" s="1"/>
  <c r="Z122" i="19"/>
  <c r="W117" i="19"/>
  <c r="X117" i="19" s="1"/>
  <c r="W127" i="19"/>
  <c r="X127" i="19" s="1"/>
  <c r="N66" i="19"/>
  <c r="U66" i="19" s="1"/>
  <c r="V66" i="19" s="1"/>
  <c r="N78" i="19"/>
  <c r="U78" i="19" s="1"/>
  <c r="V78" i="19" s="1"/>
  <c r="N64" i="19"/>
  <c r="U64" i="19" s="1"/>
  <c r="V64" i="19" s="1"/>
  <c r="W64" i="19" s="1"/>
  <c r="X64" i="19" s="1"/>
  <c r="N80" i="19"/>
  <c r="U80" i="19" s="1"/>
  <c r="V80" i="19" s="1"/>
  <c r="N70" i="19"/>
  <c r="U70" i="19" s="1"/>
  <c r="V70" i="19" s="1"/>
  <c r="N76" i="19"/>
  <c r="U76" i="19" s="1"/>
  <c r="V76" i="19" s="1"/>
  <c r="N82" i="19"/>
  <c r="U82" i="19" s="1"/>
  <c r="V82" i="19" s="1"/>
  <c r="N86" i="19"/>
  <c r="U86" i="19" s="1"/>
  <c r="V86" i="19" s="1"/>
  <c r="N84" i="19"/>
  <c r="U84" i="19" s="1"/>
  <c r="V84" i="19" s="1"/>
  <c r="N72" i="19"/>
  <c r="U72" i="19" s="1"/>
  <c r="V72" i="19" s="1"/>
  <c r="N68" i="19"/>
  <c r="U68" i="19" s="1"/>
  <c r="V68" i="19" s="1"/>
  <c r="N74" i="19"/>
  <c r="U74" i="19" s="1"/>
  <c r="V74" i="19" s="1"/>
  <c r="N68" i="20"/>
  <c r="U68" i="20" s="1"/>
  <c r="V68" i="20" s="1"/>
  <c r="N72" i="20"/>
  <c r="U72" i="20" s="1"/>
  <c r="V72" i="20" s="1"/>
  <c r="N76" i="20"/>
  <c r="U76" i="20" s="1"/>
  <c r="V76" i="20" s="1"/>
  <c r="N119" i="19"/>
  <c r="U119" i="19" s="1"/>
  <c r="V119" i="19" s="1"/>
  <c r="Z119" i="19" s="1"/>
  <c r="Z124" i="19"/>
  <c r="W124" i="19"/>
  <c r="X124" i="19" s="1"/>
  <c r="W121" i="19"/>
  <c r="X121" i="19" s="1"/>
  <c r="Z121" i="19"/>
  <c r="W116" i="19"/>
  <c r="X116" i="19" s="1"/>
  <c r="Z116" i="19"/>
  <c r="W126" i="19"/>
  <c r="X126" i="19" s="1"/>
  <c r="Z126" i="19"/>
  <c r="N173" i="21"/>
  <c r="N141" i="19"/>
  <c r="N129" i="19" s="1"/>
  <c r="U129" i="19" s="1"/>
  <c r="V129" i="19" s="1"/>
  <c r="T201" i="5"/>
  <c r="T214" i="5"/>
  <c r="V214" i="5" s="1"/>
  <c r="W214" i="5" s="1"/>
  <c r="T215" i="5"/>
  <c r="T216" i="5"/>
  <c r="L88" i="6"/>
  <c r="M214" i="5"/>
  <c r="M215" i="5"/>
  <c r="M216" i="5"/>
  <c r="S88" i="11"/>
  <c r="L88" i="11"/>
  <c r="L81" i="11"/>
  <c r="S81" i="11"/>
  <c r="S26" i="11"/>
  <c r="L26" i="11"/>
  <c r="L81" i="6"/>
  <c r="L26" i="6"/>
  <c r="T38" i="5"/>
  <c r="M200" i="5"/>
  <c r="M201" i="5"/>
  <c r="M199" i="5"/>
  <c r="T200" i="5"/>
  <c r="M46" i="5"/>
  <c r="M50" i="5"/>
  <c r="M44" i="5"/>
  <c r="M48" i="5"/>
  <c r="T199" i="5"/>
  <c r="M37" i="5"/>
  <c r="M38" i="5"/>
  <c r="T36" i="5"/>
  <c r="M36" i="5"/>
  <c r="I52" i="5"/>
  <c r="M47" i="5"/>
  <c r="M51" i="5"/>
  <c r="M45" i="5"/>
  <c r="M49" i="5"/>
  <c r="M43" i="5"/>
  <c r="T43" i="5"/>
  <c r="T44" i="5"/>
  <c r="T45" i="5"/>
  <c r="T46" i="5"/>
  <c r="T47" i="5"/>
  <c r="T48" i="5"/>
  <c r="T49" i="5"/>
  <c r="V49" i="5" s="1"/>
  <c r="W49" i="5" s="1"/>
  <c r="T50" i="5"/>
  <c r="T51" i="5"/>
  <c r="V51" i="5" s="1"/>
  <c r="W51" i="5" s="1"/>
  <c r="P52" i="5"/>
  <c r="O29" i="4"/>
  <c r="S29" i="4" s="1"/>
  <c r="U29" i="4" s="1"/>
  <c r="V29" i="4" s="1"/>
  <c r="H20" i="7"/>
  <c r="H18" i="7"/>
  <c r="H108" i="11"/>
  <c r="H107" i="11"/>
  <c r="H103" i="11"/>
  <c r="H102" i="11"/>
  <c r="H101" i="11"/>
  <c r="H100" i="11"/>
  <c r="H99" i="11"/>
  <c r="H98" i="11"/>
  <c r="H94" i="11"/>
  <c r="H93" i="11"/>
  <c r="H92" i="11"/>
  <c r="H87" i="11"/>
  <c r="H86" i="11"/>
  <c r="H85" i="11"/>
  <c r="H80" i="11"/>
  <c r="H79" i="11"/>
  <c r="H78" i="11"/>
  <c r="H74" i="11"/>
  <c r="H73" i="11"/>
  <c r="H46" i="11"/>
  <c r="H45" i="11"/>
  <c r="H42" i="11"/>
  <c r="H41" i="11"/>
  <c r="H37" i="11"/>
  <c r="H36" i="11"/>
  <c r="H32" i="11"/>
  <c r="H31" i="11"/>
  <c r="H30" i="11"/>
  <c r="H25" i="11"/>
  <c r="H24" i="11"/>
  <c r="H23" i="11"/>
  <c r="H19" i="11"/>
  <c r="H18" i="11"/>
  <c r="H134" i="11"/>
  <c r="H133" i="11"/>
  <c r="H129" i="11"/>
  <c r="H128" i="11"/>
  <c r="H46" i="6"/>
  <c r="H45" i="6"/>
  <c r="H42" i="6"/>
  <c r="H41" i="6"/>
  <c r="H37" i="6"/>
  <c r="H36" i="6"/>
  <c r="H32" i="6"/>
  <c r="H31" i="6"/>
  <c r="H30" i="6"/>
  <c r="H25" i="6"/>
  <c r="H24" i="6"/>
  <c r="H23" i="6"/>
  <c r="H27" i="6" s="1"/>
  <c r="H19" i="6"/>
  <c r="H18" i="6"/>
  <c r="H134" i="6"/>
  <c r="H133" i="6"/>
  <c r="H129" i="6"/>
  <c r="H128" i="6"/>
  <c r="H108" i="6"/>
  <c r="H107" i="6"/>
  <c r="H103" i="6"/>
  <c r="H102" i="6"/>
  <c r="H101" i="6"/>
  <c r="H100" i="6"/>
  <c r="H99" i="6"/>
  <c r="H98" i="6"/>
  <c r="H94" i="6"/>
  <c r="H93" i="6"/>
  <c r="H92" i="6"/>
  <c r="H87" i="6"/>
  <c r="H86" i="6"/>
  <c r="H85" i="6"/>
  <c r="H80" i="6"/>
  <c r="H79" i="6"/>
  <c r="H78" i="6"/>
  <c r="H74" i="6"/>
  <c r="H73" i="6"/>
  <c r="I77" i="5"/>
  <c r="I76" i="5"/>
  <c r="I75" i="5"/>
  <c r="I74" i="5"/>
  <c r="I35" i="5"/>
  <c r="I34" i="5"/>
  <c r="I33" i="5"/>
  <c r="I32" i="5"/>
  <c r="I31" i="5"/>
  <c r="I30" i="5"/>
  <c r="I29" i="5"/>
  <c r="I28" i="5"/>
  <c r="I27" i="5"/>
  <c r="I23" i="5"/>
  <c r="I22" i="5"/>
  <c r="I21" i="5"/>
  <c r="I20" i="5"/>
  <c r="I19" i="5"/>
  <c r="I18" i="5"/>
  <c r="I349" i="5"/>
  <c r="I348" i="5"/>
  <c r="I347" i="5"/>
  <c r="I346" i="5"/>
  <c r="I345" i="5"/>
  <c r="I344" i="5"/>
  <c r="I316" i="5"/>
  <c r="I315" i="5"/>
  <c r="I314" i="5"/>
  <c r="I313" i="5"/>
  <c r="I310" i="5"/>
  <c r="I309" i="5"/>
  <c r="I308" i="5"/>
  <c r="I307" i="5"/>
  <c r="I303" i="5"/>
  <c r="I302" i="5"/>
  <c r="I301" i="5"/>
  <c r="I300" i="5"/>
  <c r="I299" i="5"/>
  <c r="I298" i="5"/>
  <c r="I295" i="5"/>
  <c r="I294" i="5"/>
  <c r="I293" i="5"/>
  <c r="I292" i="5"/>
  <c r="I291" i="5"/>
  <c r="I290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4" i="5"/>
  <c r="I243" i="5"/>
  <c r="I242" i="5"/>
  <c r="I241" i="5"/>
  <c r="I240" i="5"/>
  <c r="I239" i="5"/>
  <c r="I238" i="5"/>
  <c r="I237" i="5"/>
  <c r="I236" i="5"/>
  <c r="I213" i="5"/>
  <c r="I212" i="5"/>
  <c r="I211" i="5"/>
  <c r="I210" i="5"/>
  <c r="I209" i="5"/>
  <c r="I208" i="5"/>
  <c r="I207" i="5"/>
  <c r="I206" i="5"/>
  <c r="I205" i="5"/>
  <c r="I198" i="5"/>
  <c r="I197" i="5"/>
  <c r="I196" i="5"/>
  <c r="I195" i="5"/>
  <c r="I194" i="5"/>
  <c r="I193" i="5"/>
  <c r="I192" i="5"/>
  <c r="I191" i="5"/>
  <c r="I190" i="5"/>
  <c r="I186" i="5"/>
  <c r="I185" i="5"/>
  <c r="I184" i="5"/>
  <c r="I183" i="5"/>
  <c r="I182" i="5"/>
  <c r="I181" i="5"/>
  <c r="I152" i="5"/>
  <c r="I151" i="5"/>
  <c r="I150" i="5"/>
  <c r="I145" i="5"/>
  <c r="I144" i="5"/>
  <c r="I140" i="5"/>
  <c r="I139" i="5"/>
  <c r="I138" i="5"/>
  <c r="I134" i="5"/>
  <c r="I133" i="5"/>
  <c r="I132" i="5"/>
  <c r="I128" i="5"/>
  <c r="I127" i="5"/>
  <c r="I126" i="5"/>
  <c r="I87" i="5"/>
  <c r="I86" i="5"/>
  <c r="I85" i="5"/>
  <c r="I84" i="5"/>
  <c r="I83" i="5"/>
  <c r="I82" i="5"/>
  <c r="H77" i="4"/>
  <c r="H73" i="4"/>
  <c r="H35" i="4"/>
  <c r="H34" i="4"/>
  <c r="H28" i="4"/>
  <c r="H27" i="4"/>
  <c r="H26" i="4"/>
  <c r="H25" i="4"/>
  <c r="H21" i="4"/>
  <c r="H20" i="4"/>
  <c r="H19" i="4"/>
  <c r="H27" i="3"/>
  <c r="O20" i="7"/>
  <c r="O18" i="7"/>
  <c r="O134" i="11"/>
  <c r="O133" i="11"/>
  <c r="O129" i="11"/>
  <c r="O128" i="11"/>
  <c r="O108" i="11"/>
  <c r="O107" i="11"/>
  <c r="O103" i="11"/>
  <c r="O102" i="11"/>
  <c r="O101" i="11"/>
  <c r="O100" i="11"/>
  <c r="O99" i="11"/>
  <c r="O98" i="11"/>
  <c r="O94" i="11"/>
  <c r="O93" i="11"/>
  <c r="O92" i="11"/>
  <c r="O87" i="11"/>
  <c r="O86" i="11"/>
  <c r="O85" i="11"/>
  <c r="O80" i="11"/>
  <c r="O79" i="11"/>
  <c r="O78" i="11"/>
  <c r="O74" i="11"/>
  <c r="O73" i="11"/>
  <c r="O46" i="11"/>
  <c r="O45" i="11"/>
  <c r="O42" i="11"/>
  <c r="O41" i="11"/>
  <c r="O37" i="11"/>
  <c r="O36" i="11"/>
  <c r="O32" i="11"/>
  <c r="O31" i="11"/>
  <c r="O30" i="11"/>
  <c r="O25" i="11"/>
  <c r="O24" i="11"/>
  <c r="O23" i="11"/>
  <c r="O19" i="11"/>
  <c r="O18" i="11"/>
  <c r="O134" i="6"/>
  <c r="O133" i="6"/>
  <c r="O129" i="6"/>
  <c r="O128" i="6"/>
  <c r="O108" i="6"/>
  <c r="O107" i="6"/>
  <c r="O103" i="6"/>
  <c r="O102" i="6"/>
  <c r="O101" i="6"/>
  <c r="O100" i="6"/>
  <c r="O99" i="6"/>
  <c r="O98" i="6"/>
  <c r="O94" i="6"/>
  <c r="O93" i="6"/>
  <c r="O92" i="6"/>
  <c r="O87" i="6"/>
  <c r="O86" i="6"/>
  <c r="O85" i="6"/>
  <c r="O80" i="6"/>
  <c r="O79" i="6"/>
  <c r="O78" i="6"/>
  <c r="O74" i="6"/>
  <c r="O73" i="6"/>
  <c r="O46" i="6"/>
  <c r="O45" i="6"/>
  <c r="O42" i="6"/>
  <c r="O41" i="6"/>
  <c r="O37" i="6"/>
  <c r="O36" i="6"/>
  <c r="O32" i="6"/>
  <c r="O31" i="6"/>
  <c r="O30" i="6"/>
  <c r="O25" i="6"/>
  <c r="O24" i="6"/>
  <c r="O23" i="6"/>
  <c r="O19" i="6"/>
  <c r="O18" i="6"/>
  <c r="Z70" i="19" l="1"/>
  <c r="W70" i="19"/>
  <c r="X70" i="19" s="1"/>
  <c r="W74" i="19"/>
  <c r="X74" i="19" s="1"/>
  <c r="Z74" i="19"/>
  <c r="W72" i="19"/>
  <c r="X72" i="19" s="1"/>
  <c r="Z72" i="19"/>
  <c r="Z86" i="19"/>
  <c r="W86" i="19"/>
  <c r="X86" i="19" s="1"/>
  <c r="W80" i="19"/>
  <c r="X80" i="19" s="1"/>
  <c r="Z80" i="19"/>
  <c r="W84" i="19"/>
  <c r="X84" i="19" s="1"/>
  <c r="Z84" i="19"/>
  <c r="Z82" i="19"/>
  <c r="W82" i="19"/>
  <c r="X82" i="19" s="1"/>
  <c r="W68" i="19"/>
  <c r="X68" i="19" s="1"/>
  <c r="Z68" i="19"/>
  <c r="Z78" i="19"/>
  <c r="W78" i="19"/>
  <c r="X78" i="19" s="1"/>
  <c r="W66" i="19"/>
  <c r="X66" i="19" s="1"/>
  <c r="Z66" i="19"/>
  <c r="W76" i="19"/>
  <c r="X76" i="19" s="1"/>
  <c r="Z76" i="19"/>
  <c r="O89" i="11"/>
  <c r="O27" i="6"/>
  <c r="O89" i="6"/>
  <c r="Z72" i="20"/>
  <c r="W72" i="20"/>
  <c r="X72" i="20" s="1"/>
  <c r="Z76" i="20"/>
  <c r="W76" i="20"/>
  <c r="X76" i="20" s="1"/>
  <c r="Z68" i="20"/>
  <c r="W68" i="20"/>
  <c r="X68" i="20" s="1"/>
  <c r="W119" i="19"/>
  <c r="X119" i="19" s="1"/>
  <c r="Z129" i="19"/>
  <c r="W129" i="19"/>
  <c r="X129" i="19" s="1"/>
  <c r="O82" i="11"/>
  <c r="T52" i="5"/>
  <c r="V216" i="5"/>
  <c r="W216" i="5" s="1"/>
  <c r="V215" i="5"/>
  <c r="W215" i="5" s="1"/>
  <c r="V46" i="5"/>
  <c r="W46" i="5" s="1"/>
  <c r="V44" i="5"/>
  <c r="W44" i="5" s="1"/>
  <c r="V201" i="5"/>
  <c r="W201" i="5" s="1"/>
  <c r="V199" i="5"/>
  <c r="W199" i="5" s="1"/>
  <c r="V38" i="5"/>
  <c r="W38" i="5" s="1"/>
  <c r="U81" i="11"/>
  <c r="V81" i="11" s="1"/>
  <c r="V45" i="5"/>
  <c r="W45" i="5" s="1"/>
  <c r="U88" i="11"/>
  <c r="V88" i="11" s="1"/>
  <c r="O27" i="11"/>
  <c r="U26" i="11"/>
  <c r="V26" i="11" s="1"/>
  <c r="O82" i="6"/>
  <c r="V48" i="5"/>
  <c r="W48" i="5" s="1"/>
  <c r="I202" i="5"/>
  <c r="I40" i="5"/>
  <c r="V50" i="5"/>
  <c r="W50" i="5" s="1"/>
  <c r="V200" i="5"/>
  <c r="W200" i="5" s="1"/>
  <c r="V47" i="5"/>
  <c r="W47" i="5" s="1"/>
  <c r="V36" i="5"/>
  <c r="W36" i="5" s="1"/>
  <c r="M52" i="5"/>
  <c r="V43" i="5"/>
  <c r="W43" i="5" s="1"/>
  <c r="P344" i="5"/>
  <c r="P349" i="5"/>
  <c r="P348" i="5"/>
  <c r="P347" i="5"/>
  <c r="P346" i="5"/>
  <c r="P345" i="5"/>
  <c r="I317" i="5"/>
  <c r="I296" i="5"/>
  <c r="P290" i="5"/>
  <c r="P316" i="5"/>
  <c r="P315" i="5"/>
  <c r="P314" i="5"/>
  <c r="P313" i="5"/>
  <c r="P310" i="5"/>
  <c r="P309" i="5"/>
  <c r="P308" i="5"/>
  <c r="P307" i="5"/>
  <c r="P303" i="5"/>
  <c r="P302" i="5"/>
  <c r="P301" i="5"/>
  <c r="P300" i="5"/>
  <c r="P299" i="5"/>
  <c r="P298" i="5"/>
  <c r="P295" i="5"/>
  <c r="P294" i="5"/>
  <c r="P293" i="5"/>
  <c r="P292" i="5"/>
  <c r="P291" i="5"/>
  <c r="I264" i="5"/>
  <c r="P236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4" i="5"/>
  <c r="P243" i="5"/>
  <c r="P242" i="5"/>
  <c r="P241" i="5"/>
  <c r="P240" i="5"/>
  <c r="P239" i="5"/>
  <c r="P238" i="5"/>
  <c r="P237" i="5"/>
  <c r="P181" i="5"/>
  <c r="P213" i="5"/>
  <c r="P212" i="5"/>
  <c r="P211" i="5"/>
  <c r="P210" i="5"/>
  <c r="P209" i="5"/>
  <c r="P208" i="5"/>
  <c r="P207" i="5"/>
  <c r="P206" i="5"/>
  <c r="P205" i="5"/>
  <c r="P198" i="5"/>
  <c r="P197" i="5"/>
  <c r="P196" i="5"/>
  <c r="P195" i="5"/>
  <c r="P194" i="5"/>
  <c r="P193" i="5"/>
  <c r="P192" i="5"/>
  <c r="P191" i="5"/>
  <c r="P190" i="5"/>
  <c r="P186" i="5"/>
  <c r="P185" i="5"/>
  <c r="P184" i="5"/>
  <c r="P183" i="5"/>
  <c r="P182" i="5"/>
  <c r="I153" i="5"/>
  <c r="I146" i="5"/>
  <c r="I141" i="5"/>
  <c r="I135" i="5"/>
  <c r="I129" i="5"/>
  <c r="P126" i="5"/>
  <c r="P152" i="5"/>
  <c r="P151" i="5"/>
  <c r="P150" i="5"/>
  <c r="P145" i="5"/>
  <c r="P144" i="5"/>
  <c r="P140" i="5"/>
  <c r="P139" i="5"/>
  <c r="P138" i="5"/>
  <c r="P134" i="5"/>
  <c r="P133" i="5"/>
  <c r="P132" i="5"/>
  <c r="P128" i="5"/>
  <c r="P127" i="5"/>
  <c r="I88" i="5"/>
  <c r="I78" i="5"/>
  <c r="P74" i="5"/>
  <c r="P87" i="5"/>
  <c r="P86" i="5"/>
  <c r="P85" i="5"/>
  <c r="P84" i="5"/>
  <c r="P83" i="5"/>
  <c r="P82" i="5"/>
  <c r="P77" i="5"/>
  <c r="P76" i="5"/>
  <c r="P75" i="5"/>
  <c r="P27" i="5"/>
  <c r="P35" i="5"/>
  <c r="P34" i="5"/>
  <c r="P33" i="5"/>
  <c r="P32" i="5"/>
  <c r="P31" i="5"/>
  <c r="P30" i="5"/>
  <c r="P29" i="5"/>
  <c r="P28" i="5"/>
  <c r="T28" i="5" s="1"/>
  <c r="P23" i="5"/>
  <c r="P22" i="5"/>
  <c r="P21" i="5"/>
  <c r="P20" i="5"/>
  <c r="P19" i="5"/>
  <c r="P18" i="5"/>
  <c r="O77" i="4"/>
  <c r="O73" i="4"/>
  <c r="O35" i="4"/>
  <c r="O34" i="4"/>
  <c r="O28" i="4"/>
  <c r="O27" i="4"/>
  <c r="O26" i="4"/>
  <c r="O25" i="4"/>
  <c r="O21" i="4"/>
  <c r="O20" i="4"/>
  <c r="O19" i="4"/>
  <c r="H29" i="3"/>
  <c r="H28" i="3"/>
  <c r="H20" i="3"/>
  <c r="H19" i="3"/>
  <c r="O29" i="3"/>
  <c r="O28" i="3"/>
  <c r="O27" i="3"/>
  <c r="O20" i="3"/>
  <c r="O19" i="3"/>
  <c r="P217" i="5" l="1"/>
  <c r="P264" i="5"/>
  <c r="O31" i="4"/>
  <c r="P146" i="5"/>
  <c r="P202" i="5"/>
  <c r="P304" i="5"/>
  <c r="P24" i="5"/>
  <c r="P78" i="5"/>
  <c r="P141" i="5"/>
  <c r="P129" i="5"/>
  <c r="P135" i="5"/>
  <c r="P153" i="5"/>
  <c r="P187" i="5"/>
  <c r="P317" i="5"/>
  <c r="P296" i="5"/>
  <c r="P350" i="5"/>
  <c r="P40" i="5"/>
  <c r="P88" i="5"/>
  <c r="V52" i="5"/>
  <c r="W52" i="5" s="1"/>
  <c r="I350" i="5"/>
  <c r="I304" i="5"/>
  <c r="I187" i="5"/>
  <c r="G298" i="14" l="1"/>
  <c r="G297" i="14"/>
  <c r="G233" i="14"/>
  <c r="G232" i="14"/>
  <c r="G167" i="14"/>
  <c r="G168" i="14"/>
  <c r="G169" i="14"/>
  <c r="G166" i="14"/>
  <c r="G77" i="14"/>
  <c r="G78" i="14"/>
  <c r="G79" i="14"/>
  <c r="G80" i="14"/>
  <c r="G81" i="14"/>
  <c r="G76" i="14"/>
  <c r="B335" i="16" l="1"/>
  <c r="B332" i="16"/>
  <c r="B328" i="16"/>
  <c r="B321" i="16"/>
  <c r="B314" i="16"/>
  <c r="B308" i="16"/>
  <c r="B301" i="16"/>
  <c r="B294" i="16"/>
  <c r="B288" i="16"/>
  <c r="B281" i="16"/>
  <c r="B268" i="16"/>
  <c r="B255" i="16"/>
  <c r="B244" i="16"/>
  <c r="B232" i="16"/>
  <c r="B224" i="16"/>
  <c r="B216" i="16"/>
  <c r="B188" i="16"/>
  <c r="B164" i="16"/>
  <c r="B152" i="16"/>
  <c r="B132" i="16"/>
  <c r="B120" i="16"/>
  <c r="B108" i="16"/>
  <c r="B86" i="16"/>
  <c r="B49" i="16"/>
  <c r="B27" i="16"/>
  <c r="B16" i="16"/>
  <c r="B13" i="16"/>
  <c r="B9" i="16"/>
  <c r="B9" i="1" l="1"/>
  <c r="B13" i="1" s="1"/>
  <c r="B16" i="1" s="1"/>
  <c r="B28" i="1" s="1"/>
  <c r="B50" i="1" s="1"/>
  <c r="B91" i="1" s="1"/>
  <c r="B113" i="1" s="1"/>
  <c r="B125" i="1" s="1"/>
  <c r="B137" i="1" s="1"/>
  <c r="B157" i="1" s="1"/>
  <c r="B169" i="1" s="1"/>
  <c r="B197" i="1" s="1"/>
  <c r="B229" i="1" s="1"/>
  <c r="B237" i="1" s="1"/>
  <c r="B245" i="1" s="1"/>
  <c r="B258" i="1" s="1"/>
  <c r="B270" i="1" s="1"/>
  <c r="B283" i="1" s="1"/>
  <c r="B296" i="1" s="1"/>
  <c r="B303" i="1" s="1"/>
  <c r="B310" i="1" s="1"/>
  <c r="B318" i="1" s="1"/>
  <c r="B325" i="1" s="1"/>
  <c r="B332" i="1" s="1"/>
  <c r="B340" i="1" s="1"/>
  <c r="B347" i="1" s="1"/>
  <c r="B351" i="1" s="1"/>
  <c r="B354" i="1" s="1"/>
  <c r="G58" i="13" l="1"/>
  <c r="X35" i="13"/>
  <c r="R4" i="13"/>
  <c r="H30" i="9" l="1"/>
  <c r="H29" i="9"/>
  <c r="H28" i="9"/>
  <c r="H27" i="9"/>
  <c r="H26" i="9"/>
  <c r="H25" i="9"/>
  <c r="H24" i="9"/>
  <c r="H23" i="9"/>
  <c r="H22" i="9"/>
  <c r="H21" i="9"/>
  <c r="H20" i="9"/>
  <c r="J134" i="11"/>
  <c r="J133" i="11"/>
  <c r="J129" i="11"/>
  <c r="J128" i="11"/>
  <c r="J108" i="11"/>
  <c r="J107" i="11"/>
  <c r="J103" i="11"/>
  <c r="J102" i="11"/>
  <c r="J101" i="11"/>
  <c r="J100" i="11"/>
  <c r="J99" i="11"/>
  <c r="J98" i="11"/>
  <c r="J94" i="11"/>
  <c r="J93" i="11"/>
  <c r="J92" i="11"/>
  <c r="J87" i="11"/>
  <c r="J86" i="11"/>
  <c r="J85" i="11"/>
  <c r="J80" i="11"/>
  <c r="J79" i="11"/>
  <c r="J78" i="11"/>
  <c r="J74" i="11"/>
  <c r="J73" i="11"/>
  <c r="J46" i="11"/>
  <c r="J45" i="11"/>
  <c r="J42" i="11"/>
  <c r="J41" i="11"/>
  <c r="J37" i="11"/>
  <c r="J36" i="11"/>
  <c r="J32" i="11"/>
  <c r="J31" i="11"/>
  <c r="J30" i="11"/>
  <c r="J25" i="11"/>
  <c r="J24" i="11"/>
  <c r="J23" i="11"/>
  <c r="J19" i="11"/>
  <c r="J18" i="11"/>
  <c r="J140" i="6"/>
  <c r="J139" i="6"/>
  <c r="J134" i="6"/>
  <c r="I498" i="21" s="1"/>
  <c r="Q498" i="21" s="1"/>
  <c r="J133" i="6"/>
  <c r="I497" i="21" s="1"/>
  <c r="Q497" i="21" s="1"/>
  <c r="J129" i="6"/>
  <c r="J128" i="6"/>
  <c r="I502" i="21" s="1"/>
  <c r="Q502" i="21" s="1"/>
  <c r="J108" i="6"/>
  <c r="J107" i="6"/>
  <c r="I500" i="21" s="1"/>
  <c r="Q500" i="21" s="1"/>
  <c r="J103" i="6"/>
  <c r="J102" i="6"/>
  <c r="J101" i="6"/>
  <c r="J100" i="6"/>
  <c r="I465" i="21" s="1"/>
  <c r="Q465" i="21" s="1"/>
  <c r="J99" i="6"/>
  <c r="I464" i="21" s="1"/>
  <c r="Q464" i="21" s="1"/>
  <c r="J98" i="6"/>
  <c r="I462" i="21" s="1"/>
  <c r="Q462" i="21" s="1"/>
  <c r="J94" i="6"/>
  <c r="I453" i="21" s="1"/>
  <c r="Q453" i="21" s="1"/>
  <c r="J93" i="6"/>
  <c r="I452" i="21" s="1"/>
  <c r="Q452" i="21" s="1"/>
  <c r="J92" i="6"/>
  <c r="I451" i="21" s="1"/>
  <c r="Q451" i="21" s="1"/>
  <c r="J87" i="6"/>
  <c r="J86" i="6"/>
  <c r="I469" i="21" s="1"/>
  <c r="J85" i="6"/>
  <c r="J79" i="6"/>
  <c r="I457" i="21" s="1"/>
  <c r="J80" i="6"/>
  <c r="I458" i="21" s="1"/>
  <c r="J78" i="6"/>
  <c r="J74" i="6"/>
  <c r="I448" i="21" s="1"/>
  <c r="Q448" i="21" s="1"/>
  <c r="J73" i="6"/>
  <c r="I447" i="21" s="1"/>
  <c r="Q447" i="21" s="1"/>
  <c r="J51" i="6"/>
  <c r="J50" i="6"/>
  <c r="J46" i="6"/>
  <c r="J45" i="6"/>
  <c r="I368" i="21" s="1"/>
  <c r="Q368" i="21" s="1"/>
  <c r="J42" i="6"/>
  <c r="J41" i="6"/>
  <c r="I366" i="21" s="1"/>
  <c r="Q366" i="21" s="1"/>
  <c r="J37" i="6"/>
  <c r="J36" i="6"/>
  <c r="I364" i="21" s="1"/>
  <c r="Q364" i="21" s="1"/>
  <c r="J32" i="6"/>
  <c r="J31" i="6"/>
  <c r="J30" i="6"/>
  <c r="J25" i="6"/>
  <c r="J24" i="6"/>
  <c r="J23" i="6"/>
  <c r="J19" i="6"/>
  <c r="J18" i="6"/>
  <c r="G26" i="20" l="1"/>
  <c r="I350" i="21"/>
  <c r="Q350" i="21" s="1"/>
  <c r="I360" i="21"/>
  <c r="Q360" i="21" s="1"/>
  <c r="G27" i="20"/>
  <c r="I468" i="21"/>
  <c r="N469" i="21"/>
  <c r="Q469" i="21" s="1"/>
  <c r="S88" i="6"/>
  <c r="N468" i="21"/>
  <c r="I351" i="21"/>
  <c r="Q351" i="21" s="1"/>
  <c r="H26" i="20"/>
  <c r="I361" i="21"/>
  <c r="Q361" i="21" s="1"/>
  <c r="H28" i="20"/>
  <c r="Q50" i="6"/>
  <c r="N371" i="21" s="1"/>
  <c r="I371" i="21"/>
  <c r="Q371" i="21" s="1"/>
  <c r="I456" i="21"/>
  <c r="I354" i="21"/>
  <c r="G30" i="20"/>
  <c r="H31" i="20"/>
  <c r="I355" i="21"/>
  <c r="I362" i="21"/>
  <c r="Q362" i="21" s="1"/>
  <c r="H29" i="20"/>
  <c r="Q51" i="6"/>
  <c r="N372" i="21" s="1"/>
  <c r="I372" i="21"/>
  <c r="Q139" i="6"/>
  <c r="N506" i="21" s="1"/>
  <c r="I506" i="21"/>
  <c r="I356" i="21"/>
  <c r="H32" i="20"/>
  <c r="Q140" i="6"/>
  <c r="N507" i="21" s="1"/>
  <c r="I507" i="21"/>
  <c r="L108" i="11"/>
  <c r="L99" i="6"/>
  <c r="L103" i="6"/>
  <c r="L79" i="6"/>
  <c r="L107" i="6"/>
  <c r="L94" i="6"/>
  <c r="L101" i="6"/>
  <c r="L108" i="6"/>
  <c r="L134" i="6"/>
  <c r="L87" i="6"/>
  <c r="L98" i="6"/>
  <c r="L102" i="6"/>
  <c r="L24" i="6"/>
  <c r="L80" i="6"/>
  <c r="L25" i="6"/>
  <c r="S108" i="11"/>
  <c r="L78" i="11"/>
  <c r="H38" i="6"/>
  <c r="H47" i="6"/>
  <c r="H75" i="11"/>
  <c r="H95" i="6"/>
  <c r="L100" i="6"/>
  <c r="L73" i="6"/>
  <c r="L74" i="6"/>
  <c r="L78" i="6"/>
  <c r="S37" i="6"/>
  <c r="L19" i="6"/>
  <c r="L133" i="6"/>
  <c r="L42" i="6"/>
  <c r="L46" i="6"/>
  <c r="L31" i="6"/>
  <c r="L30" i="6"/>
  <c r="L32" i="6"/>
  <c r="L41" i="6"/>
  <c r="H104" i="6"/>
  <c r="L86" i="6"/>
  <c r="L129" i="6"/>
  <c r="O95" i="6"/>
  <c r="S101" i="6"/>
  <c r="H89" i="6"/>
  <c r="S133" i="6"/>
  <c r="S134" i="6"/>
  <c r="H33" i="6"/>
  <c r="S31" i="6"/>
  <c r="H20" i="6"/>
  <c r="S42" i="6"/>
  <c r="H43" i="6"/>
  <c r="L37" i="6"/>
  <c r="L92" i="6"/>
  <c r="L139" i="6" s="1"/>
  <c r="S94" i="6"/>
  <c r="S46" i="6"/>
  <c r="H75" i="6"/>
  <c r="L93" i="6"/>
  <c r="S103" i="6"/>
  <c r="L18" i="6"/>
  <c r="S74" i="6"/>
  <c r="S102" i="6"/>
  <c r="L107" i="11"/>
  <c r="S19" i="6"/>
  <c r="L45" i="6"/>
  <c r="H82" i="6"/>
  <c r="F26" i="23" s="1"/>
  <c r="H109" i="6"/>
  <c r="S100" i="6"/>
  <c r="L23" i="6"/>
  <c r="L27" i="6" s="1"/>
  <c r="H130" i="6"/>
  <c r="S99" i="6"/>
  <c r="L36" i="6"/>
  <c r="S41" i="6"/>
  <c r="H135" i="6"/>
  <c r="S107" i="6"/>
  <c r="S108" i="6"/>
  <c r="O130" i="6"/>
  <c r="S32" i="6"/>
  <c r="L85" i="6"/>
  <c r="S87" i="6"/>
  <c r="L128" i="6"/>
  <c r="S99" i="11"/>
  <c r="S100" i="11"/>
  <c r="H27" i="11"/>
  <c r="H95" i="11"/>
  <c r="L79" i="11"/>
  <c r="L25" i="11"/>
  <c r="H47" i="11"/>
  <c r="S80" i="11"/>
  <c r="U80" i="11" s="1"/>
  <c r="S79" i="11"/>
  <c r="S94" i="11"/>
  <c r="S107" i="11"/>
  <c r="S31" i="11"/>
  <c r="L32" i="11"/>
  <c r="S93" i="11"/>
  <c r="L31" i="11"/>
  <c r="S32" i="11"/>
  <c r="S74" i="11"/>
  <c r="S37" i="11"/>
  <c r="H104" i="11"/>
  <c r="O33" i="11"/>
  <c r="L80" i="11"/>
  <c r="L30" i="11"/>
  <c r="S86" i="11"/>
  <c r="S19" i="11"/>
  <c r="S87" i="11"/>
  <c r="S102" i="11"/>
  <c r="S134" i="11"/>
  <c r="S85" i="11"/>
  <c r="S41" i="11"/>
  <c r="O43" i="11"/>
  <c r="S18" i="11"/>
  <c r="O20" i="11"/>
  <c r="S42" i="11"/>
  <c r="S101" i="11"/>
  <c r="S128" i="11"/>
  <c r="O130" i="11"/>
  <c r="S129" i="11"/>
  <c r="S46" i="11"/>
  <c r="S133" i="11"/>
  <c r="O135" i="11"/>
  <c r="S24" i="11"/>
  <c r="S103" i="11"/>
  <c r="S36" i="11"/>
  <c r="O38" i="11"/>
  <c r="L45" i="11"/>
  <c r="L73" i="11"/>
  <c r="L98" i="11"/>
  <c r="L100" i="11"/>
  <c r="L102" i="11"/>
  <c r="H20" i="11"/>
  <c r="L24" i="11"/>
  <c r="H135" i="11"/>
  <c r="L18" i="11"/>
  <c r="H38" i="11"/>
  <c r="L42" i="11"/>
  <c r="L92" i="11"/>
  <c r="L94" i="11"/>
  <c r="L133" i="11"/>
  <c r="L36" i="11"/>
  <c r="L85" i="11"/>
  <c r="L87" i="11"/>
  <c r="H109" i="11"/>
  <c r="L129" i="11"/>
  <c r="H43" i="11"/>
  <c r="L46" i="11"/>
  <c r="L74" i="11"/>
  <c r="L99" i="11"/>
  <c r="L101" i="11"/>
  <c r="L103" i="11"/>
  <c r="S30" i="11"/>
  <c r="S78" i="11"/>
  <c r="L19" i="11"/>
  <c r="S25" i="11"/>
  <c r="L93" i="11"/>
  <c r="L41" i="11"/>
  <c r="H130" i="11"/>
  <c r="L134" i="11"/>
  <c r="L23" i="11"/>
  <c r="L128" i="11"/>
  <c r="H33" i="11"/>
  <c r="L37" i="11"/>
  <c r="H82" i="11"/>
  <c r="L86" i="11"/>
  <c r="S93" i="6"/>
  <c r="S129" i="6"/>
  <c r="L140" i="6"/>
  <c r="L51" i="6"/>
  <c r="K349" i="5"/>
  <c r="T349" i="5" s="1"/>
  <c r="K348" i="5"/>
  <c r="K347" i="5"/>
  <c r="K346" i="5"/>
  <c r="K345" i="5"/>
  <c r="T345" i="5" s="1"/>
  <c r="K344" i="5"/>
  <c r="T344" i="5" s="1"/>
  <c r="K316" i="5"/>
  <c r="K315" i="5"/>
  <c r="K314" i="5"/>
  <c r="K313" i="5"/>
  <c r="K310" i="5"/>
  <c r="K309" i="5"/>
  <c r="K308" i="5"/>
  <c r="K307" i="5"/>
  <c r="K303" i="5"/>
  <c r="K302" i="5"/>
  <c r="K301" i="5"/>
  <c r="K300" i="5"/>
  <c r="K299" i="5"/>
  <c r="K298" i="5"/>
  <c r="K295" i="5"/>
  <c r="K294" i="5"/>
  <c r="K293" i="5"/>
  <c r="K292" i="5"/>
  <c r="K291" i="5"/>
  <c r="K290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4" i="5"/>
  <c r="K243" i="5"/>
  <c r="K242" i="5"/>
  <c r="K241" i="5"/>
  <c r="K240" i="5"/>
  <c r="K239" i="5"/>
  <c r="K238" i="5"/>
  <c r="K237" i="5"/>
  <c r="K236" i="5"/>
  <c r="K213" i="5"/>
  <c r="K212" i="5"/>
  <c r="K211" i="5"/>
  <c r="K210" i="5"/>
  <c r="K209" i="5"/>
  <c r="K208" i="5"/>
  <c r="K207" i="5"/>
  <c r="K206" i="5"/>
  <c r="K205" i="5"/>
  <c r="K198" i="5"/>
  <c r="K197" i="5"/>
  <c r="K196" i="5"/>
  <c r="K195" i="5"/>
  <c r="K194" i="5"/>
  <c r="K193" i="5"/>
  <c r="K192" i="5"/>
  <c r="K191" i="5"/>
  <c r="K190" i="5"/>
  <c r="K182" i="5"/>
  <c r="K183" i="5"/>
  <c r="K184" i="5"/>
  <c r="K185" i="5"/>
  <c r="K186" i="5"/>
  <c r="K181" i="5"/>
  <c r="K354" i="5"/>
  <c r="R354" i="5" s="1"/>
  <c r="K355" i="5"/>
  <c r="R355" i="5" s="1"/>
  <c r="K356" i="5"/>
  <c r="R356" i="5" s="1"/>
  <c r="K353" i="5"/>
  <c r="R353" i="5" s="1"/>
  <c r="T348" i="5"/>
  <c r="D20" i="20" l="1"/>
  <c r="M20" i="20" s="1"/>
  <c r="Y20" i="20" s="1"/>
  <c r="Q372" i="21"/>
  <c r="S86" i="6"/>
  <c r="U86" i="6" s="1"/>
  <c r="V86" i="6" s="1"/>
  <c r="F77" i="23"/>
  <c r="P77" i="23" s="1"/>
  <c r="F28" i="23"/>
  <c r="P26" i="23"/>
  <c r="P28" i="23" s="1"/>
  <c r="D18" i="20"/>
  <c r="M18" i="20" s="1"/>
  <c r="Y18" i="20" s="1"/>
  <c r="D22" i="20"/>
  <c r="M22" i="20" s="1"/>
  <c r="Y22" i="20" s="1"/>
  <c r="D14" i="20"/>
  <c r="M14" i="20" s="1"/>
  <c r="Y14" i="20" s="1"/>
  <c r="Q507" i="21"/>
  <c r="Q506" i="21"/>
  <c r="L30" i="20"/>
  <c r="N354" i="21"/>
  <c r="Q354" i="21" s="1"/>
  <c r="Q24" i="6"/>
  <c r="N456" i="21"/>
  <c r="Q456" i="21" s="1"/>
  <c r="Q79" i="6"/>
  <c r="Q468" i="21"/>
  <c r="D12" i="20"/>
  <c r="M12" i="20" s="1"/>
  <c r="Y12" i="20" s="1"/>
  <c r="D17" i="20"/>
  <c r="M17" i="20" s="1"/>
  <c r="Y17" i="20" s="1"/>
  <c r="D13" i="20"/>
  <c r="M13" i="20" s="1"/>
  <c r="Y13" i="20" s="1"/>
  <c r="D16" i="20"/>
  <c r="M16" i="20" s="1"/>
  <c r="Y16" i="20" s="1"/>
  <c r="D21" i="20"/>
  <c r="M21" i="20" s="1"/>
  <c r="Y21" i="20" s="1"/>
  <c r="S82" i="11"/>
  <c r="S89" i="11"/>
  <c r="L109" i="11"/>
  <c r="U108" i="11"/>
  <c r="V108" i="11" s="1"/>
  <c r="U100" i="6"/>
  <c r="V100" i="6" s="1"/>
  <c r="U87" i="6"/>
  <c r="V87" i="6" s="1"/>
  <c r="U94" i="6"/>
  <c r="V94" i="6" s="1"/>
  <c r="M248" i="5"/>
  <c r="M256" i="5"/>
  <c r="M257" i="5"/>
  <c r="M244" i="5"/>
  <c r="M291" i="5"/>
  <c r="M314" i="5"/>
  <c r="O109" i="11"/>
  <c r="M243" i="5"/>
  <c r="U99" i="6"/>
  <c r="V99" i="6" s="1"/>
  <c r="M209" i="5"/>
  <c r="M196" i="5"/>
  <c r="M184" i="5"/>
  <c r="M195" i="5"/>
  <c r="U103" i="6"/>
  <c r="V103" i="6" s="1"/>
  <c r="L135" i="6"/>
  <c r="U134" i="6"/>
  <c r="V134" i="6" s="1"/>
  <c r="L109" i="6"/>
  <c r="U107" i="6"/>
  <c r="V107" i="6" s="1"/>
  <c r="L104" i="6"/>
  <c r="M238" i="5"/>
  <c r="M242" i="5"/>
  <c r="M263" i="5"/>
  <c r="M293" i="5"/>
  <c r="M299" i="5"/>
  <c r="M316" i="5"/>
  <c r="T347" i="5"/>
  <c r="U108" i="6"/>
  <c r="V108" i="6" s="1"/>
  <c r="L82" i="6"/>
  <c r="U101" i="6"/>
  <c r="V101" i="6" s="1"/>
  <c r="M241" i="5"/>
  <c r="M258" i="5"/>
  <c r="T346" i="5"/>
  <c r="U102" i="6"/>
  <c r="V102" i="6" s="1"/>
  <c r="T313" i="5"/>
  <c r="M194" i="5"/>
  <c r="U129" i="6"/>
  <c r="V129" i="6" s="1"/>
  <c r="L89" i="6"/>
  <c r="O109" i="6"/>
  <c r="S92" i="6"/>
  <c r="S95" i="6" s="1"/>
  <c r="O20" i="6"/>
  <c r="O104" i="6"/>
  <c r="U133" i="6"/>
  <c r="V133" i="6" s="1"/>
  <c r="L33" i="6"/>
  <c r="U31" i="6"/>
  <c r="V31" i="6" s="1"/>
  <c r="U74" i="6"/>
  <c r="V74" i="6" s="1"/>
  <c r="O43" i="6"/>
  <c r="O135" i="6"/>
  <c r="S18" i="6"/>
  <c r="U18" i="6" s="1"/>
  <c r="V18" i="6" s="1"/>
  <c r="S98" i="6"/>
  <c r="U98" i="6" s="1"/>
  <c r="V98" i="6" s="1"/>
  <c r="L130" i="6"/>
  <c r="L38" i="6"/>
  <c r="L20" i="6"/>
  <c r="L43" i="6"/>
  <c r="T197" i="5"/>
  <c r="T301" i="5"/>
  <c r="T302" i="5"/>
  <c r="T198" i="5"/>
  <c r="T303" i="5"/>
  <c r="T206" i="5"/>
  <c r="T207" i="5"/>
  <c r="T185" i="5"/>
  <c r="T310" i="5"/>
  <c r="M348" i="5"/>
  <c r="T300" i="5"/>
  <c r="T290" i="5"/>
  <c r="U46" i="6"/>
  <c r="V46" i="6" s="1"/>
  <c r="T208" i="5"/>
  <c r="T183" i="5"/>
  <c r="T210" i="5"/>
  <c r="T308" i="5"/>
  <c r="T182" i="5"/>
  <c r="T211" i="5"/>
  <c r="M292" i="5"/>
  <c r="M315" i="5"/>
  <c r="T212" i="5"/>
  <c r="U42" i="6"/>
  <c r="V42" i="6" s="1"/>
  <c r="L47" i="6"/>
  <c r="U37" i="6"/>
  <c r="V37" i="6" s="1"/>
  <c r="M191" i="5"/>
  <c r="M213" i="5"/>
  <c r="T294" i="5"/>
  <c r="T186" i="5"/>
  <c r="T309" i="5"/>
  <c r="M192" i="5"/>
  <c r="M236" i="5"/>
  <c r="M253" i="5"/>
  <c r="T295" i="5"/>
  <c r="L75" i="6"/>
  <c r="M193" i="5"/>
  <c r="M254" i="5"/>
  <c r="U41" i="6"/>
  <c r="V41" i="6" s="1"/>
  <c r="M255" i="5"/>
  <c r="T196" i="5"/>
  <c r="M252" i="5"/>
  <c r="T194" i="5"/>
  <c r="O33" i="6"/>
  <c r="M251" i="5"/>
  <c r="T213" i="5"/>
  <c r="M247" i="5"/>
  <c r="T209" i="5"/>
  <c r="M181" i="5"/>
  <c r="M290" i="5"/>
  <c r="T236" i="5"/>
  <c r="M186" i="5"/>
  <c r="M295" i="5"/>
  <c r="T238" i="5"/>
  <c r="M185" i="5"/>
  <c r="M294" i="5"/>
  <c r="T263" i="5"/>
  <c r="M190" i="5"/>
  <c r="M303" i="5"/>
  <c r="T258" i="5"/>
  <c r="M302" i="5"/>
  <c r="T248" i="5"/>
  <c r="M205" i="5"/>
  <c r="M310" i="5"/>
  <c r="M313" i="5"/>
  <c r="M208" i="5"/>
  <c r="M349" i="5"/>
  <c r="T293" i="5"/>
  <c r="M240" i="5"/>
  <c r="T299" i="5"/>
  <c r="T316" i="5"/>
  <c r="S30" i="6"/>
  <c r="U30" i="6" s="1"/>
  <c r="V30" i="6" s="1"/>
  <c r="M261" i="5"/>
  <c r="T184" i="5"/>
  <c r="T205" i="5"/>
  <c r="T307" i="5"/>
  <c r="U32" i="6"/>
  <c r="V32" i="6" s="1"/>
  <c r="T181" i="5"/>
  <c r="U19" i="6"/>
  <c r="V19" i="6" s="1"/>
  <c r="T190" i="5"/>
  <c r="T298" i="5"/>
  <c r="T292" i="5"/>
  <c r="L141" i="6"/>
  <c r="M250" i="5"/>
  <c r="M347" i="5"/>
  <c r="T244" i="5"/>
  <c r="V244" i="5" s="1"/>
  <c r="W244" i="5" s="1"/>
  <c r="T291" i="5"/>
  <c r="T314" i="5"/>
  <c r="T259" i="5"/>
  <c r="M212" i="5"/>
  <c r="M237" i="5"/>
  <c r="M249" i="5"/>
  <c r="M300" i="5"/>
  <c r="M346" i="5"/>
  <c r="T193" i="5"/>
  <c r="T243" i="5"/>
  <c r="T260" i="5"/>
  <c r="U25" i="11"/>
  <c r="V25" i="11" s="1"/>
  <c r="S23" i="6"/>
  <c r="T195" i="5"/>
  <c r="T315" i="5"/>
  <c r="M301" i="5"/>
  <c r="M183" i="5"/>
  <c r="M211" i="5"/>
  <c r="M246" i="5"/>
  <c r="M345" i="5"/>
  <c r="T192" i="5"/>
  <c r="T242" i="5"/>
  <c r="T254" i="5"/>
  <c r="T261" i="5"/>
  <c r="L38" i="11"/>
  <c r="T257" i="5"/>
  <c r="M182" i="5"/>
  <c r="M210" i="5"/>
  <c r="T191" i="5"/>
  <c r="T241" i="5"/>
  <c r="T253" i="5"/>
  <c r="T246" i="5"/>
  <c r="T262" i="5"/>
  <c r="S109" i="6"/>
  <c r="U32" i="11"/>
  <c r="V32" i="11" s="1"/>
  <c r="L95" i="6"/>
  <c r="M239" i="5"/>
  <c r="M262" i="5"/>
  <c r="M307" i="5"/>
  <c r="T247" i="5"/>
  <c r="L50" i="6"/>
  <c r="L52" i="6" s="1"/>
  <c r="T240" i="5"/>
  <c r="M198" i="5"/>
  <c r="M207" i="5"/>
  <c r="M260" i="5"/>
  <c r="M309" i="5"/>
  <c r="T249" i="5"/>
  <c r="O47" i="6"/>
  <c r="S45" i="6"/>
  <c r="M197" i="5"/>
  <c r="M206" i="5"/>
  <c r="M259" i="5"/>
  <c r="M308" i="5"/>
  <c r="T250" i="5"/>
  <c r="T251" i="5"/>
  <c r="O38" i="6"/>
  <c r="S36" i="6"/>
  <c r="T252" i="5"/>
  <c r="S51" i="6"/>
  <c r="U51" i="6" s="1"/>
  <c r="V51" i="6" s="1"/>
  <c r="S78" i="6"/>
  <c r="T237" i="5"/>
  <c r="S128" i="6"/>
  <c r="U79" i="11"/>
  <c r="V79" i="11" s="1"/>
  <c r="S73" i="6"/>
  <c r="O75" i="6"/>
  <c r="T255" i="5"/>
  <c r="S43" i="6"/>
  <c r="S85" i="6"/>
  <c r="M298" i="5"/>
  <c r="M344" i="5"/>
  <c r="V344" i="5" s="1"/>
  <c r="W344" i="5" s="1"/>
  <c r="T239" i="5"/>
  <c r="T256" i="5"/>
  <c r="U93" i="6"/>
  <c r="V93" i="6" s="1"/>
  <c r="L33" i="11"/>
  <c r="U31" i="11"/>
  <c r="V31" i="11" s="1"/>
  <c r="U99" i="11"/>
  <c r="V99" i="11" s="1"/>
  <c r="U100" i="11"/>
  <c r="V100" i="11" s="1"/>
  <c r="U134" i="11"/>
  <c r="V134" i="11" s="1"/>
  <c r="L75" i="11"/>
  <c r="U74" i="11"/>
  <c r="V74" i="11" s="1"/>
  <c r="U46" i="11"/>
  <c r="V46" i="11" s="1"/>
  <c r="U93" i="11"/>
  <c r="V93" i="11" s="1"/>
  <c r="U101" i="11"/>
  <c r="V101" i="11" s="1"/>
  <c r="U94" i="11"/>
  <c r="V94" i="11" s="1"/>
  <c r="V80" i="11"/>
  <c r="U107" i="11"/>
  <c r="V107" i="11" s="1"/>
  <c r="S109" i="11"/>
  <c r="U109" i="11" s="1"/>
  <c r="V109" i="11" s="1"/>
  <c r="U19" i="11"/>
  <c r="V19" i="11" s="1"/>
  <c r="L47" i="11"/>
  <c r="U37" i="11"/>
  <c r="V37" i="11" s="1"/>
  <c r="U102" i="11"/>
  <c r="V102" i="11" s="1"/>
  <c r="U87" i="11"/>
  <c r="V87" i="11" s="1"/>
  <c r="U42" i="11"/>
  <c r="V42" i="11" s="1"/>
  <c r="L82" i="11"/>
  <c r="U86" i="11"/>
  <c r="V86" i="11" s="1"/>
  <c r="U103" i="11"/>
  <c r="V103" i="11" s="1"/>
  <c r="L43" i="11"/>
  <c r="S98" i="11"/>
  <c r="O104" i="11"/>
  <c r="U24" i="11"/>
  <c r="V24" i="11" s="1"/>
  <c r="O95" i="11"/>
  <c r="S92" i="11"/>
  <c r="S73" i="11"/>
  <c r="O75" i="11"/>
  <c r="S45" i="11"/>
  <c r="O47" i="11"/>
  <c r="U18" i="11"/>
  <c r="V18" i="11" s="1"/>
  <c r="S20" i="11"/>
  <c r="L104" i="11"/>
  <c r="S130" i="11"/>
  <c r="U128" i="11"/>
  <c r="V128" i="11" s="1"/>
  <c r="U78" i="11"/>
  <c r="V78" i="11" s="1"/>
  <c r="L27" i="11"/>
  <c r="U30" i="11"/>
  <c r="V30" i="11" s="1"/>
  <c r="S33" i="11"/>
  <c r="L135" i="11"/>
  <c r="S23" i="11"/>
  <c r="S27" i="11" s="1"/>
  <c r="U41" i="11"/>
  <c r="V41" i="11" s="1"/>
  <c r="S43" i="11"/>
  <c r="L95" i="11"/>
  <c r="U133" i="11"/>
  <c r="V133" i="11" s="1"/>
  <c r="S135" i="11"/>
  <c r="U129" i="11"/>
  <c r="V129" i="11" s="1"/>
  <c r="L20" i="11"/>
  <c r="L130" i="11"/>
  <c r="U36" i="11"/>
  <c r="V36" i="11" s="1"/>
  <c r="S38" i="11"/>
  <c r="U85" i="11"/>
  <c r="V85" i="11" s="1"/>
  <c r="S140" i="6"/>
  <c r="U140" i="6" s="1"/>
  <c r="V140" i="6" s="1"/>
  <c r="S135" i="6"/>
  <c r="H141" i="6"/>
  <c r="S89" i="6" l="1"/>
  <c r="Q25" i="6"/>
  <c r="N355" i="21"/>
  <c r="Q355" i="21" s="1"/>
  <c r="M31" i="20"/>
  <c r="S24" i="6"/>
  <c r="U24" i="6" s="1"/>
  <c r="V24" i="6" s="1"/>
  <c r="J26" i="23"/>
  <c r="J28" i="23" s="1"/>
  <c r="J38" i="23" s="1"/>
  <c r="F79" i="23"/>
  <c r="F38" i="23"/>
  <c r="P38" i="23" s="1"/>
  <c r="N457" i="21"/>
  <c r="Q457" i="21" s="1"/>
  <c r="Q80" i="6"/>
  <c r="S79" i="6"/>
  <c r="U79" i="6" s="1"/>
  <c r="V79" i="6" s="1"/>
  <c r="N16" i="20"/>
  <c r="U16" i="20" s="1"/>
  <c r="V16" i="20" s="1"/>
  <c r="N13" i="20"/>
  <c r="U13" i="20" s="1"/>
  <c r="V13" i="20" s="1"/>
  <c r="N12" i="20"/>
  <c r="U12" i="20" s="1"/>
  <c r="V12" i="20" s="1"/>
  <c r="N21" i="20"/>
  <c r="U21" i="20" s="1"/>
  <c r="V21" i="20" s="1"/>
  <c r="N20" i="20"/>
  <c r="U20" i="20" s="1"/>
  <c r="V20" i="20" s="1"/>
  <c r="N17" i="20"/>
  <c r="U17" i="20" s="1"/>
  <c r="V17" i="20" s="1"/>
  <c r="T217" i="5"/>
  <c r="T264" i="5"/>
  <c r="P353" i="5"/>
  <c r="V248" i="5"/>
  <c r="W248" i="5" s="1"/>
  <c r="V184" i="5"/>
  <c r="W184" i="5" s="1"/>
  <c r="V256" i="5"/>
  <c r="W256" i="5" s="1"/>
  <c r="V196" i="5"/>
  <c r="W196" i="5" s="1"/>
  <c r="T202" i="5"/>
  <c r="V257" i="5"/>
  <c r="W257" i="5" s="1"/>
  <c r="V209" i="5"/>
  <c r="W209" i="5" s="1"/>
  <c r="M202" i="5"/>
  <c r="V291" i="5"/>
  <c r="W291" i="5" s="1"/>
  <c r="V314" i="5"/>
  <c r="W314" i="5" s="1"/>
  <c r="P356" i="5"/>
  <c r="T356" i="5" s="1"/>
  <c r="P355" i="5"/>
  <c r="T355" i="5" s="1"/>
  <c r="P354" i="5"/>
  <c r="T354" i="5" s="1"/>
  <c r="V349" i="5"/>
  <c r="W349" i="5" s="1"/>
  <c r="I356" i="5"/>
  <c r="M356" i="5" s="1"/>
  <c r="V348" i="5"/>
  <c r="W348" i="5" s="1"/>
  <c r="I355" i="5"/>
  <c r="V345" i="5"/>
  <c r="W345" i="5" s="1"/>
  <c r="I353" i="5"/>
  <c r="M353" i="5" s="1"/>
  <c r="I354" i="5"/>
  <c r="M354" i="5" s="1"/>
  <c r="V197" i="5"/>
  <c r="W197" i="5" s="1"/>
  <c r="V293" i="5"/>
  <c r="W293" i="5" s="1"/>
  <c r="V258" i="5"/>
  <c r="W258" i="5" s="1"/>
  <c r="V242" i="5"/>
  <c r="W242" i="5" s="1"/>
  <c r="V316" i="5"/>
  <c r="W316" i="5" s="1"/>
  <c r="U135" i="6"/>
  <c r="V135" i="6" s="1"/>
  <c r="V195" i="5"/>
  <c r="W195" i="5" s="1"/>
  <c r="V347" i="5"/>
  <c r="W347" i="5" s="1"/>
  <c r="V263" i="5"/>
  <c r="W263" i="5" s="1"/>
  <c r="T350" i="5"/>
  <c r="U109" i="6"/>
  <c r="V109" i="6" s="1"/>
  <c r="V299" i="5"/>
  <c r="W299" i="5" s="1"/>
  <c r="V238" i="5"/>
  <c r="W238" i="5" s="1"/>
  <c r="V346" i="5"/>
  <c r="W346" i="5" s="1"/>
  <c r="U38" i="11"/>
  <c r="V38" i="11" s="1"/>
  <c r="V313" i="5"/>
  <c r="W313" i="5" s="1"/>
  <c r="V194" i="5"/>
  <c r="W194" i="5" s="1"/>
  <c r="V253" i="5"/>
  <c r="W253" i="5" s="1"/>
  <c r="U92" i="6"/>
  <c r="V92" i="6" s="1"/>
  <c r="S104" i="6"/>
  <c r="U104" i="6" s="1"/>
  <c r="V104" i="6" s="1"/>
  <c r="V213" i="5"/>
  <c r="W213" i="5" s="1"/>
  <c r="V254" i="5"/>
  <c r="W254" i="5" s="1"/>
  <c r="V252" i="5"/>
  <c r="W252" i="5" s="1"/>
  <c r="V191" i="5"/>
  <c r="W191" i="5" s="1"/>
  <c r="V192" i="5"/>
  <c r="W192" i="5" s="1"/>
  <c r="V300" i="5"/>
  <c r="W300" i="5" s="1"/>
  <c r="S20" i="6"/>
  <c r="V182" i="5"/>
  <c r="W182" i="5" s="1"/>
  <c r="V308" i="5"/>
  <c r="W308" i="5" s="1"/>
  <c r="V211" i="5"/>
  <c r="W211" i="5" s="1"/>
  <c r="V301" i="5"/>
  <c r="W301" i="5" s="1"/>
  <c r="V247" i="5"/>
  <c r="W247" i="5" s="1"/>
  <c r="V193" i="5"/>
  <c r="W193" i="5" s="1"/>
  <c r="V295" i="5"/>
  <c r="W295" i="5" s="1"/>
  <c r="V210" i="5"/>
  <c r="W210" i="5" s="1"/>
  <c r="V185" i="5"/>
  <c r="W185" i="5" s="1"/>
  <c r="V212" i="5"/>
  <c r="W212" i="5" s="1"/>
  <c r="V198" i="5"/>
  <c r="W198" i="5" s="1"/>
  <c r="V315" i="5"/>
  <c r="W315" i="5" s="1"/>
  <c r="V309" i="5"/>
  <c r="W309" i="5" s="1"/>
  <c r="V208" i="5"/>
  <c r="W208" i="5" s="1"/>
  <c r="V302" i="5"/>
  <c r="W302" i="5" s="1"/>
  <c r="V186" i="5"/>
  <c r="W186" i="5" s="1"/>
  <c r="L54" i="6"/>
  <c r="V294" i="5"/>
  <c r="W294" i="5" s="1"/>
  <c r="V303" i="5"/>
  <c r="W303" i="5" s="1"/>
  <c r="U43" i="6"/>
  <c r="V43" i="6" s="1"/>
  <c r="V250" i="5"/>
  <c r="W250" i="5" s="1"/>
  <c r="V183" i="5"/>
  <c r="W183" i="5" s="1"/>
  <c r="V236" i="5"/>
  <c r="W236" i="5" s="1"/>
  <c r="V240" i="5"/>
  <c r="W240" i="5" s="1"/>
  <c r="V290" i="5"/>
  <c r="W290" i="5" s="1"/>
  <c r="V251" i="5"/>
  <c r="W251" i="5" s="1"/>
  <c r="V310" i="5"/>
  <c r="W310" i="5" s="1"/>
  <c r="V255" i="5"/>
  <c r="W255" i="5" s="1"/>
  <c r="V261" i="5"/>
  <c r="W261" i="5" s="1"/>
  <c r="S33" i="6"/>
  <c r="U33" i="6" s="1"/>
  <c r="V33" i="6" s="1"/>
  <c r="M296" i="5"/>
  <c r="M187" i="5"/>
  <c r="U95" i="6"/>
  <c r="V95" i="6" s="1"/>
  <c r="M317" i="5"/>
  <c r="M264" i="5"/>
  <c r="V206" i="5"/>
  <c r="W206" i="5" s="1"/>
  <c r="V262" i="5"/>
  <c r="W262" i="5" s="1"/>
  <c r="V259" i="5"/>
  <c r="W259" i="5" s="1"/>
  <c r="V243" i="5"/>
  <c r="W243" i="5" s="1"/>
  <c r="V241" i="5"/>
  <c r="W241" i="5" s="1"/>
  <c r="V246" i="5"/>
  <c r="W246" i="5" s="1"/>
  <c r="L50" i="11"/>
  <c r="G22" i="13" s="1"/>
  <c r="L138" i="11"/>
  <c r="G25" i="13" s="1"/>
  <c r="M350" i="5"/>
  <c r="V260" i="5"/>
  <c r="W260" i="5" s="1"/>
  <c r="U36" i="6"/>
  <c r="V36" i="6" s="1"/>
  <c r="S38" i="6"/>
  <c r="U38" i="6" s="1"/>
  <c r="V38" i="6" s="1"/>
  <c r="V207" i="5"/>
  <c r="W207" i="5" s="1"/>
  <c r="T187" i="5"/>
  <c r="V181" i="5"/>
  <c r="W181" i="5" s="1"/>
  <c r="M304" i="5"/>
  <c r="M355" i="5"/>
  <c r="V237" i="5"/>
  <c r="W237" i="5" s="1"/>
  <c r="U23" i="6"/>
  <c r="V23" i="6" s="1"/>
  <c r="V239" i="5"/>
  <c r="W239" i="5" s="1"/>
  <c r="H52" i="6"/>
  <c r="U78" i="6"/>
  <c r="V78" i="6" s="1"/>
  <c r="U45" i="6"/>
  <c r="V45" i="6" s="1"/>
  <c r="S47" i="6"/>
  <c r="U47" i="6" s="1"/>
  <c r="V47" i="6" s="1"/>
  <c r="L144" i="6"/>
  <c r="G24" i="13" s="1"/>
  <c r="V190" i="5"/>
  <c r="W190" i="5" s="1"/>
  <c r="V205" i="5"/>
  <c r="W205" i="5" s="1"/>
  <c r="T296" i="5"/>
  <c r="V292" i="5"/>
  <c r="W292" i="5" s="1"/>
  <c r="U85" i="6"/>
  <c r="V85" i="6" s="1"/>
  <c r="U89" i="6"/>
  <c r="V89" i="6" s="1"/>
  <c r="V249" i="5"/>
  <c r="W249" i="5" s="1"/>
  <c r="U73" i="6"/>
  <c r="V73" i="6" s="1"/>
  <c r="S75" i="6"/>
  <c r="U75" i="6" s="1"/>
  <c r="V75" i="6" s="1"/>
  <c r="T304" i="5"/>
  <c r="V298" i="5"/>
  <c r="W298" i="5" s="1"/>
  <c r="T317" i="5"/>
  <c r="V307" i="5"/>
  <c r="W307" i="5" s="1"/>
  <c r="U128" i="6"/>
  <c r="V128" i="6" s="1"/>
  <c r="S130" i="6"/>
  <c r="U130" i="6" s="1"/>
  <c r="V130" i="6" s="1"/>
  <c r="U33" i="11"/>
  <c r="V33" i="11" s="1"/>
  <c r="U43" i="11"/>
  <c r="V43" i="11" s="1"/>
  <c r="U82" i="11"/>
  <c r="V82" i="11" s="1"/>
  <c r="U89" i="11"/>
  <c r="V89" i="11" s="1"/>
  <c r="U73" i="11"/>
  <c r="V73" i="11" s="1"/>
  <c r="S75" i="11"/>
  <c r="J78" i="23" s="1"/>
  <c r="S95" i="11"/>
  <c r="U92" i="11"/>
  <c r="V92" i="11" s="1"/>
  <c r="U23" i="11"/>
  <c r="V23" i="11" s="1"/>
  <c r="U27" i="11"/>
  <c r="V27" i="11" s="1"/>
  <c r="U45" i="11"/>
  <c r="V45" i="11" s="1"/>
  <c r="S47" i="11"/>
  <c r="U47" i="11" s="1"/>
  <c r="V47" i="11" s="1"/>
  <c r="U130" i="11"/>
  <c r="V130" i="11" s="1"/>
  <c r="U135" i="11"/>
  <c r="V135" i="11" s="1"/>
  <c r="U20" i="11"/>
  <c r="V20" i="11" s="1"/>
  <c r="U98" i="11"/>
  <c r="V98" i="11" s="1"/>
  <c r="S104" i="11"/>
  <c r="U104" i="11" s="1"/>
  <c r="V104" i="11" s="1"/>
  <c r="O141" i="6"/>
  <c r="S139" i="6"/>
  <c r="S141" i="6" s="1"/>
  <c r="K152" i="5"/>
  <c r="K151" i="5"/>
  <c r="K150" i="5"/>
  <c r="K158" i="5"/>
  <c r="R158" i="5" s="1"/>
  <c r="K157" i="5"/>
  <c r="R157" i="5" s="1"/>
  <c r="K145" i="5"/>
  <c r="K144" i="5"/>
  <c r="K140" i="5"/>
  <c r="R140" i="5" s="1"/>
  <c r="K139" i="5"/>
  <c r="R139" i="5" s="1"/>
  <c r="K138" i="5"/>
  <c r="R138" i="5" s="1"/>
  <c r="N177" i="21" s="1"/>
  <c r="K134" i="5"/>
  <c r="K133" i="5"/>
  <c r="K132" i="5"/>
  <c r="K128" i="5"/>
  <c r="K127" i="5"/>
  <c r="K126" i="5"/>
  <c r="K87" i="5"/>
  <c r="K86" i="5"/>
  <c r="K85" i="5"/>
  <c r="K84" i="5"/>
  <c r="K83" i="5"/>
  <c r="K82" i="5"/>
  <c r="K93" i="5"/>
  <c r="R93" i="5" s="1"/>
  <c r="K94" i="5"/>
  <c r="R94" i="5" s="1"/>
  <c r="K95" i="5"/>
  <c r="R95" i="5" s="1"/>
  <c r="K92" i="5"/>
  <c r="R92" i="5" s="1"/>
  <c r="K77" i="5"/>
  <c r="K76" i="5"/>
  <c r="K75" i="5"/>
  <c r="K74" i="5"/>
  <c r="K28" i="5"/>
  <c r="K29" i="5"/>
  <c r="K30" i="5"/>
  <c r="K31" i="5"/>
  <c r="K32" i="5"/>
  <c r="K33" i="5"/>
  <c r="K34" i="5"/>
  <c r="K35" i="5"/>
  <c r="K27" i="5"/>
  <c r="K19" i="5"/>
  <c r="K20" i="5"/>
  <c r="K21" i="5"/>
  <c r="K22" i="5"/>
  <c r="K23" i="5"/>
  <c r="K18" i="5"/>
  <c r="J20" i="7"/>
  <c r="J18" i="7"/>
  <c r="E339" i="14" s="1"/>
  <c r="G339" i="14" s="1"/>
  <c r="E341" i="14" l="1"/>
  <c r="G341" i="14" s="1"/>
  <c r="N592" i="21"/>
  <c r="Q592" i="21" s="1"/>
  <c r="Z21" i="20"/>
  <c r="W21" i="20"/>
  <c r="X21" i="20" s="1"/>
  <c r="W12" i="20"/>
  <c r="X12" i="20" s="1"/>
  <c r="Z12" i="20"/>
  <c r="N458" i="21"/>
  <c r="Q458" i="21" s="1"/>
  <c r="Q81" i="6"/>
  <c r="S80" i="6"/>
  <c r="U80" i="6" s="1"/>
  <c r="V80" i="6" s="1"/>
  <c r="P79" i="23"/>
  <c r="F89" i="23"/>
  <c r="P89" i="23" s="1"/>
  <c r="Z17" i="20"/>
  <c r="W17" i="20"/>
  <c r="X17" i="20" s="1"/>
  <c r="W13" i="20"/>
  <c r="X13" i="20" s="1"/>
  <c r="Z13" i="20"/>
  <c r="G21" i="13"/>
  <c r="G53" i="13" s="1"/>
  <c r="H26" i="23"/>
  <c r="Z20" i="20"/>
  <c r="W20" i="20"/>
  <c r="X20" i="20" s="1"/>
  <c r="Z16" i="20"/>
  <c r="W16" i="20"/>
  <c r="X16" i="20" s="1"/>
  <c r="Q26" i="6"/>
  <c r="M32" i="20"/>
  <c r="N356" i="21"/>
  <c r="Q356" i="21" s="1"/>
  <c r="S25" i="6"/>
  <c r="U25" i="6" s="1"/>
  <c r="V25" i="6" s="1"/>
  <c r="U20" i="6"/>
  <c r="V20" i="6" s="1"/>
  <c r="J77" i="23"/>
  <c r="T353" i="5"/>
  <c r="V353" i="5" s="1"/>
  <c r="W353" i="5" s="1"/>
  <c r="P357" i="5"/>
  <c r="I357" i="5"/>
  <c r="V350" i="5"/>
  <c r="W350" i="5" s="1"/>
  <c r="G54" i="13"/>
  <c r="V354" i="5"/>
  <c r="W354" i="5" s="1"/>
  <c r="V264" i="5"/>
  <c r="W264" i="5" s="1"/>
  <c r="V296" i="5"/>
  <c r="W296" i="5" s="1"/>
  <c r="V356" i="5"/>
  <c r="W356" i="5" s="1"/>
  <c r="V355" i="5"/>
  <c r="W355" i="5" s="1"/>
  <c r="V317" i="5"/>
  <c r="W317" i="5" s="1"/>
  <c r="V187" i="5"/>
  <c r="W187" i="5" s="1"/>
  <c r="M357" i="5"/>
  <c r="M361" i="5" s="1"/>
  <c r="G23" i="13" s="1"/>
  <c r="V304" i="5"/>
  <c r="W304" i="5" s="1"/>
  <c r="S50" i="6"/>
  <c r="O52" i="6"/>
  <c r="S50" i="11"/>
  <c r="V217" i="5"/>
  <c r="W217" i="5" s="1"/>
  <c r="V202" i="5"/>
  <c r="W202" i="5" s="1"/>
  <c r="U95" i="11"/>
  <c r="V95" i="11" s="1"/>
  <c r="S138" i="11"/>
  <c r="I25" i="13" s="1"/>
  <c r="L25" i="13" s="1"/>
  <c r="M25" i="13" s="1"/>
  <c r="U75" i="11"/>
  <c r="V75" i="11" s="1"/>
  <c r="U139" i="6"/>
  <c r="V139" i="6" s="1"/>
  <c r="U141" i="6"/>
  <c r="V141" i="6" s="1"/>
  <c r="M138" i="5"/>
  <c r="M29" i="5"/>
  <c r="T29" i="5"/>
  <c r="T139" i="5"/>
  <c r="M139" i="5"/>
  <c r="T32" i="5"/>
  <c r="M32" i="5"/>
  <c r="M18" i="5"/>
  <c r="M82" i="5"/>
  <c r="T140" i="5"/>
  <c r="M140" i="5"/>
  <c r="T19" i="5"/>
  <c r="M19" i="5"/>
  <c r="M83" i="5"/>
  <c r="T83" i="5"/>
  <c r="M23" i="5"/>
  <c r="T23" i="5"/>
  <c r="M84" i="5"/>
  <c r="T84" i="5"/>
  <c r="M144" i="5"/>
  <c r="M22" i="5"/>
  <c r="T22" i="5"/>
  <c r="M85" i="5"/>
  <c r="T85" i="5"/>
  <c r="T145" i="5"/>
  <c r="M145" i="5"/>
  <c r="T86" i="5"/>
  <c r="M86" i="5"/>
  <c r="T30" i="5"/>
  <c r="M30" i="5"/>
  <c r="M87" i="5"/>
  <c r="T87" i="5"/>
  <c r="M150" i="5"/>
  <c r="M31" i="5"/>
  <c r="M20" i="5"/>
  <c r="T20" i="5"/>
  <c r="I24" i="5"/>
  <c r="M126" i="5"/>
  <c r="M151" i="5"/>
  <c r="T151" i="5"/>
  <c r="T134" i="5"/>
  <c r="M134" i="5"/>
  <c r="M27" i="5"/>
  <c r="T127" i="5"/>
  <c r="M127" i="5"/>
  <c r="M152" i="5"/>
  <c r="T152" i="5"/>
  <c r="T75" i="5"/>
  <c r="M75" i="5"/>
  <c r="M21" i="5"/>
  <c r="T21" i="5"/>
  <c r="M28" i="5"/>
  <c r="T128" i="5"/>
  <c r="M128" i="5"/>
  <c r="T35" i="5"/>
  <c r="M35" i="5"/>
  <c r="M34" i="5"/>
  <c r="M74" i="5"/>
  <c r="M132" i="5"/>
  <c r="T76" i="5"/>
  <c r="M76" i="5"/>
  <c r="T33" i="5"/>
  <c r="M33" i="5"/>
  <c r="T77" i="5"/>
  <c r="P95" i="5" s="1"/>
  <c r="M77" i="5"/>
  <c r="T133" i="5"/>
  <c r="M133" i="5"/>
  <c r="L20" i="7"/>
  <c r="S20" i="7"/>
  <c r="L18" i="7"/>
  <c r="S18" i="7"/>
  <c r="J84" i="23" s="1"/>
  <c r="N459" i="21" l="1"/>
  <c r="S81" i="6"/>
  <c r="L26" i="23"/>
  <c r="N357" i="21"/>
  <c r="M33" i="20"/>
  <c r="N18" i="20" s="1"/>
  <c r="U18" i="20" s="1"/>
  <c r="V18" i="20" s="1"/>
  <c r="S26" i="6"/>
  <c r="U26" i="6" s="1"/>
  <c r="V26" i="6" s="1"/>
  <c r="H78" i="23"/>
  <c r="L78" i="23" s="1"/>
  <c r="R78" i="23" s="1"/>
  <c r="T78" i="23" s="1"/>
  <c r="M23" i="29" s="1"/>
  <c r="P158" i="5"/>
  <c r="T158" i="5" s="1"/>
  <c r="I22" i="13"/>
  <c r="B8" i="11"/>
  <c r="T357" i="5"/>
  <c r="T361" i="5" s="1"/>
  <c r="I23" i="13" s="1"/>
  <c r="L23" i="13" s="1"/>
  <c r="P93" i="5"/>
  <c r="T93" i="5" s="1"/>
  <c r="T95" i="5"/>
  <c r="I158" i="5"/>
  <c r="M158" i="5" s="1"/>
  <c r="I157" i="5"/>
  <c r="I94" i="5"/>
  <c r="M94" i="5" s="1"/>
  <c r="I92" i="5"/>
  <c r="I93" i="5"/>
  <c r="M93" i="5" s="1"/>
  <c r="I95" i="5"/>
  <c r="M95" i="5" s="1"/>
  <c r="G55" i="13"/>
  <c r="B5" i="4"/>
  <c r="B5" i="7"/>
  <c r="B5" i="11"/>
  <c r="C5" i="5"/>
  <c r="B5" i="6"/>
  <c r="V83" i="5"/>
  <c r="W83" i="5" s="1"/>
  <c r="M146" i="5"/>
  <c r="V152" i="5"/>
  <c r="W152" i="5" s="1"/>
  <c r="V145" i="5"/>
  <c r="W145" i="5" s="1"/>
  <c r="S52" i="6"/>
  <c r="U50" i="6"/>
  <c r="V50" i="6" s="1"/>
  <c r="U138" i="11"/>
  <c r="V138" i="11" s="1"/>
  <c r="V21" i="5"/>
  <c r="W21" i="5" s="1"/>
  <c r="V84" i="5"/>
  <c r="W84" i="5" s="1"/>
  <c r="U18" i="7"/>
  <c r="V18" i="7" s="1"/>
  <c r="V127" i="5"/>
  <c r="W127" i="5" s="1"/>
  <c r="V23" i="5"/>
  <c r="W23" i="5" s="1"/>
  <c r="V85" i="5"/>
  <c r="W85" i="5" s="1"/>
  <c r="V151" i="5"/>
  <c r="W151" i="5" s="1"/>
  <c r="M129" i="5"/>
  <c r="V139" i="5"/>
  <c r="W139" i="5" s="1"/>
  <c r="V128" i="5"/>
  <c r="W128" i="5" s="1"/>
  <c r="V30" i="5"/>
  <c r="W30" i="5" s="1"/>
  <c r="V22" i="5"/>
  <c r="W22" i="5" s="1"/>
  <c r="M88" i="5"/>
  <c r="V19" i="5"/>
  <c r="W19" i="5" s="1"/>
  <c r="T82" i="5"/>
  <c r="M24" i="5"/>
  <c r="V76" i="5"/>
  <c r="W76" i="5" s="1"/>
  <c r="T132" i="5"/>
  <c r="V75" i="5"/>
  <c r="W75" i="5" s="1"/>
  <c r="T18" i="5"/>
  <c r="T144" i="5"/>
  <c r="P157" i="5" s="1"/>
  <c r="V86" i="5"/>
  <c r="W86" i="5" s="1"/>
  <c r="V32" i="5"/>
  <c r="W32" i="5" s="1"/>
  <c r="V133" i="5"/>
  <c r="W133" i="5" s="1"/>
  <c r="V20" i="5"/>
  <c r="W20" i="5" s="1"/>
  <c r="V29" i="5"/>
  <c r="W29" i="5" s="1"/>
  <c r="V140" i="5"/>
  <c r="W140" i="5" s="1"/>
  <c r="T74" i="5"/>
  <c r="T78" i="5" s="1"/>
  <c r="V77" i="5"/>
  <c r="W77" i="5" s="1"/>
  <c r="V134" i="5"/>
  <c r="W134" i="5" s="1"/>
  <c r="M135" i="5"/>
  <c r="T126" i="5"/>
  <c r="V35" i="5"/>
  <c r="W35" i="5" s="1"/>
  <c r="V33" i="5"/>
  <c r="W33" i="5" s="1"/>
  <c r="T150" i="5"/>
  <c r="M141" i="5"/>
  <c r="V87" i="5"/>
  <c r="W87" i="5" s="1"/>
  <c r="M78" i="5"/>
  <c r="T27" i="5"/>
  <c r="M153" i="5"/>
  <c r="T138" i="5"/>
  <c r="L23" i="7"/>
  <c r="G26" i="13" s="1"/>
  <c r="G57" i="13" s="1"/>
  <c r="U20" i="7"/>
  <c r="V20" i="7" s="1"/>
  <c r="S23" i="7"/>
  <c r="H84" i="23" s="1"/>
  <c r="I54" i="13" l="1"/>
  <c r="I23" i="29"/>
  <c r="K23" i="29" s="1"/>
  <c r="N23" i="29" s="1"/>
  <c r="N22" i="20"/>
  <c r="U22" i="20" s="1"/>
  <c r="V22" i="20" s="1"/>
  <c r="Z22" i="20" s="1"/>
  <c r="E313" i="14"/>
  <c r="G313" i="14" s="1"/>
  <c r="E308" i="14"/>
  <c r="G308" i="14" s="1"/>
  <c r="E242" i="14"/>
  <c r="G242" i="14" s="1"/>
  <c r="Z18" i="20"/>
  <c r="W18" i="20"/>
  <c r="X18" i="20" s="1"/>
  <c r="R26" i="23"/>
  <c r="T26" i="23" s="1"/>
  <c r="N14" i="20"/>
  <c r="U14" i="20" s="1"/>
  <c r="V14" i="20" s="1"/>
  <c r="S27" i="6"/>
  <c r="U27" i="6" s="1"/>
  <c r="V27" i="6" s="1"/>
  <c r="U81" i="6"/>
  <c r="V81" i="6" s="1"/>
  <c r="S82" i="6"/>
  <c r="L84" i="23"/>
  <c r="L22" i="13"/>
  <c r="L54" i="13" s="1"/>
  <c r="M54" i="13" s="1"/>
  <c r="I26" i="13"/>
  <c r="L26" i="13" s="1"/>
  <c r="B8" i="7"/>
  <c r="V361" i="5"/>
  <c r="W361" i="5" s="1"/>
  <c r="V357" i="5"/>
  <c r="W357" i="5" s="1"/>
  <c r="P159" i="5"/>
  <c r="I159" i="5"/>
  <c r="I96" i="5"/>
  <c r="M92" i="5"/>
  <c r="M96" i="5" s="1"/>
  <c r="E324" i="14"/>
  <c r="G324" i="14" s="1"/>
  <c r="E315" i="14"/>
  <c r="G315" i="14" s="1"/>
  <c r="E302" i="14"/>
  <c r="G302" i="14" s="1"/>
  <c r="E256" i="14"/>
  <c r="G256" i="14" s="1"/>
  <c r="E244" i="14"/>
  <c r="G244" i="14" s="1"/>
  <c r="E322" i="14"/>
  <c r="G322" i="14" s="1"/>
  <c r="E323" i="14"/>
  <c r="G323" i="14" s="1"/>
  <c r="E312" i="14"/>
  <c r="G312" i="14" s="1"/>
  <c r="E255" i="14"/>
  <c r="G255" i="14" s="1"/>
  <c r="E240" i="14"/>
  <c r="G240" i="14" s="1"/>
  <c r="E241" i="14"/>
  <c r="G241" i="14" s="1"/>
  <c r="E334" i="14"/>
  <c r="G334" i="14" s="1"/>
  <c r="E321" i="14"/>
  <c r="G321" i="14" s="1"/>
  <c r="E310" i="14"/>
  <c r="G310" i="14" s="1"/>
  <c r="E252" i="14"/>
  <c r="G252" i="14" s="1"/>
  <c r="E239" i="14"/>
  <c r="G239" i="14" s="1"/>
  <c r="E331" i="14"/>
  <c r="G331" i="14" s="1"/>
  <c r="E320" i="14"/>
  <c r="G320" i="14" s="1"/>
  <c r="E306" i="14"/>
  <c r="G306" i="14" s="1"/>
  <c r="E250" i="14"/>
  <c r="G250" i="14" s="1"/>
  <c r="E237" i="14"/>
  <c r="G237" i="14" s="1"/>
  <c r="E335" i="14"/>
  <c r="G335" i="14" s="1"/>
  <c r="E253" i="14"/>
  <c r="G253" i="14" s="1"/>
  <c r="E330" i="14"/>
  <c r="G330" i="14" s="1"/>
  <c r="E319" i="14"/>
  <c r="G319" i="14" s="1"/>
  <c r="E307" i="14"/>
  <c r="G307" i="14" s="1"/>
  <c r="E249" i="14"/>
  <c r="G249" i="14" s="1"/>
  <c r="E236" i="14"/>
  <c r="G236" i="14" s="1"/>
  <c r="E328" i="14"/>
  <c r="G328" i="14" s="1"/>
  <c r="E317" i="14"/>
  <c r="G317" i="14" s="1"/>
  <c r="E305" i="14"/>
  <c r="G305" i="14" s="1"/>
  <c r="E246" i="14"/>
  <c r="G246" i="14" s="1"/>
  <c r="E327" i="14"/>
  <c r="G327" i="14" s="1"/>
  <c r="E316" i="14"/>
  <c r="G316" i="14" s="1"/>
  <c r="E303" i="14"/>
  <c r="G303" i="14" s="1"/>
  <c r="E245" i="14"/>
  <c r="G245" i="14" s="1"/>
  <c r="E311" i="14"/>
  <c r="G311" i="14" s="1"/>
  <c r="B5" i="3"/>
  <c r="F12" i="10"/>
  <c r="U52" i="6"/>
  <c r="V52" i="6" s="1"/>
  <c r="V95" i="5"/>
  <c r="W95" i="5" s="1"/>
  <c r="V93" i="5"/>
  <c r="W93" i="5" s="1"/>
  <c r="V18" i="5"/>
  <c r="W18" i="5" s="1"/>
  <c r="T24" i="5"/>
  <c r="V27" i="5"/>
  <c r="W27" i="5" s="1"/>
  <c r="V126" i="5"/>
  <c r="W126" i="5" s="1"/>
  <c r="T129" i="5"/>
  <c r="V138" i="5"/>
  <c r="W138" i="5" s="1"/>
  <c r="T141" i="5"/>
  <c r="V141" i="5" s="1"/>
  <c r="W141" i="5" s="1"/>
  <c r="V158" i="5"/>
  <c r="W158" i="5" s="1"/>
  <c r="V82" i="5"/>
  <c r="W82" i="5" s="1"/>
  <c r="T88" i="5"/>
  <c r="V88" i="5" s="1"/>
  <c r="W88" i="5" s="1"/>
  <c r="M157" i="5"/>
  <c r="M159" i="5" s="1"/>
  <c r="M162" i="5" s="1"/>
  <c r="G20" i="13" s="1"/>
  <c r="T135" i="5"/>
  <c r="V135" i="5" s="1"/>
  <c r="W135" i="5" s="1"/>
  <c r="V132" i="5"/>
  <c r="W132" i="5" s="1"/>
  <c r="T157" i="5"/>
  <c r="V78" i="5"/>
  <c r="W78" i="5" s="1"/>
  <c r="V74" i="5"/>
  <c r="W74" i="5" s="1"/>
  <c r="V150" i="5"/>
  <c r="W150" i="5" s="1"/>
  <c r="T153" i="5"/>
  <c r="V153" i="5" s="1"/>
  <c r="W153" i="5" s="1"/>
  <c r="V144" i="5"/>
  <c r="W144" i="5" s="1"/>
  <c r="T146" i="5"/>
  <c r="V146" i="5" s="1"/>
  <c r="W146" i="5" s="1"/>
  <c r="U23" i="7"/>
  <c r="V23" i="7" s="1"/>
  <c r="Q23" i="29" l="1"/>
  <c r="W22" i="20"/>
  <c r="X22" i="20" s="1"/>
  <c r="S54" i="6"/>
  <c r="I21" i="13" s="1"/>
  <c r="I57" i="13"/>
  <c r="M22" i="13"/>
  <c r="G19" i="13"/>
  <c r="G51" i="13" s="1"/>
  <c r="U82" i="6"/>
  <c r="V82" i="6" s="1"/>
  <c r="S144" i="6"/>
  <c r="Z14" i="20"/>
  <c r="W14" i="20"/>
  <c r="X14" i="20" s="1"/>
  <c r="V24" i="5"/>
  <c r="W24" i="5" s="1"/>
  <c r="J76" i="23"/>
  <c r="J79" i="23" s="1"/>
  <c r="R84" i="23"/>
  <c r="T84" i="23" s="1"/>
  <c r="L57" i="13"/>
  <c r="M57" i="13" s="1"/>
  <c r="M26" i="13"/>
  <c r="U50" i="11"/>
  <c r="V50" i="11" s="1"/>
  <c r="V129" i="5"/>
  <c r="W129" i="5" s="1"/>
  <c r="V157" i="5"/>
  <c r="W157" i="5" s="1"/>
  <c r="T159" i="5"/>
  <c r="V159" i="5" s="1"/>
  <c r="W159" i="5" s="1"/>
  <c r="L21" i="13" l="1"/>
  <c r="M21" i="13" s="1"/>
  <c r="U54" i="6"/>
  <c r="V54" i="6" s="1"/>
  <c r="H77" i="23"/>
  <c r="L77" i="23" s="1"/>
  <c r="R77" i="23" s="1"/>
  <c r="T77" i="23" s="1"/>
  <c r="M21" i="29" s="1"/>
  <c r="B8" i="6"/>
  <c r="E280" i="14" s="1"/>
  <c r="G280" i="14" s="1"/>
  <c r="T86" i="23"/>
  <c r="V86" i="23" s="1"/>
  <c r="M26" i="29"/>
  <c r="Q26" i="29" s="1"/>
  <c r="L25" i="23"/>
  <c r="H28" i="23"/>
  <c r="U144" i="6"/>
  <c r="V144" i="6" s="1"/>
  <c r="I24" i="13"/>
  <c r="L24" i="13" s="1"/>
  <c r="M24" i="13" s="1"/>
  <c r="T162" i="5"/>
  <c r="L53" i="13" l="1"/>
  <c r="E294" i="14"/>
  <c r="G294" i="14" s="1"/>
  <c r="E226" i="14"/>
  <c r="G226" i="14" s="1"/>
  <c r="E273" i="14"/>
  <c r="G273" i="14" s="1"/>
  <c r="I21" i="29"/>
  <c r="K21" i="29" s="1"/>
  <c r="N21" i="29" s="1"/>
  <c r="E281" i="14"/>
  <c r="G281" i="14" s="1"/>
  <c r="E279" i="14"/>
  <c r="G279" i="14" s="1"/>
  <c r="E211" i="14"/>
  <c r="G211" i="14" s="1"/>
  <c r="I53" i="13"/>
  <c r="I55" i="13" s="1"/>
  <c r="E209" i="14"/>
  <c r="G209" i="14" s="1"/>
  <c r="E275" i="14"/>
  <c r="G275" i="14" s="1"/>
  <c r="E222" i="14"/>
  <c r="G222" i="14" s="1"/>
  <c r="E260" i="14"/>
  <c r="G260" i="14" s="1"/>
  <c r="E286" i="14"/>
  <c r="G286" i="14" s="1"/>
  <c r="E213" i="14"/>
  <c r="G213" i="14" s="1"/>
  <c r="E218" i="14"/>
  <c r="G218" i="14" s="1"/>
  <c r="E212" i="14"/>
  <c r="G212" i="14" s="1"/>
  <c r="E289" i="14"/>
  <c r="G289" i="14" s="1"/>
  <c r="E229" i="14"/>
  <c r="G229" i="14" s="1"/>
  <c r="E221" i="14"/>
  <c r="G221" i="14" s="1"/>
  <c r="E264" i="14"/>
  <c r="G264" i="14" s="1"/>
  <c r="E216" i="14"/>
  <c r="G216" i="14" s="1"/>
  <c r="E274" i="14"/>
  <c r="G274" i="14" s="1"/>
  <c r="E290" i="14"/>
  <c r="G290" i="14" s="1"/>
  <c r="E285" i="14"/>
  <c r="G285" i="14" s="1"/>
  <c r="E278" i="14"/>
  <c r="G278" i="14" s="1"/>
  <c r="E270" i="14"/>
  <c r="G270" i="14" s="1"/>
  <c r="E230" i="14"/>
  <c r="G230" i="14" s="1"/>
  <c r="E265" i="14"/>
  <c r="G265" i="14" s="1"/>
  <c r="E225" i="14"/>
  <c r="G225" i="14" s="1"/>
  <c r="E261" i="14"/>
  <c r="G261" i="14" s="1"/>
  <c r="E277" i="14"/>
  <c r="G277" i="14" s="1"/>
  <c r="E269" i="14"/>
  <c r="G269" i="14" s="1"/>
  <c r="E282" i="14"/>
  <c r="G282" i="14" s="1"/>
  <c r="E217" i="14"/>
  <c r="G217" i="14" s="1"/>
  <c r="E293" i="14"/>
  <c r="G293" i="14" s="1"/>
  <c r="E268" i="14"/>
  <c r="G268" i="14" s="1"/>
  <c r="E263" i="14"/>
  <c r="G263" i="14" s="1"/>
  <c r="E208" i="14"/>
  <c r="G208" i="14" s="1"/>
  <c r="E214" i="14"/>
  <c r="G214" i="14" s="1"/>
  <c r="E266" i="14"/>
  <c r="G266" i="14" s="1"/>
  <c r="E271" i="14"/>
  <c r="G271" i="14" s="1"/>
  <c r="M28" i="29"/>
  <c r="Q28" i="29" s="1"/>
  <c r="N26" i="29"/>
  <c r="N28" i="29" s="1"/>
  <c r="R25" i="23"/>
  <c r="T25" i="23" s="1"/>
  <c r="T28" i="23" s="1"/>
  <c r="L28" i="23"/>
  <c r="M53" i="13"/>
  <c r="L55" i="13"/>
  <c r="V162" i="5"/>
  <c r="W162" i="5" s="1"/>
  <c r="I20" i="13"/>
  <c r="Q21" i="29" l="1"/>
  <c r="L20" i="13"/>
  <c r="J77" i="4"/>
  <c r="Q77" i="4" s="1"/>
  <c r="N113" i="21" s="1"/>
  <c r="Q113" i="21" s="1"/>
  <c r="J73" i="4"/>
  <c r="H78" i="4"/>
  <c r="H74" i="4"/>
  <c r="J35" i="4"/>
  <c r="J34" i="4"/>
  <c r="J28" i="4"/>
  <c r="J27" i="4"/>
  <c r="J26" i="4"/>
  <c r="J25" i="4"/>
  <c r="J20" i="4"/>
  <c r="J21" i="4"/>
  <c r="J19" i="4"/>
  <c r="J29" i="3"/>
  <c r="J28" i="3"/>
  <c r="J27" i="3"/>
  <c r="J20" i="3"/>
  <c r="J19" i="3"/>
  <c r="M20" i="13" l="1"/>
  <c r="S25" i="4"/>
  <c r="O22" i="4"/>
  <c r="L35" i="4"/>
  <c r="H36" i="4"/>
  <c r="L28" i="4"/>
  <c r="S34" i="4"/>
  <c r="S35" i="4"/>
  <c r="L73" i="4"/>
  <c r="L74" i="4" s="1"/>
  <c r="L26" i="4"/>
  <c r="L34" i="4"/>
  <c r="S19" i="4"/>
  <c r="L77" i="4"/>
  <c r="L78" i="4" s="1"/>
  <c r="S20" i="4"/>
  <c r="S21" i="4"/>
  <c r="S26" i="4"/>
  <c r="S27" i="4"/>
  <c r="S28" i="4"/>
  <c r="L19" i="4"/>
  <c r="L21" i="4"/>
  <c r="L20" i="4"/>
  <c r="L25" i="4"/>
  <c r="L27" i="4"/>
  <c r="Q27" i="3"/>
  <c r="Q29" i="3"/>
  <c r="N21" i="21" s="1"/>
  <c r="Q21" i="21" s="1"/>
  <c r="S31" i="4" l="1"/>
  <c r="Q28" i="3"/>
  <c r="N19" i="21"/>
  <c r="Q19" i="21" s="1"/>
  <c r="I39" i="19"/>
  <c r="L82" i="4"/>
  <c r="G18" i="13" s="1"/>
  <c r="U21" i="4"/>
  <c r="V21" i="4" s="1"/>
  <c r="U35" i="4"/>
  <c r="V35" i="4" s="1"/>
  <c r="L36" i="4"/>
  <c r="U28" i="4"/>
  <c r="V28" i="4" s="1"/>
  <c r="U26" i="4"/>
  <c r="V26" i="4" s="1"/>
  <c r="U27" i="4"/>
  <c r="V27" i="4" s="1"/>
  <c r="S22" i="4"/>
  <c r="U34" i="4"/>
  <c r="V34" i="4" s="1"/>
  <c r="U25" i="4"/>
  <c r="V25" i="4" s="1"/>
  <c r="S36" i="4"/>
  <c r="U19" i="4"/>
  <c r="V19" i="4" s="1"/>
  <c r="U20" i="4"/>
  <c r="V20" i="4" s="1"/>
  <c r="L22" i="4"/>
  <c r="O36" i="4"/>
  <c r="S77" i="4"/>
  <c r="O78" i="4"/>
  <c r="S73" i="4"/>
  <c r="O74" i="4"/>
  <c r="S41" i="4" l="1"/>
  <c r="N18" i="19"/>
  <c r="U18" i="19" s="1"/>
  <c r="V18" i="19" s="1"/>
  <c r="N22" i="19"/>
  <c r="U22" i="19" s="1"/>
  <c r="V22" i="19" s="1"/>
  <c r="N12" i="19"/>
  <c r="U12" i="19" s="1"/>
  <c r="V12" i="19" s="1"/>
  <c r="W12" i="19" s="1"/>
  <c r="X12" i="19" s="1"/>
  <c r="N14" i="19"/>
  <c r="U14" i="19" s="1"/>
  <c r="V14" i="19" s="1"/>
  <c r="N16" i="19"/>
  <c r="U16" i="19" s="1"/>
  <c r="V16" i="19" s="1"/>
  <c r="N20" i="19"/>
  <c r="U20" i="19" s="1"/>
  <c r="V20" i="19" s="1"/>
  <c r="N20" i="21"/>
  <c r="Q20" i="21" s="1"/>
  <c r="U31" i="4"/>
  <c r="V31" i="4" s="1"/>
  <c r="U36" i="4"/>
  <c r="V36" i="4" s="1"/>
  <c r="S78" i="4"/>
  <c r="U78" i="4" s="1"/>
  <c r="V78" i="4" s="1"/>
  <c r="U77" i="4"/>
  <c r="V77" i="4" s="1"/>
  <c r="S74" i="4"/>
  <c r="J70" i="23" s="1"/>
  <c r="U73" i="4"/>
  <c r="V73" i="4" s="1"/>
  <c r="U22" i="4"/>
  <c r="V22" i="4" s="1"/>
  <c r="N28" i="19" l="1"/>
  <c r="U28" i="19" s="1"/>
  <c r="V28" i="19" s="1"/>
  <c r="N26" i="19"/>
  <c r="U26" i="19" s="1"/>
  <c r="V26" i="19" s="1"/>
  <c r="N30" i="19"/>
  <c r="U30" i="19" s="1"/>
  <c r="V30" i="19" s="1"/>
  <c r="N32" i="19"/>
  <c r="U32" i="19" s="1"/>
  <c r="V32" i="19" s="1"/>
  <c r="N24" i="19"/>
  <c r="U24" i="19" s="1"/>
  <c r="V24" i="19" s="1"/>
  <c r="W16" i="19"/>
  <c r="X16" i="19" s="1"/>
  <c r="Z16" i="19"/>
  <c r="Z22" i="19"/>
  <c r="W22" i="19"/>
  <c r="X22" i="19" s="1"/>
  <c r="W20" i="19"/>
  <c r="X20" i="19" s="1"/>
  <c r="Z20" i="19"/>
  <c r="W14" i="19"/>
  <c r="X14" i="19" s="1"/>
  <c r="Z14" i="19"/>
  <c r="Z18" i="19"/>
  <c r="W18" i="19"/>
  <c r="X18" i="19" s="1"/>
  <c r="G17" i="13"/>
  <c r="G48" i="13" s="1"/>
  <c r="L19" i="23"/>
  <c r="R19" i="23" s="1"/>
  <c r="T19" i="23" s="1"/>
  <c r="I17" i="13"/>
  <c r="S82" i="4"/>
  <c r="U41" i="4"/>
  <c r="V41" i="4" s="1"/>
  <c r="U74" i="4"/>
  <c r="V74" i="4" s="1"/>
  <c r="I18" i="13" l="1"/>
  <c r="L18" i="13" s="1"/>
  <c r="M18" i="13" s="1"/>
  <c r="H70" i="23"/>
  <c r="L70" i="23" s="1"/>
  <c r="R70" i="23" s="1"/>
  <c r="T70" i="23" s="1"/>
  <c r="M17" i="29" s="1"/>
  <c r="L17" i="13"/>
  <c r="M17" i="13" s="1"/>
  <c r="Z24" i="19"/>
  <c r="W24" i="19"/>
  <c r="X24" i="19" s="1"/>
  <c r="W32" i="19"/>
  <c r="X32" i="19" s="1"/>
  <c r="Z32" i="19"/>
  <c r="W26" i="19"/>
  <c r="X26" i="19" s="1"/>
  <c r="Z26" i="19"/>
  <c r="Z30" i="19"/>
  <c r="W30" i="19"/>
  <c r="X30" i="19" s="1"/>
  <c r="W28" i="19"/>
  <c r="X28" i="19" s="1"/>
  <c r="Z28" i="19"/>
  <c r="B8" i="4"/>
  <c r="E23" i="14" s="1"/>
  <c r="G23" i="14" s="1"/>
  <c r="U82" i="4"/>
  <c r="V82" i="4" s="1"/>
  <c r="I48" i="13" l="1"/>
  <c r="I17" i="29"/>
  <c r="K17" i="29" s="1"/>
  <c r="N17" i="29" s="1"/>
  <c r="L48" i="13"/>
  <c r="E19" i="14"/>
  <c r="G19" i="14" s="1"/>
  <c r="E16" i="14"/>
  <c r="G16" i="14" s="1"/>
  <c r="E31" i="14"/>
  <c r="G31" i="14" s="1"/>
  <c r="E26" i="14"/>
  <c r="G26" i="14" s="1"/>
  <c r="E15" i="14"/>
  <c r="G15" i="14" s="1"/>
  <c r="E21" i="14"/>
  <c r="G21" i="14" s="1"/>
  <c r="E25" i="14"/>
  <c r="G25" i="14" s="1"/>
  <c r="E20" i="14"/>
  <c r="G20" i="14" s="1"/>
  <c r="E22" i="14"/>
  <c r="G22" i="14" s="1"/>
  <c r="E17" i="14"/>
  <c r="G17" i="14" s="1"/>
  <c r="E29" i="14"/>
  <c r="G29" i="14" s="1"/>
  <c r="Q17" i="29" l="1"/>
  <c r="S20" i="3"/>
  <c r="L20" i="3"/>
  <c r="L27" i="3"/>
  <c r="S28" i="3"/>
  <c r="L28" i="3"/>
  <c r="S29" i="3"/>
  <c r="L29" i="3"/>
  <c r="L19" i="3"/>
  <c r="H21" i="3"/>
  <c r="H31" i="3"/>
  <c r="L21" i="3" l="1"/>
  <c r="U28" i="3"/>
  <c r="V28" i="3" s="1"/>
  <c r="O21" i="3"/>
  <c r="S19" i="3"/>
  <c r="U29" i="3"/>
  <c r="V29" i="3" s="1"/>
  <c r="O31" i="3"/>
  <c r="S27" i="3"/>
  <c r="S31" i="3" s="1"/>
  <c r="S39" i="3" s="1"/>
  <c r="H69" i="23" s="1"/>
  <c r="U20" i="3"/>
  <c r="V20" i="3" s="1"/>
  <c r="U31" i="3" l="1"/>
  <c r="V31" i="3" s="1"/>
  <c r="U27" i="3"/>
  <c r="V27" i="3" s="1"/>
  <c r="U19" i="3"/>
  <c r="V19" i="3" s="1"/>
  <c r="S21" i="3"/>
  <c r="J69" i="23" l="1"/>
  <c r="J71" i="23" s="1"/>
  <c r="L18" i="23"/>
  <c r="H20" i="23"/>
  <c r="H38" i="23" s="1"/>
  <c r="G16" i="13"/>
  <c r="U21" i="3"/>
  <c r="V21" i="3" s="1"/>
  <c r="R18" i="23" l="1"/>
  <c r="T18" i="23" s="1"/>
  <c r="T20" i="23" s="1"/>
  <c r="T38" i="23" s="1"/>
  <c r="L20" i="23"/>
  <c r="L38" i="23" s="1"/>
  <c r="B8" i="3"/>
  <c r="I16" i="13"/>
  <c r="I15" i="29" s="1"/>
  <c r="G47" i="13"/>
  <c r="G49" i="13" s="1"/>
  <c r="G60" i="13" s="1"/>
  <c r="G28" i="13"/>
  <c r="U39" i="3"/>
  <c r="V39" i="3" s="1"/>
  <c r="K15" i="29" l="1"/>
  <c r="L69" i="23"/>
  <c r="H71" i="23"/>
  <c r="E4" i="14"/>
  <c r="G4" i="14" s="1"/>
  <c r="E10" i="14"/>
  <c r="G10" i="14" s="1"/>
  <c r="E5" i="14"/>
  <c r="G5" i="14" s="1"/>
  <c r="E11" i="14"/>
  <c r="G11" i="14" s="1"/>
  <c r="E9" i="14"/>
  <c r="G9" i="14" s="1"/>
  <c r="L16" i="13"/>
  <c r="I47" i="13"/>
  <c r="I49" i="13" s="1"/>
  <c r="L71" i="23" l="1"/>
  <c r="R69" i="23"/>
  <c r="T69" i="23" s="1"/>
  <c r="M16" i="13"/>
  <c r="L47" i="13"/>
  <c r="L49" i="13" s="1"/>
  <c r="T71" i="23" l="1"/>
  <c r="V71" i="23" s="1"/>
  <c r="M15" i="29"/>
  <c r="Q15" i="29" s="1"/>
  <c r="M49" i="13"/>
  <c r="N15" i="29" l="1"/>
  <c r="R31" i="5"/>
  <c r="R34" i="5" s="1"/>
  <c r="R37" i="5" s="1"/>
  <c r="T37" i="5" s="1"/>
  <c r="V37" i="5" s="1"/>
  <c r="W37" i="5" s="1"/>
  <c r="T34" i="5" l="1"/>
  <c r="V34" i="5" s="1"/>
  <c r="W34" i="5" s="1"/>
  <c r="V28" i="5"/>
  <c r="W28" i="5" s="1"/>
  <c r="P92" i="5"/>
  <c r="T31" i="5"/>
  <c r="T40" i="5" l="1"/>
  <c r="V40" i="5" s="1"/>
  <c r="W40" i="5" s="1"/>
  <c r="P94" i="5"/>
  <c r="T94" i="5" s="1"/>
  <c r="V94" i="5" s="1"/>
  <c r="W94" i="5" s="1"/>
  <c r="V31" i="5"/>
  <c r="W31" i="5" s="1"/>
  <c r="T92" i="5"/>
  <c r="V92" i="5" l="1"/>
  <c r="W92" i="5" s="1"/>
  <c r="T96" i="5"/>
  <c r="T107" i="5" s="1"/>
  <c r="H76" i="23" s="1"/>
  <c r="P96" i="5"/>
  <c r="V96" i="5" l="1"/>
  <c r="W96" i="5" s="1"/>
  <c r="H79" i="23" l="1"/>
  <c r="L76" i="23"/>
  <c r="V107" i="5"/>
  <c r="W107" i="5" s="1"/>
  <c r="I19" i="13"/>
  <c r="I19" i="29" s="1"/>
  <c r="C8" i="5"/>
  <c r="K19" i="29" l="1"/>
  <c r="K31" i="29" s="1"/>
  <c r="I31" i="29"/>
  <c r="E134" i="14"/>
  <c r="G134" i="14" s="1"/>
  <c r="E59" i="14"/>
  <c r="G59" i="14" s="1"/>
  <c r="E119" i="14"/>
  <c r="G119" i="14" s="1"/>
  <c r="E60" i="14"/>
  <c r="G60" i="14" s="1"/>
  <c r="E132" i="14"/>
  <c r="G132" i="14" s="1"/>
  <c r="E120" i="14"/>
  <c r="G120" i="14" s="1"/>
  <c r="E61" i="14"/>
  <c r="G61" i="14" s="1"/>
  <c r="E133" i="14"/>
  <c r="G133" i="14" s="1"/>
  <c r="E121" i="14"/>
  <c r="G121" i="14" s="1"/>
  <c r="L79" i="23"/>
  <c r="R76" i="23"/>
  <c r="T76" i="23" s="1"/>
  <c r="E186" i="14"/>
  <c r="G186" i="14" s="1"/>
  <c r="E53" i="14"/>
  <c r="G53" i="14" s="1"/>
  <c r="E57" i="14"/>
  <c r="G57" i="14" s="1"/>
  <c r="E66" i="14"/>
  <c r="G66" i="14" s="1"/>
  <c r="E103" i="14"/>
  <c r="G103" i="14" s="1"/>
  <c r="E111" i="14"/>
  <c r="G111" i="14" s="1"/>
  <c r="E138" i="14"/>
  <c r="G138" i="14" s="1"/>
  <c r="E163" i="14"/>
  <c r="G163" i="14" s="1"/>
  <c r="E63" i="14"/>
  <c r="G63" i="14" s="1"/>
  <c r="E154" i="14"/>
  <c r="G154" i="14" s="1"/>
  <c r="E110" i="14"/>
  <c r="G110" i="14" s="1"/>
  <c r="E136" i="14"/>
  <c r="G136" i="14" s="1"/>
  <c r="E162" i="14"/>
  <c r="G162" i="14" s="1"/>
  <c r="E149" i="14"/>
  <c r="G149" i="14" s="1"/>
  <c r="E90" i="14"/>
  <c r="G90" i="14" s="1"/>
  <c r="E123" i="14"/>
  <c r="G123" i="14" s="1"/>
  <c r="E118" i="14"/>
  <c r="G118" i="14" s="1"/>
  <c r="E38" i="14"/>
  <c r="G38" i="14" s="1"/>
  <c r="E93" i="14"/>
  <c r="G93" i="14" s="1"/>
  <c r="E131" i="14"/>
  <c r="G131" i="14" s="1"/>
  <c r="E160" i="14"/>
  <c r="G160" i="14" s="1"/>
  <c r="E71" i="14"/>
  <c r="G71" i="14" s="1"/>
  <c r="E92" i="14"/>
  <c r="G92" i="14" s="1"/>
  <c r="E142" i="14"/>
  <c r="G142" i="14" s="1"/>
  <c r="E195" i="14"/>
  <c r="G195" i="14" s="1"/>
  <c r="E151" i="14"/>
  <c r="G151" i="14" s="1"/>
  <c r="E50" i="14"/>
  <c r="G50" i="14" s="1"/>
  <c r="E199" i="14"/>
  <c r="G199" i="14" s="1"/>
  <c r="E83" i="14"/>
  <c r="G83" i="14" s="1"/>
  <c r="E117" i="14"/>
  <c r="G117" i="14" s="1"/>
  <c r="E95" i="14"/>
  <c r="G95" i="14" s="1"/>
  <c r="E176" i="14"/>
  <c r="G176" i="14" s="1"/>
  <c r="E182" i="14"/>
  <c r="G182" i="14" s="1"/>
  <c r="E157" i="14"/>
  <c r="G157" i="14" s="1"/>
  <c r="E34" i="14"/>
  <c r="G34" i="14" s="1"/>
  <c r="E181" i="14"/>
  <c r="G181" i="14" s="1"/>
  <c r="E156" i="14"/>
  <c r="G156" i="14" s="1"/>
  <c r="E155" i="14"/>
  <c r="G155" i="14" s="1"/>
  <c r="E153" i="14"/>
  <c r="G153" i="14" s="1"/>
  <c r="E185" i="14"/>
  <c r="G185" i="14" s="1"/>
  <c r="E52" i="14"/>
  <c r="G52" i="14" s="1"/>
  <c r="E147" i="14"/>
  <c r="G147" i="14" s="1"/>
  <c r="E179" i="14"/>
  <c r="G179" i="14" s="1"/>
  <c r="E37" i="14"/>
  <c r="G37" i="14" s="1"/>
  <c r="E184" i="14"/>
  <c r="G184" i="14" s="1"/>
  <c r="E127" i="14"/>
  <c r="G127" i="14" s="1"/>
  <c r="E108" i="14"/>
  <c r="G108" i="14" s="1"/>
  <c r="E124" i="14"/>
  <c r="G124" i="14" s="1"/>
  <c r="E148" i="14"/>
  <c r="G148" i="14" s="1"/>
  <c r="E187" i="14"/>
  <c r="G187" i="14" s="1"/>
  <c r="E98" i="14"/>
  <c r="G98" i="14" s="1"/>
  <c r="E84" i="14"/>
  <c r="G84" i="14" s="1"/>
  <c r="E159" i="14"/>
  <c r="G159" i="14" s="1"/>
  <c r="E68" i="14"/>
  <c r="G68" i="14" s="1"/>
  <c r="E193" i="14"/>
  <c r="G193" i="14" s="1"/>
  <c r="E104" i="14"/>
  <c r="G104" i="14" s="1"/>
  <c r="E141" i="14"/>
  <c r="G141" i="14" s="1"/>
  <c r="E41" i="14"/>
  <c r="G41" i="14" s="1"/>
  <c r="E64" i="14"/>
  <c r="G64" i="14" s="1"/>
  <c r="E49" i="14"/>
  <c r="G49" i="14" s="1"/>
  <c r="E40" i="14"/>
  <c r="G40" i="14" s="1"/>
  <c r="E143" i="14"/>
  <c r="G143" i="14" s="1"/>
  <c r="E146" i="14"/>
  <c r="G146" i="14" s="1"/>
  <c r="E189" i="14"/>
  <c r="G189" i="14" s="1"/>
  <c r="E175" i="14"/>
  <c r="G175" i="14" s="1"/>
  <c r="E48" i="14"/>
  <c r="G48" i="14" s="1"/>
  <c r="E87" i="14"/>
  <c r="G87" i="14" s="1"/>
  <c r="E200" i="14"/>
  <c r="G200" i="14" s="1"/>
  <c r="E96" i="14"/>
  <c r="G96" i="14" s="1"/>
  <c r="E47" i="14"/>
  <c r="G47" i="14" s="1"/>
  <c r="E125" i="14"/>
  <c r="G125" i="14" s="1"/>
  <c r="E202" i="14"/>
  <c r="G202" i="14" s="1"/>
  <c r="E158" i="14"/>
  <c r="G158" i="14" s="1"/>
  <c r="E196" i="14"/>
  <c r="G196" i="14" s="1"/>
  <c r="E54" i="14"/>
  <c r="G54" i="14" s="1"/>
  <c r="E65" i="14"/>
  <c r="G65" i="14" s="1"/>
  <c r="E140" i="14"/>
  <c r="G140" i="14" s="1"/>
  <c r="E35" i="14"/>
  <c r="G35" i="14" s="1"/>
  <c r="E42" i="14"/>
  <c r="G42" i="14" s="1"/>
  <c r="E114" i="14"/>
  <c r="G114" i="14" s="1"/>
  <c r="E204" i="14"/>
  <c r="G204" i="14" s="1"/>
  <c r="E197" i="14"/>
  <c r="G197" i="14" s="1"/>
  <c r="E115" i="14"/>
  <c r="G115" i="14" s="1"/>
  <c r="E106" i="14"/>
  <c r="G106" i="14" s="1"/>
  <c r="E107" i="14"/>
  <c r="G107" i="14" s="1"/>
  <c r="E161" i="14"/>
  <c r="G161" i="14" s="1"/>
  <c r="E130" i="14"/>
  <c r="G130" i="14" s="1"/>
  <c r="E177" i="14"/>
  <c r="G177" i="14" s="1"/>
  <c r="E192" i="14"/>
  <c r="G192" i="14" s="1"/>
  <c r="E91" i="14"/>
  <c r="G91" i="14" s="1"/>
  <c r="E188" i="14"/>
  <c r="G188" i="14" s="1"/>
  <c r="E70" i="14"/>
  <c r="G70" i="14" s="1"/>
  <c r="E97" i="14"/>
  <c r="G97" i="14" s="1"/>
  <c r="E55" i="14"/>
  <c r="G55" i="14" s="1"/>
  <c r="E88" i="14"/>
  <c r="G88" i="14" s="1"/>
  <c r="E144" i="14"/>
  <c r="G144" i="14" s="1"/>
  <c r="E72" i="14"/>
  <c r="G72" i="14" s="1"/>
  <c r="E152" i="14"/>
  <c r="G152" i="14" s="1"/>
  <c r="E150" i="14"/>
  <c r="G150" i="14" s="1"/>
  <c r="E105" i="14"/>
  <c r="G105" i="14" s="1"/>
  <c r="E126" i="14"/>
  <c r="G126" i="14" s="1"/>
  <c r="E73" i="14"/>
  <c r="G73" i="14" s="1"/>
  <c r="E137" i="14"/>
  <c r="G137" i="14" s="1"/>
  <c r="E39" i="14"/>
  <c r="G39" i="14" s="1"/>
  <c r="E201" i="14"/>
  <c r="G201" i="14" s="1"/>
  <c r="E86" i="14"/>
  <c r="G86" i="14" s="1"/>
  <c r="E36" i="14"/>
  <c r="G36" i="14" s="1"/>
  <c r="E139" i="14"/>
  <c r="G139" i="14" s="1"/>
  <c r="E56" i="14"/>
  <c r="G56" i="14" s="1"/>
  <c r="E51" i="14"/>
  <c r="G51" i="14" s="1"/>
  <c r="E116" i="14"/>
  <c r="G116" i="14" s="1"/>
  <c r="E203" i="14"/>
  <c r="G203" i="14" s="1"/>
  <c r="E128" i="14"/>
  <c r="G128" i="14" s="1"/>
  <c r="E58" i="14"/>
  <c r="G58" i="14" s="1"/>
  <c r="E194" i="14"/>
  <c r="G194" i="14" s="1"/>
  <c r="E67" i="14"/>
  <c r="G67" i="14" s="1"/>
  <c r="E112" i="14"/>
  <c r="G112" i="14" s="1"/>
  <c r="E69" i="14"/>
  <c r="G69" i="14" s="1"/>
  <c r="E174" i="14"/>
  <c r="G174" i="14" s="1"/>
  <c r="E113" i="14"/>
  <c r="G113" i="14" s="1"/>
  <c r="E129" i="14"/>
  <c r="G129" i="14" s="1"/>
  <c r="E180" i="14"/>
  <c r="G180" i="14" s="1"/>
  <c r="E94" i="14"/>
  <c r="G94" i="14" s="1"/>
  <c r="E85" i="14"/>
  <c r="G85" i="14" s="1"/>
  <c r="E74" i="14"/>
  <c r="G74" i="14" s="1"/>
  <c r="L19" i="13"/>
  <c r="I51" i="13"/>
  <c r="T79" i="23" l="1"/>
  <c r="V79" i="23" s="1"/>
  <c r="V89" i="23" s="1"/>
  <c r="M19" i="29"/>
  <c r="Q19" i="29" s="1"/>
  <c r="M19" i="13"/>
  <c r="L51" i="13"/>
  <c r="T89" i="23" l="1"/>
  <c r="N19" i="29"/>
  <c r="N31" i="29" s="1"/>
  <c r="M31" i="29"/>
  <c r="Q31" i="29" s="1"/>
  <c r="M51" i="13"/>
  <c r="R67" i="24" l="1"/>
  <c r="S67" i="24" s="1"/>
  <c r="R14" i="24"/>
  <c r="S14" i="24" s="1"/>
  <c r="S30" i="24" s="1"/>
  <c r="S83" i="24" l="1"/>
  <c r="T83" i="24" s="1"/>
  <c r="T67" i="24"/>
  <c r="T30" i="24"/>
  <c r="T14" i="24"/>
  <c r="S246" i="24" l="1"/>
  <c r="T246" i="24" l="1"/>
  <c r="S341" i="24"/>
  <c r="T341" i="24" s="1"/>
  <c r="J85" i="23" l="1"/>
  <c r="J86" i="23" s="1"/>
  <c r="H85" i="23"/>
  <c r="H89" i="23" s="1"/>
  <c r="I27" i="13"/>
  <c r="I28" i="13" s="1"/>
  <c r="B5" i="24"/>
  <c r="J89" i="23" l="1"/>
  <c r="H86" i="23"/>
  <c r="L85" i="23"/>
  <c r="L86" i="23" s="1"/>
  <c r="L89" i="23" s="1"/>
  <c r="L27" i="13"/>
  <c r="L58" i="13" s="1"/>
  <c r="I58" i="13"/>
  <c r="I60" i="13" s="1"/>
  <c r="M27" i="13" l="1"/>
  <c r="L28" i="13"/>
  <c r="I38" i="13" s="1"/>
  <c r="M58" i="13"/>
  <c r="L60" i="13"/>
  <c r="M60" i="13" s="1"/>
  <c r="M28" i="13" l="1"/>
</calcChain>
</file>

<file path=xl/sharedStrings.xml><?xml version="1.0" encoding="utf-8"?>
<sst xmlns="http://schemas.openxmlformats.org/spreadsheetml/2006/main" count="8120" uniqueCount="1837">
  <si>
    <t>Monthly_DailyCustomers_Forecast.RS</t>
  </si>
  <si>
    <t>Monthly_DailyCustomers_Forecast.RSVP</t>
  </si>
  <si>
    <t>Monthly_Sales_Forecast.RS</t>
  </si>
  <si>
    <t>BillDeter_RS.Tier_1</t>
  </si>
  <si>
    <t>BillDeter_RS.Tier_2</t>
  </si>
  <si>
    <t>Monthly_Sales_Forecast.RSVP</t>
  </si>
  <si>
    <t>Monthly_DailyCustomers_Forecast.RSD</t>
  </si>
  <si>
    <t>Monthly_Sales_Forecast.RSD</t>
  </si>
  <si>
    <t>BillDeter_RSD.Billing_kW</t>
  </si>
  <si>
    <t>Monthly_DailyCustomers_Forecast.CS</t>
  </si>
  <si>
    <t>Monthly_Sales_Forecast.CS</t>
  </si>
  <si>
    <t>Monthly_DailyCustomers_Forecast.GS</t>
  </si>
  <si>
    <t>Monthly_DailyCustomers_Forecast.GSUnMetered</t>
  </si>
  <si>
    <t>Monthly_DailyCustomers_Forecast.GST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</si>
  <si>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</si>
  <si>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</si>
  <si>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</si>
  <si>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</si>
  <si>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</si>
  <si>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BillDeter_GS.EmergRelay_GS</t>
  </si>
  <si>
    <t>BillDeter_GS.EmergRelay_GST</t>
  </si>
  <si>
    <t>Monthly_DailyCustomers_Forecast.GSD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</si>
  <si>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</si>
  <si>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</si>
  <si>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</si>
  <si>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</si>
  <si>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</si>
  <si>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</si>
  <si>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</si>
  <si>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</si>
  <si>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</si>
  <si>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</si>
  <si>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</si>
  <si>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</si>
  <si>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</si>
  <si>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</si>
  <si>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</si>
  <si>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</si>
  <si>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</si>
  <si>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</si>
  <si>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</si>
  <si>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</si>
  <si>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Monthly_DailyCustomers_Forecast.GSDT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</si>
  <si>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</si>
  <si>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</si>
  <si>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</si>
  <si>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</si>
  <si>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</si>
  <si>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</si>
  <si>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</si>
  <si>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</si>
  <si>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</si>
  <si>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</si>
  <si>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</si>
  <si>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</si>
  <si>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</si>
  <si>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</si>
  <si>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</si>
  <si>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</si>
  <si>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</si>
  <si>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</si>
  <si>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</si>
  <si>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</si>
  <si>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</si>
  <si>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</si>
  <si>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</si>
  <si>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</si>
  <si>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</si>
  <si>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</si>
  <si>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</si>
  <si>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</si>
  <si>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</si>
  <si>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</si>
  <si>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</si>
  <si>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</si>
  <si>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</si>
  <si>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</si>
  <si>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</si>
  <si>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Monthly_DailyCustomers_Forecast.GSD_Option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</si>
  <si>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</si>
  <si>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</si>
  <si>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</si>
  <si>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</si>
  <si>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</si>
  <si>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</si>
  <si>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</si>
  <si>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</si>
  <si>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BillDeter_GSD_Option.TxOwn_kwh_PRI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</si>
  <si>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</si>
  <si>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</si>
  <si>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</si>
  <si>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</si>
  <si>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</si>
  <si>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</si>
  <si>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</si>
  <si>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</si>
  <si>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</si>
  <si>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</si>
  <si>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</si>
  <si>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</si>
  <si>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</si>
  <si>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</si>
  <si>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</si>
  <si>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</si>
  <si>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</si>
  <si>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</si>
  <si>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</si>
  <si>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</si>
  <si>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</si>
  <si>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</si>
  <si>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</si>
  <si>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</si>
  <si>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</si>
  <si>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</si>
  <si>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</si>
  <si>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</si>
  <si>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</si>
  <si>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</si>
  <si>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</si>
  <si>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</si>
  <si>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</si>
  <si>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</si>
  <si>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</si>
  <si>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</si>
  <si>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</si>
  <si>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</si>
  <si>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</si>
  <si>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</si>
  <si>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</si>
  <si>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</si>
  <si>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</si>
  <si>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</si>
  <si>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</si>
  <si>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</si>
  <si>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</si>
  <si>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</si>
  <si>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</si>
  <si>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</si>
  <si>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</si>
  <si>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</si>
  <si>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</si>
  <si>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</si>
  <si>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</si>
  <si>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</si>
  <si>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</si>
  <si>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</si>
  <si>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</si>
  <si>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</si>
  <si>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</si>
  <si>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</si>
  <si>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</si>
  <si>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</si>
  <si>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</si>
  <si>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</si>
  <si>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</si>
  <si>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</si>
  <si>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</si>
  <si>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</si>
  <si>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</si>
  <si>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</si>
  <si>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</si>
  <si>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</si>
  <si>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</si>
  <si>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</si>
  <si>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</si>
  <si>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</si>
  <si>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</si>
  <si>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</si>
  <si>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</si>
  <si>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</si>
  <si>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</si>
  <si>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</si>
  <si>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</si>
  <si>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</si>
  <si>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</si>
  <si>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</si>
  <si>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</si>
  <si>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</si>
  <si>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</si>
  <si>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</si>
  <si>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</si>
  <si>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</si>
  <si>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</si>
  <si>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</si>
  <si>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</si>
  <si>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</si>
  <si>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</si>
  <si>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</si>
  <si>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</si>
  <si>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</si>
  <si>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</si>
  <si>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</si>
  <si>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</si>
  <si>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</si>
  <si>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</si>
  <si>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</si>
  <si>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</si>
  <si>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</si>
  <si>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</si>
  <si>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</si>
  <si>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</si>
  <si>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BillDeter_GSLD_PR.DailyCustomer</t>
  </si>
  <si>
    <t>BillDeter_GSLD_PR.Energy</t>
  </si>
  <si>
    <t>BillDeter_GSLD_PR.Billing_kW</t>
  </si>
  <si>
    <t>BillDeter_GSLD_PR.EmergRelay</t>
  </si>
  <si>
    <t>BillDeter_GSLD_PR.MtrLvlDisc</t>
  </si>
  <si>
    <t>BillDeter_GSLD_PR.kVarh_Chg_kw</t>
  </si>
  <si>
    <t>BillDeter_GSLD_PR.kVarh_Crd_kw</t>
  </si>
  <si>
    <t>BillDeter_GSLD_SU.DailyCustomer</t>
  </si>
  <si>
    <t>BillDeter_GSLD_SU.Energy</t>
  </si>
  <si>
    <t>BillDeter_GSLD_SU.Billing_kw</t>
  </si>
  <si>
    <t>BillDeter_GSLD_SU.EmergRelay</t>
  </si>
  <si>
    <t>BillDeter_GSLD_SU.MtrLvlDisc</t>
  </si>
  <si>
    <t>BillDeter_GSLD_SU.kVarh_Chg_kw</t>
  </si>
  <si>
    <t>BillDeter_GSLD_SU.kVarh_Crd_kw</t>
  </si>
  <si>
    <t>BillDeter_GSLDT_PR.Daily Customer</t>
  </si>
  <si>
    <t>BillDeter_GSLDT_PR.CustOwned</t>
  </si>
  <si>
    <t>BillDeter_GSLDT_PR.Energy</t>
  </si>
  <si>
    <t>BillDeter_GSLDT_PR.Energy_OnPk</t>
  </si>
  <si>
    <t>BillDeter_GSLDT_PR.Energy_OffPk</t>
  </si>
  <si>
    <t>BillDeter_GSLDT_PR.Billing_kW</t>
  </si>
  <si>
    <t>BillDeter_GSLDT_PR.Peak_kw</t>
  </si>
  <si>
    <t>BillDeter_GSLDT_PR.EmergRelay</t>
  </si>
  <si>
    <t>BillDeter_GSLDT_PR.MtrLvlDisc</t>
  </si>
  <si>
    <t>BillDeter_GSLDT_PR.kVarh_Chg_kw</t>
  </si>
  <si>
    <t>BillDeter_GSLDT_PR.kVarh_Crd_kw</t>
  </si>
  <si>
    <t>BillDeter_GSLDT_SU.DailyCustomer</t>
  </si>
  <si>
    <t>BillDeter_GSLDT_SU.Energy</t>
  </si>
  <si>
    <t>BillDeter_GSLDT_SU.Energy_OnPk</t>
  </si>
  <si>
    <t>BillDeter_GSLDT_SU.Energy_OffPk</t>
  </si>
  <si>
    <t>BillDeter_GSLDT_SU.Billing_kW</t>
  </si>
  <si>
    <t>BillDeter_GSLDT_SU.Peak_kw</t>
  </si>
  <si>
    <t>BillDeter_GSLDT_SU.EmergRelay</t>
  </si>
  <si>
    <t>BillDeter_GSLDT_SU.MtrLvlDisc</t>
  </si>
  <si>
    <t>BillDeter_GSLDT_SU.kVarh_Chg_kw</t>
  </si>
  <si>
    <t>BillDeter_GSLDT_SU.kVarh_Crd_kw</t>
  </si>
  <si>
    <t>Monthly_Customer_Forecast.SBLDPR</t>
  </si>
  <si>
    <t>Monthly_Sales_Forecast.SBLDPR</t>
  </si>
  <si>
    <t>BillDeter_SBLDPR.EmergRelay</t>
  </si>
  <si>
    <t>BillDeter_SBLDPR.MtrLvlDisc_PRI_BillDeter</t>
  </si>
  <si>
    <t>BillDeter_SBLDPR.kVarh_Chg_kw</t>
  </si>
  <si>
    <t>BillDeter_SBLDPR.kVarh_Crd_kw</t>
  </si>
  <si>
    <t>BillDeter_SBLDPR.Energy_Supp</t>
  </si>
  <si>
    <t>BillDeter_SBLDPR.SUPP_Billing_kw</t>
  </si>
  <si>
    <t>BillDeter_SBLDPR.Energy_SB</t>
  </si>
  <si>
    <t>BillDeter_SBLDPR.SB_LFRC_kw</t>
  </si>
  <si>
    <t>BillDeter_SBLDPR.SB_PSRC_kw</t>
  </si>
  <si>
    <t>BillDeter_SBLDPR.SB_PSDC_kw</t>
  </si>
  <si>
    <t>Monthly_Customer_Forecast.SBLDSU</t>
  </si>
  <si>
    <t>Monthly_Sales_Forecast.SBLDSU</t>
  </si>
  <si>
    <t>BillDeter_SBLDSU.EmergRelay</t>
  </si>
  <si>
    <t>BillDeter_SBLDSU.MtrLvlDisc_SUB BillDeter</t>
  </si>
  <si>
    <t>BillDeter_SBLDSU.kVarh_Chg_kw</t>
  </si>
  <si>
    <t>BillDeter_SBLDSU.kVarh_Crd_kw</t>
  </si>
  <si>
    <t>BillDeter_SBLDSU.Energy_Supp</t>
  </si>
  <si>
    <t>BillDeter_SBLDSU.SUPP_Billing_kw</t>
  </si>
  <si>
    <t>BillDeter_SBLDSU.Energy_SB</t>
  </si>
  <si>
    <t>BillDeter_SBLDSU.SB_LFRC_kw</t>
  </si>
  <si>
    <t>BillDeter_SBLDSU.SB_PSRC_kw</t>
  </si>
  <si>
    <t>BillDeter_SBLDSU.SB_PSDC_kw</t>
  </si>
  <si>
    <t>Monthly_DailyCustomers_Forecast.SBLDT_PR</t>
  </si>
  <si>
    <t>BillDeter_SBLDT_PR.Energy</t>
  </si>
  <si>
    <t>BillDeter_SBLDT_PR.EmergRelay</t>
  </si>
  <si>
    <t>BillDeter_SBLDT_PR.MtrLvlDisc</t>
  </si>
  <si>
    <t>BillDeter_SBLDT_PR.kVarh_Chg_kw</t>
  </si>
  <si>
    <t>BillDeter_SBLDT_PR.kVarh_Crd_kw</t>
  </si>
  <si>
    <t>BillDeter_SBLDT_PR.Energy_Supp</t>
  </si>
  <si>
    <t>BillDeter_SBLDT_PR.Energy_SUPP_OnPk</t>
  </si>
  <si>
    <t>BillDeter_SBLDT_PR.Energy_SUPP_OffPk</t>
  </si>
  <si>
    <t>BillDeter_SBLDT_PR.SUPP_Billing_kw</t>
  </si>
  <si>
    <t>BillDeter_SBLDT_PR.SUPP_Peak_kw</t>
  </si>
  <si>
    <t>BillDeter_SBLDT_PR.Energy_SB</t>
  </si>
  <si>
    <t>BillDeter_SBLDT_PR.Energy_SB_OnPk</t>
  </si>
  <si>
    <t>BillDeter_SBLDT_PR.Energy_SB_OffPk</t>
  </si>
  <si>
    <t>BillDeter_SBLDT_PR.SB_LFRC_kw</t>
  </si>
  <si>
    <t>BillDeter_SBLDT_PR.SB_PSRC_kw</t>
  </si>
  <si>
    <t>BillDeter_SBLDT_PR.SB_PSDC_kw</t>
  </si>
  <si>
    <t>Monthly_DailyCustomers_Forecast.SBLDT_SU</t>
  </si>
  <si>
    <t>BillDeter_SBLDT_SU.Energy</t>
  </si>
  <si>
    <t>BillDeter_SBLDT_SU.EmergRelay</t>
  </si>
  <si>
    <t>BillDeter_SBLDT_SU.MtrLvlDisc</t>
  </si>
  <si>
    <t>BillDeter_SBLDT_SU.kVarh_Chg_kw</t>
  </si>
  <si>
    <t>BillDeter_SBLDT_SU.kVarh_Crd_kw</t>
  </si>
  <si>
    <t>BillDeter_SBLDT_SU.Energy_Supp</t>
  </si>
  <si>
    <t>BillDeter_SBLDT_SU.Energy_SUPP_OnPk</t>
  </si>
  <si>
    <t>BillDeter_SBLDT_SU.Energy_SUPP_OffPk</t>
  </si>
  <si>
    <t>BillDeter_SBLDT_SU.SUPP_Billing_kw</t>
  </si>
  <si>
    <t>BillDeter_SBLDT_SU.SUPP_Peak_kw</t>
  </si>
  <si>
    <t>BillDeter_SBLDT_SU.Energy_SB</t>
  </si>
  <si>
    <t>BillDeter_SBLDT_SU.Energy_SB_OnPk</t>
  </si>
  <si>
    <t>BillDeter_SBLDT_SU.Energy_SB_OffPk</t>
  </si>
  <si>
    <t>BillDeter_SBLDT_SU.SB_LFRC_kw</t>
  </si>
  <si>
    <t>BillDeter_SBLDT_SU.SB_PSRC_kw</t>
  </si>
  <si>
    <t>BillDeter_SBLDT_SU.SB_PSDC_kw</t>
  </si>
  <si>
    <t>Monthly_DailyCustomers_Forecast.LS1</t>
  </si>
  <si>
    <t>Monthly_DailyCustomers_Forecast.LS1Metered</t>
  </si>
  <si>
    <t>Fcst_LS1_kwh.LS1_Energy</t>
  </si>
  <si>
    <t>Fcst_LS1_Metered_kwh.LS1_Energy</t>
  </si>
  <si>
    <t>Fcst_LS2_kwh.LS2_Energy</t>
  </si>
  <si>
    <t>Fcst_LS2_Metered_kwh.LS2_Energy</t>
  </si>
  <si>
    <t>SunSelect_kWh.RS_Tier1</t>
  </si>
  <si>
    <t>SunSelect_kWh.GS</t>
  </si>
  <si>
    <t>SunSelect_kWh.GSD_Secondary</t>
  </si>
  <si>
    <t>GSDR_kW</t>
  </si>
  <si>
    <t>Recap Schedules:  E-13a</t>
  </si>
  <si>
    <t>SCHEDULE E-13c</t>
  </si>
  <si>
    <t>BASE REVENUE BY RATE SCHEDULE - CALCULATIONS</t>
  </si>
  <si>
    <t>FLORIDA PUBLIC SERVICE COMMISSION</t>
  </si>
  <si>
    <t xml:space="preserve">                       EXPLANATION:</t>
  </si>
  <si>
    <t xml:space="preserve">                   Type of data shown:</t>
  </si>
  <si>
    <t>COMPANY: TAMPA ELECTRIC COMPANY</t>
  </si>
  <si>
    <t>Witness:  J. M. Williams</t>
  </si>
  <si>
    <t xml:space="preserve">                  Rate Schedule</t>
  </si>
  <si>
    <t>RS, RSVP-1</t>
  </si>
  <si>
    <t>Line</t>
  </si>
  <si>
    <t>Type of</t>
  </si>
  <si>
    <t>Present Revenue Calculation</t>
  </si>
  <si>
    <t>Proposed Revenue Calculation</t>
  </si>
  <si>
    <t>Revenue</t>
  </si>
  <si>
    <t>Revenue Percent</t>
  </si>
  <si>
    <t>No.</t>
  </si>
  <si>
    <t>Charges</t>
  </si>
  <si>
    <t>Units</t>
  </si>
  <si>
    <t>Charge/Unit</t>
  </si>
  <si>
    <t>$ Revenue</t>
  </si>
  <si>
    <t>Difference</t>
  </si>
  <si>
    <t>Increase</t>
  </si>
  <si>
    <t>Basic Service Charge:</t>
  </si>
  <si>
    <t>Standard</t>
  </si>
  <si>
    <t>Days</t>
  </si>
  <si>
    <t xml:space="preserve"> RSVP-1</t>
  </si>
  <si>
    <t xml:space="preserve">Total </t>
  </si>
  <si>
    <t xml:space="preserve"> Total Days</t>
  </si>
  <si>
    <t xml:space="preserve"> Energy Charge:</t>
  </si>
  <si>
    <t>First 1,000 kWh</t>
  </si>
  <si>
    <t>All additional kWh</t>
  </si>
  <si>
    <t>Total</t>
  </si>
  <si>
    <t xml:space="preserve">Total Base Revenue: </t>
  </si>
  <si>
    <t>GS, GST</t>
  </si>
  <si>
    <t>Standard Metered</t>
  </si>
  <si>
    <t>Standard Unmetered</t>
  </si>
  <si>
    <t>T-O-D</t>
  </si>
  <si>
    <t>Total Days</t>
  </si>
  <si>
    <t>Energy Charge:</t>
  </si>
  <si>
    <t>T-O-D On-Peak</t>
  </si>
  <si>
    <t>T-O-D Off-Peak</t>
  </si>
  <si>
    <t>Emergency Relay Charge:</t>
  </si>
  <si>
    <t>RS/RSVP</t>
  </si>
  <si>
    <t>Current Rates</t>
  </si>
  <si>
    <t>Basic Charge</t>
  </si>
  <si>
    <t xml:space="preserve">   Standard</t>
  </si>
  <si>
    <t>RSVP</t>
  </si>
  <si>
    <t>Tier 1</t>
  </si>
  <si>
    <t>Tier 2</t>
  </si>
  <si>
    <t>GS/GST</t>
  </si>
  <si>
    <t xml:space="preserve">   Standard Metered</t>
  </si>
  <si>
    <t xml:space="preserve">    Standard Unmetered</t>
  </si>
  <si>
    <t xml:space="preserve">   Time-of-Day</t>
  </si>
  <si>
    <t xml:space="preserve">   Time-of-Day  On-Peak</t>
  </si>
  <si>
    <t xml:space="preserve">   Time-of-Day Off-Peak</t>
  </si>
  <si>
    <t>CS</t>
  </si>
  <si>
    <t xml:space="preserve">    Standard Secondary</t>
  </si>
  <si>
    <t xml:space="preserve">   Standard Sceondary</t>
  </si>
  <si>
    <t>GSD/GSDT/GSDO</t>
  </si>
  <si>
    <t xml:space="preserve">   Standard - Secondary</t>
  </si>
  <si>
    <t xml:space="preserve">   Standard - Primary</t>
  </si>
  <si>
    <t xml:space="preserve">   Standard - Subtrans</t>
  </si>
  <si>
    <t>GSDO</t>
  </si>
  <si>
    <t xml:space="preserve">    Optional - Secondary</t>
  </si>
  <si>
    <t xml:space="preserve">    Optional - Primary</t>
  </si>
  <si>
    <t>Optional -Subtrans</t>
  </si>
  <si>
    <t xml:space="preserve">    Time-of-Day - Secondary</t>
  </si>
  <si>
    <t xml:space="preserve">    Time-of-Day - Primary</t>
  </si>
  <si>
    <t xml:space="preserve">    Time-of-Day - Subtrans</t>
  </si>
  <si>
    <t xml:space="preserve">    Time-of-Day Secondary - On-Peak</t>
  </si>
  <si>
    <t xml:space="preserve">    Time-of-Day Primary - On-Peak</t>
  </si>
  <si>
    <t xml:space="preserve">    Time-of-Day Subtrans - On-Peak</t>
  </si>
  <si>
    <t xml:space="preserve">    Time-of-Day Secondary - Off-Peak</t>
  </si>
  <si>
    <t xml:space="preserve">    Time-of-Day Primary  - Off-Peak</t>
  </si>
  <si>
    <t xml:space="preserve">    Time-of-Day Subtrans - Off Peak</t>
  </si>
  <si>
    <t xml:space="preserve"> Demand Charge:</t>
  </si>
  <si>
    <t xml:space="preserve">   T-O-D Billing - Secondary</t>
  </si>
  <si>
    <t xml:space="preserve">   T-O-D Billing - Primary</t>
  </si>
  <si>
    <t xml:space="preserve">    T-O-D Billing - Subtrans</t>
  </si>
  <si>
    <t xml:space="preserve">   T-O-D Peak - Secondary</t>
  </si>
  <si>
    <t xml:space="preserve">   T-O-D Peak - Primary</t>
  </si>
  <si>
    <t xml:space="preserve">    T-O-D Peak - Subtrans</t>
  </si>
  <si>
    <t>Meter Level Discount:</t>
  </si>
  <si>
    <t xml:space="preserve">   Standard Primary</t>
  </si>
  <si>
    <t xml:space="preserve">    Optional Primary</t>
  </si>
  <si>
    <t xml:space="preserve">   Time-of-Day Primary</t>
  </si>
  <si>
    <t>Deliver Voltage Credit ( transformer ownership credit )</t>
  </si>
  <si>
    <t xml:space="preserve">   Optional Primary</t>
  </si>
  <si>
    <t xml:space="preserve">   Standard Secondary</t>
  </si>
  <si>
    <t xml:space="preserve">   Optional Secondary</t>
  </si>
  <si>
    <t xml:space="preserve">   Time-of-Day Secondary</t>
  </si>
  <si>
    <t>SBD/SBDT</t>
  </si>
  <si>
    <t xml:space="preserve">   Standard - Subtransmission</t>
  </si>
  <si>
    <t xml:space="preserve">    Time-of-Day Secondary</t>
  </si>
  <si>
    <t xml:space="preserve">    Time-of-Day Primary</t>
  </si>
  <si>
    <t xml:space="preserve">    Time-of-Day Subtrans.</t>
  </si>
  <si>
    <t>Energy Charge - Supplemental:</t>
  </si>
  <si>
    <t xml:space="preserve">   TOD Secondary - On-Peak</t>
  </si>
  <si>
    <t xml:space="preserve">   TOD Primary - On-peak</t>
  </si>
  <si>
    <t xml:space="preserve">   TOD Subtransmission - On-peak</t>
  </si>
  <si>
    <t xml:space="preserve">   TOD Secondary - Off-Peak</t>
  </si>
  <si>
    <t xml:space="preserve">   TOD Primary - Off-peak</t>
  </si>
  <si>
    <t xml:space="preserve">   TOD Subtransmission - Off-peak</t>
  </si>
  <si>
    <t>Energy Charge - Standby:</t>
  </si>
  <si>
    <t xml:space="preserve">   Standard-Secondary</t>
  </si>
  <si>
    <t xml:space="preserve">   Standard-Primary</t>
  </si>
  <si>
    <t xml:space="preserve">   Standard-Subtransmission</t>
  </si>
  <si>
    <t>Demand Charge - Supplemental:</t>
  </si>
  <si>
    <t xml:space="preserve">    Time-of-Day Secondary - Billing</t>
  </si>
  <si>
    <t xml:space="preserve">    Time-of-Day Primary  -  Billing</t>
  </si>
  <si>
    <t xml:space="preserve">    Time-of-Day Subtransmission - Billing</t>
  </si>
  <si>
    <t xml:space="preserve">    Time-of-Day Secondary - Peak</t>
  </si>
  <si>
    <t xml:space="preserve">    Time-of-Day Primary  -  Peak</t>
  </si>
  <si>
    <t xml:space="preserve">    Time-of-Day Subtransmission - Peak</t>
  </si>
  <si>
    <t>Demand Charge - Standby:</t>
  </si>
  <si>
    <t xml:space="preserve">    Std. Secondary - Facilities Reservation</t>
  </si>
  <si>
    <t xml:space="preserve">    Std. Primary - Facilities Reservation</t>
  </si>
  <si>
    <t xml:space="preserve">    Std. Subtrans. - Facilities Reservation</t>
  </si>
  <si>
    <t xml:space="preserve">    Std. Secondary - Power Supply Reservation</t>
  </si>
  <si>
    <t xml:space="preserve">    Std. Primary - Power Supply Reservation</t>
  </si>
  <si>
    <t xml:space="preserve">    Std. Subtrans. - Power Supply Reservation</t>
  </si>
  <si>
    <t xml:space="preserve">    Std. Secondary - Power Supply Demand</t>
  </si>
  <si>
    <t xml:space="preserve">    Std. Primary - Power Supply Demand</t>
  </si>
  <si>
    <t xml:space="preserve">    Std. Subtrans. - Power Supply Demand</t>
  </si>
  <si>
    <t xml:space="preserve">    TOD Secondary - Facilities Reservation</t>
  </si>
  <si>
    <t xml:space="preserve">    TOD Primary - Facilities Reservation</t>
  </si>
  <si>
    <t xml:space="preserve">    TOD Subtrans. - Facilities Reservation</t>
  </si>
  <si>
    <t xml:space="preserve">    TOD Secondary - Power Supply Reservation</t>
  </si>
  <si>
    <t xml:space="preserve">    TOD Primary - Power Supply Reservation</t>
  </si>
  <si>
    <t xml:space="preserve">    TOD Subtrans. - Power Supply Reservation</t>
  </si>
  <si>
    <t xml:space="preserve">    TOD Secondary - Power Supply Demand</t>
  </si>
  <si>
    <t xml:space="preserve">    TOD Primary - Power Supply Demand</t>
  </si>
  <si>
    <t xml:space="preserve">    TOD Subtrans. - Power Supply Demand</t>
  </si>
  <si>
    <t>Meter Level Discount - Supplemental &amp; Standby:</t>
  </si>
  <si>
    <t xml:space="preserve">   Time-of-Day Subtrans.</t>
  </si>
  <si>
    <t>Delivery Voltage Credit(Transformer Ownership Discount) - Supplemental:</t>
  </si>
  <si>
    <t>Delivery Voltage Credit (Transformer Ownership Discount) - Standby:</t>
  </si>
  <si>
    <t xml:space="preserve">    Standard Primary</t>
  </si>
  <si>
    <t xml:space="preserve">    Standard-Subtrans.</t>
  </si>
  <si>
    <t>Emergency Relay Charge - Supplemental &amp; Standby:</t>
  </si>
  <si>
    <t>Power Factor Charge:</t>
  </si>
  <si>
    <t>Power Factor Credit:</t>
  </si>
  <si>
    <t xml:space="preserve">   Time-of-Day - Subtrans</t>
  </si>
  <si>
    <t>GSLDPR/GSLDTPR</t>
  </si>
  <si>
    <t>Demand Charge:</t>
  </si>
  <si>
    <t xml:space="preserve">    Time-of-Day Primary- Billing</t>
  </si>
  <si>
    <t xml:space="preserve">    Time-of-Day Primary- Pk Billing</t>
  </si>
  <si>
    <t>Emergency Relay Service</t>
  </si>
  <si>
    <t>GSLDSU/GSLDTSU</t>
  </si>
  <si>
    <t xml:space="preserve">   Standard Subtrans.</t>
  </si>
  <si>
    <t xml:space="preserve">    Time-of-Day Subtrans. - On-Peak</t>
  </si>
  <si>
    <t xml:space="preserve">    Time-of-Day Subtrans. - Off-Peak</t>
  </si>
  <si>
    <t xml:space="preserve">    Time-of-Day Subtrans.-Billing</t>
  </si>
  <si>
    <t xml:space="preserve">    Time-of-Day Subtrans.-Pk Billing</t>
  </si>
  <si>
    <t>SBLDPR/SBLDTPR</t>
  </si>
  <si>
    <t xml:space="preserve">  Standard Primary</t>
  </si>
  <si>
    <t xml:space="preserve">   Standard -Pimary </t>
  </si>
  <si>
    <t xml:space="preserve">   Time-of-Day Primary - Billing</t>
  </si>
  <si>
    <t xml:space="preserve">   Time-of-Day Primary - Pk Billing</t>
  </si>
  <si>
    <t xml:space="preserve">    Std. Local Facilities Res. - Pri.</t>
  </si>
  <si>
    <t xml:space="preserve">    Std. Power Supply(Bulk Transm.) Reservation -Pri.</t>
  </si>
  <si>
    <t xml:space="preserve">    Std. Power supply (Bulk Transmission) Demand - Pri</t>
  </si>
  <si>
    <t xml:space="preserve">    TOD Local Facilities Res. - Pri.</t>
  </si>
  <si>
    <t xml:space="preserve">    TOD Power Supply(Bulk Transm.) Reservation -Pri.</t>
  </si>
  <si>
    <t xml:space="preserve">    TOD Power supply (Bulk Transmission) Demand - Pri</t>
  </si>
  <si>
    <t xml:space="preserve">   Time-of-Day  Primary</t>
  </si>
  <si>
    <t>SBLDSU/SBLDTSU</t>
  </si>
  <si>
    <t xml:space="preserve">   Time-of-Day Subtransmission</t>
  </si>
  <si>
    <t xml:space="preserve">    Standard-Subtransmission </t>
  </si>
  <si>
    <t xml:space="preserve">   Time-of-Day Subtransmission - Billing</t>
  </si>
  <si>
    <t xml:space="preserve">   Time-of-Day Subtransmission - Pk Billing</t>
  </si>
  <si>
    <t xml:space="preserve">    Std. Local Facilities Res. - Subtrans.</t>
  </si>
  <si>
    <t xml:space="preserve">    Std. Bulk Transm. Reservation -Subtrans.</t>
  </si>
  <si>
    <t xml:space="preserve">    Std. Bulk Transmission Demand - Subtrans.</t>
  </si>
  <si>
    <t xml:space="preserve">    TOD Local Facilities Res. - Subtrans.</t>
  </si>
  <si>
    <t xml:space="preserve">    TOD Bulk Transm. Reservation -Subtrans.</t>
  </si>
  <si>
    <t xml:space="preserve">    TOD Bulk Transmission Demand - Subtrans.</t>
  </si>
  <si>
    <t>LS1/LS2</t>
  </si>
  <si>
    <t>Basic Charge  (Metered St. Lts):</t>
  </si>
  <si>
    <t>RS Tier 1 Energy Charge</t>
  </si>
  <si>
    <t>RS Tier 2 Energy Charge</t>
  </si>
  <si>
    <t>GS Metered Energy Charge</t>
  </si>
  <si>
    <t>GS Unmetered Energy Charge</t>
  </si>
  <si>
    <t>GST On-Peak Energy Charge</t>
  </si>
  <si>
    <t>GST Off-Peak Energy Charge</t>
  </si>
  <si>
    <t>Original Title</t>
  </si>
  <si>
    <t>GS Emergency Relay Charge</t>
  </si>
  <si>
    <t>GST Emergency Relay Charge</t>
  </si>
  <si>
    <t>CS Energy Charge</t>
  </si>
  <si>
    <t>GSD Energy Charge Secondary</t>
  </si>
  <si>
    <t>GSD Energy Charge Primary</t>
  </si>
  <si>
    <t>GSD Energy Charge Subtransmission</t>
  </si>
  <si>
    <t>Description</t>
  </si>
  <si>
    <t>LS Energy Charge</t>
  </si>
  <si>
    <t>GSDO Energy Charge Secondary</t>
  </si>
  <si>
    <t>GSDO Energy Charge Primary</t>
  </si>
  <si>
    <t>GSDO Energy Charge Subtransmission</t>
  </si>
  <si>
    <t>GSDT On-Peak Energy Charge Secondary</t>
  </si>
  <si>
    <t>GSDT On-Peak Energy Charge Primary</t>
  </si>
  <si>
    <t>GSDT Off-Peak Energy Charge Secondary</t>
  </si>
  <si>
    <t>GSDT On-Peak Energy Charge Subtransmission</t>
  </si>
  <si>
    <t>GSDT Off-Peak Energy Charge Primary</t>
  </si>
  <si>
    <t>GSDT Off-Peak Energy Charge Subtransmission</t>
  </si>
  <si>
    <t>GSD Demand Charge Primary</t>
  </si>
  <si>
    <t>GSD Demand Charge Subtransmission</t>
  </si>
  <si>
    <t>GSDO Demand Charge Secondary</t>
  </si>
  <si>
    <t>GSDO Demand Charge Primary</t>
  </si>
  <si>
    <t>GSDO Demand Charge Subtransmission</t>
  </si>
  <si>
    <t>GSD Demand Charge Secondary</t>
  </si>
  <si>
    <t>GSD Meter Level Discount Primary</t>
  </si>
  <si>
    <t>GSD Meter Level Discount Subtransmission</t>
  </si>
  <si>
    <t>GSDO Meter Level Discount Primary</t>
  </si>
  <si>
    <t>GSDO Meter Level Discount Subtransmission</t>
  </si>
  <si>
    <t>GSDT Meter Level Discount Primary</t>
  </si>
  <si>
    <t>GSDT Meter Level Discount Subtransmission</t>
  </si>
  <si>
    <t>GSD Delivery Voltage Credit Subtransmission</t>
  </si>
  <si>
    <t>GSDO Delivery Voltage Credit Primary</t>
  </si>
  <si>
    <t>GSDO Delivery Voltage Credit Subtransmission</t>
  </si>
  <si>
    <t>GSDT Delivery Voltage Credit Primary</t>
  </si>
  <si>
    <t>GSDT Delivery Voltage Credit Subtransmission</t>
  </si>
  <si>
    <t>GSD Delivery Voltage Credit Primary</t>
  </si>
  <si>
    <t>GSD Emergency Relay Charge Primary</t>
  </si>
  <si>
    <t>GSD Emergency Relay Charge Subtransmission</t>
  </si>
  <si>
    <t>GSDO Emergency Relay Charge Secondary</t>
  </si>
  <si>
    <t>GSDO Emergency Relay Charge Primary</t>
  </si>
  <si>
    <t>GSDO Emergency Relay Charge Subtransmission</t>
  </si>
  <si>
    <t>GSDT Emergency Relay Charge Secondary</t>
  </si>
  <si>
    <t>GSDT Emergency Relay Charge Primary</t>
  </si>
  <si>
    <t>GSDT Emergency Relay Charge Subtransmission</t>
  </si>
  <si>
    <t>GSD Emergency Relay Charge Secondary</t>
  </si>
  <si>
    <t>RS Basic Service Charge</t>
  </si>
  <si>
    <t>RSVP Basic Service Charge</t>
  </si>
  <si>
    <t>GS Metered Basic Service Charge</t>
  </si>
  <si>
    <t>GS Unmetered Basic Service Charge</t>
  </si>
  <si>
    <t>GST Basic Service Charge</t>
  </si>
  <si>
    <t>CS Basic Service Charge</t>
  </si>
  <si>
    <t>GSD Basic Service Charge Secondary</t>
  </si>
  <si>
    <t>GSD Basic Service Charge Primary</t>
  </si>
  <si>
    <t>GSD Basic Service Charge Subtransmission</t>
  </si>
  <si>
    <t>GSDO Basic Service Charge Secondary</t>
  </si>
  <si>
    <t>GSDO Basic Service Charge Primary</t>
  </si>
  <si>
    <t>GSDO Basic Service Charge Subtransmission</t>
  </si>
  <si>
    <t>GSDT Basic Service Charge Secondary</t>
  </si>
  <si>
    <t>GSDT Basic Service Charge Primary</t>
  </si>
  <si>
    <t>GSDT Basic Service Charge Subtransmission</t>
  </si>
  <si>
    <t>LS Basic Service Charge</t>
  </si>
  <si>
    <t>RSVP Energy Charge</t>
  </si>
  <si>
    <t>Billing Determinant</t>
  </si>
  <si>
    <t>Rate Description</t>
  </si>
  <si>
    <t>SBD Basic Service Charge Secondary</t>
  </si>
  <si>
    <t>SBD Basic Service Charge Primary</t>
  </si>
  <si>
    <t>SBD Basic Service Charge Subtransmission</t>
  </si>
  <si>
    <t>SBDT Basic Service Charge Secondary</t>
  </si>
  <si>
    <t>SBDT Basic Service Charge Primary</t>
  </si>
  <si>
    <t>SBDT Basic Service Charge Subtransmission</t>
  </si>
  <si>
    <t>SBLDSU Basic Service Charge</t>
  </si>
  <si>
    <t>SBLDTSU Basic Service Charge</t>
  </si>
  <si>
    <t>SBLDSU Supplemental Energy Charge</t>
  </si>
  <si>
    <t>SBLDTSU Supplemental On-Peak Energy Charge</t>
  </si>
  <si>
    <t>SBLDTSU Supplemental Off-Peak Energy Charge</t>
  </si>
  <si>
    <t>SBLDSU Standby Energy Charge</t>
  </si>
  <si>
    <t>SBLDTSU Standby On-Peak Energy Charge</t>
  </si>
  <si>
    <t>SBLDTSU Standby Off-Peak Energy Charge</t>
  </si>
  <si>
    <t>SBD Supplemental Energy Charge Secondary</t>
  </si>
  <si>
    <t>SBD Supplemental Energy Charge Primary</t>
  </si>
  <si>
    <t>SBD Supplemental Energy Charge Subtransmission</t>
  </si>
  <si>
    <t>SBDT Supplemental On-Peak Energy Charge Secondary</t>
  </si>
  <si>
    <t>SBDT Supplemental On-Peak Energy Charge Primary</t>
  </si>
  <si>
    <t>SBDT Supplemental On-Peak Energy Charge Subtransmission</t>
  </si>
  <si>
    <t>SBDT Supplemental Off-Peak Energy Charge Primary</t>
  </si>
  <si>
    <t>SBDT Supplemental Off-Peak Energy Charge Subtransmission</t>
  </si>
  <si>
    <t>SBDT Supplemental Off-Peak Energy Charge Secondary</t>
  </si>
  <si>
    <t>SBD Standby Energy Charge Primary</t>
  </si>
  <si>
    <t>SBD Standby Energy Charge Subtransmission</t>
  </si>
  <si>
    <t>SBDT Standby On-Peak Energy Charge Secondary</t>
  </si>
  <si>
    <t>SBDT Standby On-Peak Energy Charge Primary</t>
  </si>
  <si>
    <t>SBDT Standby On-Peak Energy Charge Subtransmission</t>
  </si>
  <si>
    <t>SBDT Standby Off-Peak Energy Charge Secondary</t>
  </si>
  <si>
    <t>SBDT Standby Off-Peak Energy Charge Primary</t>
  </si>
  <si>
    <t>SBDT Standby Off-Peak Energy Charge Subtransmission</t>
  </si>
  <si>
    <t>SBD Standby Energy Charge Secondary</t>
  </si>
  <si>
    <t>SBD Supplemental Demand Charge Primary</t>
  </si>
  <si>
    <t>SBD Supplemental Demand Charge Secondary</t>
  </si>
  <si>
    <t>SBD Supplemental Demand Charge Subtransmission</t>
  </si>
  <si>
    <t>SBDT Supplemental Billing Demand Secondary</t>
  </si>
  <si>
    <t>SBDT Supplemental Billing Demand Primary</t>
  </si>
  <si>
    <t>SBDT Supplemental Billing Demand Subtransmission</t>
  </si>
  <si>
    <t>SBDT Supplemental Peak Demand Secondary</t>
  </si>
  <si>
    <t>SBDT Supplemental Peak Demand Primary</t>
  </si>
  <si>
    <t>SBDT Supplemental Peak Demand Subtransmission</t>
  </si>
  <si>
    <t>SBLDSU Supplemental Demand Charge</t>
  </si>
  <si>
    <t>SBLDSU Local Facilities Reservation Charge</t>
  </si>
  <si>
    <t>SBLDSU Power Supply Reservation Charge</t>
  </si>
  <si>
    <t>SBLDTSU Supplemental Billing Demand Charge</t>
  </si>
  <si>
    <t>SBLDTSU Supplemental Peak Demand Charge</t>
  </si>
  <si>
    <t>SBLDSU Power Supply Demand Charge</t>
  </si>
  <si>
    <t>SBLDTSU Local Facilities Reservation Charge</t>
  </si>
  <si>
    <t>SBLDTSU Power Supply Reservation Charge</t>
  </si>
  <si>
    <t>SBLDTSU Power Supply Demand Charge</t>
  </si>
  <si>
    <t>SBLDSU Power Factor Charge</t>
  </si>
  <si>
    <t>SBLDSTSU Power Factor Charge</t>
  </si>
  <si>
    <t>SBLDSU Power Factor Credit</t>
  </si>
  <si>
    <t>SBLDSTSU Power Factor Credit</t>
  </si>
  <si>
    <t>SBLDSU Emergency Relay Power Supply Charge</t>
  </si>
  <si>
    <t>SBLDTSU Emergency Relay Power Supply Charge</t>
  </si>
  <si>
    <t>SBLDPR Meter Voltage Adjustment</t>
  </si>
  <si>
    <t>SBLDTPR Meter Voltage Adjustment</t>
  </si>
  <si>
    <t>SBLDPR Supplemental Energy Charge</t>
  </si>
  <si>
    <t>SBLDPR Standby Energy Charge</t>
  </si>
  <si>
    <t>SBLDPR Supplemental Demand Charge</t>
  </si>
  <si>
    <t>SBLDPR Local Facilities Reservation Charge</t>
  </si>
  <si>
    <t>SBLDPR Power Supply Reservation Charge</t>
  </si>
  <si>
    <t>SBLDPR Power Supply Demand Charge</t>
  </si>
  <si>
    <t>SBLDPR Power Factor Charge</t>
  </si>
  <si>
    <t>SBLDPR Power Factor Credit</t>
  </si>
  <si>
    <t>SBLDPR Emergency Relay Power Supply Charge</t>
  </si>
  <si>
    <t>SBLDPR Basic Service Charge</t>
  </si>
  <si>
    <t>SBLDTPR Basic Service Charge</t>
  </si>
  <si>
    <t>SBLDTPR Supplemental On-Peak Energy Charge</t>
  </si>
  <si>
    <t>SBLDTPR Supplemental Off-Peak Energy Charge</t>
  </si>
  <si>
    <t>SBLDTPR Standby On-Peak Energy Charge</t>
  </si>
  <si>
    <t>SBLDTPR Standby Off-Peak Energy Charge</t>
  </si>
  <si>
    <t>SBLDTPR Supplemental Billing Demand Charge</t>
  </si>
  <si>
    <t>SBLDTPR Supplemental Peak Demand Charge</t>
  </si>
  <si>
    <t>SBLDTPR Local Facilities Reservation Charge</t>
  </si>
  <si>
    <t>SBLDTPR Power Supply Reservation Charge</t>
  </si>
  <si>
    <t>SBLDTPR Power Supply Demand Charge</t>
  </si>
  <si>
    <t>SBLDTPR Emergency Relay Power Supply Charge</t>
  </si>
  <si>
    <t>SBD Local Facilities Reservation Charge Secondary</t>
  </si>
  <si>
    <t>SBD Local Facilities Reservation Charge Primary</t>
  </si>
  <si>
    <t>SBD Local Facilities Reservation Charge Subtransmission</t>
  </si>
  <si>
    <t>SBD Power Supply Reservation Charge Secondary</t>
  </si>
  <si>
    <t>SBD Power Supply Reservation Charge Primary</t>
  </si>
  <si>
    <t>SBD Power Supply Reservation Charge Subtransmission</t>
  </si>
  <si>
    <t>SBD Power Supply Demand Charge Secondary</t>
  </si>
  <si>
    <t>SBD Power Supply Demand Charge Primary</t>
  </si>
  <si>
    <t>SBD Power Supply Demand Charge Subtransmission</t>
  </si>
  <si>
    <t>SBDT Local Facilities Reservation Charge Primary</t>
  </si>
  <si>
    <t>SBDT Local Facilities Reservation Charge Subtransmission</t>
  </si>
  <si>
    <t>SBDT Power Supply Reservation Charge Secondary</t>
  </si>
  <si>
    <t>SBDT Power Supply Reservation Charge Primary</t>
  </si>
  <si>
    <t>SBDT Power Supply Reservation Charge Subtransmission</t>
  </si>
  <si>
    <t>SBDT Power Supply Demand Charge Secondary</t>
  </si>
  <si>
    <t>SBDT Power Supply Demand Charge Primary</t>
  </si>
  <si>
    <t>SBDT Power Supply Demand Charge Subtransmission</t>
  </si>
  <si>
    <t>SBDT Local Facilities Reservation Charge Secondary</t>
  </si>
  <si>
    <t>SBD Meter Voltage Adjustment Primary</t>
  </si>
  <si>
    <t>SBD Meter Voltage Adjustment Subtransmission</t>
  </si>
  <si>
    <t>SBDT Meter Voltage Adjustment Primary</t>
  </si>
  <si>
    <t>SBDT Meter Voltage Adjustment Subtransmission</t>
  </si>
  <si>
    <t>SBD Supplemental Delivery Voltage Credit Primary</t>
  </si>
  <si>
    <t>SBD Supplemental Delivery Voltage Credit Subtransmission</t>
  </si>
  <si>
    <t>SBDT Supplemental Delivery Voltage Credit Primary</t>
  </si>
  <si>
    <t>SBDT Supplemental Delivery Voltage Credit Subtransmission</t>
  </si>
  <si>
    <t>SBD Standby Delivery Voltage Credit Subtransmission</t>
  </si>
  <si>
    <t>SBDT Standby Delivery Voltage Credit Primary</t>
  </si>
  <si>
    <t>SBDT Standby Delivery Voltage Credit Subtransmission</t>
  </si>
  <si>
    <t>SBD Standby Delivery Voltage Credit Primary</t>
  </si>
  <si>
    <t>SBD Emergency Relay Power Supply Charge Secondary</t>
  </si>
  <si>
    <t>SBD Emergency Relay Power Supply Charge Primary</t>
  </si>
  <si>
    <t>SBD Emergency Relay Power Supply Charge Subtransmission</t>
  </si>
  <si>
    <t>SBDT Emergency Relay Power Supply Charge Secondary</t>
  </si>
  <si>
    <t>SBDT Emergency Relay Power Supply Charge Primary</t>
  </si>
  <si>
    <t>SBDT Emergency Relay Power Supply Charge Subtransmission</t>
  </si>
  <si>
    <t>SBD Power Factor Charge Secondary</t>
  </si>
  <si>
    <t>SBD Power Factor Charge Primary</t>
  </si>
  <si>
    <t>SBD Power Factor Charge Subtransmission</t>
  </si>
  <si>
    <t>SBDT Power Factor Charge Secondary</t>
  </si>
  <si>
    <t>SBDT Power Factor Charge Primary</t>
  </si>
  <si>
    <t>SBDT Power Factor Charge Subtransmission</t>
  </si>
  <si>
    <t>SBD Power Factor Credit Primary</t>
  </si>
  <si>
    <t>SBD Power Factor Credit Subtransmission</t>
  </si>
  <si>
    <t>SBDT Power Factor Credit Secondary</t>
  </si>
  <si>
    <t>SBDT Power Factor Credit Primary</t>
  </si>
  <si>
    <t>SBDT Power Factor Credit Subtransmission</t>
  </si>
  <si>
    <t>SBD Power Factor Credit Secondary</t>
  </si>
  <si>
    <t>GSLDPR Basic Service Charge</t>
  </si>
  <si>
    <t>GSLDTPR Basic Service Charge</t>
  </si>
  <si>
    <t>GSLDPR Energy Charge</t>
  </si>
  <si>
    <t>GSLDTPR On-Peak Energy Charge</t>
  </si>
  <si>
    <t>GSLDTPR Off-Peak Energy Charge</t>
  </si>
  <si>
    <t>GSLDPR Demand Charge</t>
  </si>
  <si>
    <t>GSLDTPR Billing Demand Charge</t>
  </si>
  <si>
    <t>GSLDTPR Peak Demand Charge</t>
  </si>
  <si>
    <t>GSLDPR Power Factor Charge</t>
  </si>
  <si>
    <t>GSLDTPR Power Factor Charge</t>
  </si>
  <si>
    <t>GSLDPR Power Factor Credit</t>
  </si>
  <si>
    <t>GSLDTPR Power Factor Credit</t>
  </si>
  <si>
    <t>GSLDPR Emergency Relay Power Supply Charge</t>
  </si>
  <si>
    <t>GSLDTPR Emergency Relay Power Supply Charge</t>
  </si>
  <si>
    <t>GSLDPR Meter Voltage Adjustment</t>
  </si>
  <si>
    <t>GSLDTPR Meter Voltage Adjustment</t>
  </si>
  <si>
    <t>GSLDSU Energy Charge</t>
  </si>
  <si>
    <t>GSLDSU Demand Charge</t>
  </si>
  <si>
    <t>GSLDSU Power Factor Charge</t>
  </si>
  <si>
    <t>GSLDSU Power Factor Credit</t>
  </si>
  <si>
    <t>GSLDSU Emergency Relay Power Supply Charge</t>
  </si>
  <si>
    <t>GSLDSU Basic Service Charge</t>
  </si>
  <si>
    <t>GSLDTSU Basic Service Charge</t>
  </si>
  <si>
    <t>GSLDTSU On-Peak Energy Charge</t>
  </si>
  <si>
    <t>GSLDTSU Off-Peak Energy Charge</t>
  </si>
  <si>
    <t>GSLDTSU Billing Demand Charge</t>
  </si>
  <si>
    <t>GSLDTSU Peak Demand Charge</t>
  </si>
  <si>
    <t>GSLDTSU Power Factor Charge</t>
  </si>
  <si>
    <t>GSLDTSU Power Factor Credit</t>
  </si>
  <si>
    <t>GSLDTSU Emergency Relay Power Supply Charge</t>
  </si>
  <si>
    <t>kWh</t>
  </si>
  <si>
    <t>Manual Input Target</t>
  </si>
  <si>
    <t>Achieved Target</t>
  </si>
  <si>
    <t>Percent Increase</t>
  </si>
  <si>
    <t>Page No.</t>
  </si>
  <si>
    <t>Rate Schedule</t>
  </si>
  <si>
    <t xml:space="preserve">GSD Optional </t>
  </si>
  <si>
    <t>TOTAL</t>
  </si>
  <si>
    <t>GSD,GSDT</t>
  </si>
  <si>
    <t>Standard - Subtransmission</t>
  </si>
  <si>
    <t xml:space="preserve">    T-O-D - Secondary</t>
  </si>
  <si>
    <t xml:space="preserve">    T-O-D - Primary</t>
  </si>
  <si>
    <t>T-O-D - Subtransmission</t>
  </si>
  <si>
    <t xml:space="preserve">   T-O-D On-Peak - Secondary</t>
  </si>
  <si>
    <t xml:space="preserve">   T-O-D On-Peak - Primary</t>
  </si>
  <si>
    <t xml:space="preserve">   T-O-D On-Peak - Subtrans.</t>
  </si>
  <si>
    <t xml:space="preserve">   T-O-D Off-Peak - Secondary</t>
  </si>
  <si>
    <t xml:space="preserve">   T-O-D Off-Peak - Primary</t>
  </si>
  <si>
    <t xml:space="preserve">   T-O-D Off-Peak - Subtrans.</t>
  </si>
  <si>
    <t>kW</t>
  </si>
  <si>
    <t xml:space="preserve">   T-O-D Billing - Subtrans.</t>
  </si>
  <si>
    <t>kW  (1)</t>
  </si>
  <si>
    <t xml:space="preserve">   T-O-D Peak - Subtrans.</t>
  </si>
  <si>
    <t>Delivery Voltage Credit:</t>
  </si>
  <si>
    <t xml:space="preserve">   T-O-D Primary</t>
  </si>
  <si>
    <t>T-O-D Subtransmission</t>
  </si>
  <si>
    <t xml:space="preserve">   T-O-D Secondary</t>
  </si>
  <si>
    <t>Optional - Secondary</t>
  </si>
  <si>
    <t>Optional - Primary</t>
  </si>
  <si>
    <t xml:space="preserve">Optional - Subtransmission </t>
  </si>
  <si>
    <t>Emergency Relay</t>
  </si>
  <si>
    <t>GSLDPR, GSDLTPR</t>
  </si>
  <si>
    <t>(1)  Not included in Total.</t>
  </si>
  <si>
    <t>GSLDSU, GSDLTSU</t>
  </si>
  <si>
    <t>SBLDPR,SBLDTPR</t>
  </si>
  <si>
    <t>Standard Primary</t>
  </si>
  <si>
    <t xml:space="preserve">    T-O-D Primary </t>
  </si>
  <si>
    <t xml:space="preserve">      Total</t>
  </si>
  <si>
    <t xml:space="preserve">    T-O-D On-Peak - Primary</t>
  </si>
  <si>
    <t xml:space="preserve">    T-O-D Off-Peak - Primary</t>
  </si>
  <si>
    <t>total</t>
  </si>
  <si>
    <t xml:space="preserve">    T-O-D Billing - Primary </t>
  </si>
  <si>
    <t xml:space="preserve">    T-O-D Peak - Primary</t>
  </si>
  <si>
    <t xml:space="preserve">   Std. Facilities Reservation - Pri. </t>
  </si>
  <si>
    <t xml:space="preserve">   Std. Power Supply Res. - Pri.</t>
  </si>
  <si>
    <t>kW (1)</t>
  </si>
  <si>
    <t xml:space="preserve">/ kW-mo. </t>
  </si>
  <si>
    <t xml:space="preserve">   Std. Power Supply Dmd. - Pri.</t>
  </si>
  <si>
    <t xml:space="preserve">/ kW-day </t>
  </si>
  <si>
    <t xml:space="preserve">T-O-D Facilities Reservation - Pri. </t>
  </si>
  <si>
    <t>T-O-D Power Supply Res. - Pri.</t>
  </si>
  <si>
    <t xml:space="preserve"> kW-mo. </t>
  </si>
  <si>
    <t>T-O-D Power Supply Dmd. - Pri.</t>
  </si>
  <si>
    <t xml:space="preserve"> kW-day </t>
  </si>
  <si>
    <t>Power Factor Charge Supplemental &amp; Standby:</t>
  </si>
  <si>
    <t>Power Factor Credit Supplemental &amp; Standby:</t>
  </si>
  <si>
    <t>Emergency Relay Charge - Supplemental and Standby.</t>
  </si>
  <si>
    <t>SBLDSU,SBLDTSU</t>
  </si>
  <si>
    <t>Standard Subtransmission</t>
  </si>
  <si>
    <t xml:space="preserve">    T-O-D Subtransmission</t>
  </si>
  <si>
    <t xml:space="preserve">    T-O-D Peak - Subtransmission</t>
  </si>
  <si>
    <t xml:space="preserve"> (1) Not included in Total.</t>
  </si>
  <si>
    <t>Standard Secondary</t>
  </si>
  <si>
    <t xml:space="preserve">    T-O-D Secondary</t>
  </si>
  <si>
    <t xml:space="preserve">    T-O-D On-Peak - Secondary</t>
  </si>
  <si>
    <t xml:space="preserve">    T-O-D On-Peak - Subtrans.</t>
  </si>
  <si>
    <t xml:space="preserve">    T-O-D Off-Peak - Secondary</t>
  </si>
  <si>
    <t xml:space="preserve">    T-O-D Off-Peak - Subtrans.</t>
  </si>
  <si>
    <t xml:space="preserve">    Standard Subtransmission</t>
  </si>
  <si>
    <t xml:space="preserve">    T-O-D On-Peak -Secondary</t>
  </si>
  <si>
    <t xml:space="preserve">    T-O-D Off-Peak -Secondary</t>
  </si>
  <si>
    <t xml:space="preserve">    T-O-D Billing - Secondary</t>
  </si>
  <si>
    <t xml:space="preserve">    T-O-D billing - Subtransmission</t>
  </si>
  <si>
    <t xml:space="preserve">    T-O-D Peak - Secondary</t>
  </si>
  <si>
    <t>Std. Facilities Reservation - Sec.</t>
  </si>
  <si>
    <t xml:space="preserve">Std. Facilities Reservation - Pri. </t>
  </si>
  <si>
    <t>Std. Facilities Reservation - Sub.</t>
  </si>
  <si>
    <t>Std. Power Supply Res. - Sec.</t>
  </si>
  <si>
    <t>Std. Power Supply Res. - Pri.</t>
  </si>
  <si>
    <t>Std. Power Supply Res. - Sub.</t>
  </si>
  <si>
    <t>Std. Power Supply Dmd. - Sec.</t>
  </si>
  <si>
    <t>Std. Power Supply Dmd. - Pri.</t>
  </si>
  <si>
    <t>Std. Power Supply Dmd. - Sub.</t>
  </si>
  <si>
    <t>T-O-D Facilities Reservation - Sec.</t>
  </si>
  <si>
    <t>T-O-D Facilities Reservation - Sub.</t>
  </si>
  <si>
    <t>T-O-D Power Supply Res. - Sec.</t>
  </si>
  <si>
    <t>T-O-D Power Supply Res. - Sub.</t>
  </si>
  <si>
    <t>T-O-D Power Supply Dmd. - Sec.</t>
  </si>
  <si>
    <t>T-O-D Power Supply Dmd. - Sub.</t>
  </si>
  <si>
    <t>Continued from Page 14</t>
  </si>
  <si>
    <t>Delivery Voltage Credit - Supplemental.:</t>
  </si>
  <si>
    <t>Delivery Voltage Credit. - Standby.:</t>
  </si>
  <si>
    <t xml:space="preserve">    Std.  Primary </t>
  </si>
  <si>
    <t xml:space="preserve">    Std. Subtransmission</t>
  </si>
  <si>
    <t>Continued from Page 15</t>
  </si>
  <si>
    <t>Metering Voltage Adjustment - Supplemental and Stanby.:</t>
  </si>
  <si>
    <t>$</t>
  </si>
  <si>
    <t>LS-1,LS-2</t>
  </si>
  <si>
    <t>Energy Charge</t>
  </si>
  <si>
    <t>Secondary BD</t>
  </si>
  <si>
    <t>Continued from Page 5</t>
  </si>
  <si>
    <t>Metering Voltage Adjustment:</t>
  </si>
  <si>
    <t>Meter Voltage Adjustment</t>
  </si>
  <si>
    <t>Rate Class</t>
  </si>
  <si>
    <t>RS</t>
  </si>
  <si>
    <t>GS</t>
  </si>
  <si>
    <t>GSD</t>
  </si>
  <si>
    <t>GSLDPR</t>
  </si>
  <si>
    <t>GSLDSU</t>
  </si>
  <si>
    <t>LSENERGY</t>
  </si>
  <si>
    <t>LSFACILITIES</t>
  </si>
  <si>
    <t>GSDT Billing Demand Charge Secondary</t>
  </si>
  <si>
    <t>GSDT Billing Demand Charge Primary</t>
  </si>
  <si>
    <t>GSDT Billing Demand Charge Subtransmission</t>
  </si>
  <si>
    <t>GSDT Peak Demand Charge Secondary</t>
  </si>
  <si>
    <t>GSDT Peak Demand Charge Primary</t>
  </si>
  <si>
    <t>GSDT Peak Demand Charge Subtransmission</t>
  </si>
  <si>
    <t>BillDeter_SBD.kVarh_Chg_kw_SEC</t>
  </si>
  <si>
    <t>BillDeter_SBD.kVarh_Chg_kw_PRI</t>
  </si>
  <si>
    <t>BillDeter_SBD.kVarh_Chg_kw_SUB</t>
  </si>
  <si>
    <t>BillDeter_SBD.kVarh_Crd_kw_SEC</t>
  </si>
  <si>
    <t>BillDeter_SBD.kVarh_Crd_kw_PRI</t>
  </si>
  <si>
    <t>BillDeter_SBD.kVarh_Crd_kw_SUB</t>
  </si>
  <si>
    <t>BillDeter_SBDT.kVarh_Chg_kw_SEC</t>
  </si>
  <si>
    <t>BillDeter_SBDT.kVarh_Chg_kw_PRI</t>
  </si>
  <si>
    <t>BillDeter_SBDT.kVarh_Chg_kw_SUB</t>
  </si>
  <si>
    <t>BillDeter_SBDT.kVarh_Crd_kw_SEC</t>
  </si>
  <si>
    <t>BillDeter_SBDT.kVarh_Crd_kw_PRI</t>
  </si>
  <si>
    <t>BillDeter_SBDT.kVarh_Crd_kw_SUB</t>
  </si>
  <si>
    <t>kVARh</t>
  </si>
  <si>
    <t>Delivery Voltage Credit</t>
  </si>
  <si>
    <t>JMW ADDED</t>
  </si>
  <si>
    <t>Continued from Page 10</t>
  </si>
  <si>
    <t>BillDeter_GSLD_SU.Billing_kW</t>
  </si>
  <si>
    <t>SCHEDULE E-13a</t>
  </si>
  <si>
    <t>REVENUE FROM SALE OF ELECTRICITY BY RATE SCHEDULE</t>
  </si>
  <si>
    <t xml:space="preserve">       Type of data shown:</t>
  </si>
  <si>
    <t>(1)</t>
  </si>
  <si>
    <t>(2)</t>
  </si>
  <si>
    <t>(3)</t>
  </si>
  <si>
    <t>(4)</t>
  </si>
  <si>
    <t>Base</t>
  </si>
  <si>
    <t>Revenue under</t>
  </si>
  <si>
    <t>Present</t>
  </si>
  <si>
    <t>Proposed</t>
  </si>
  <si>
    <t>Dollars</t>
  </si>
  <si>
    <t>Percent</t>
  </si>
  <si>
    <t>Rate</t>
  </si>
  <si>
    <t>Rates</t>
  </si>
  <si>
    <t>(2) - (1)</t>
  </si>
  <si>
    <t>(3) / (1)</t>
  </si>
  <si>
    <t>RS,  RSVP-1</t>
  </si>
  <si>
    <t xml:space="preserve">GS, GST </t>
  </si>
  <si>
    <t>GSLDPR,GSLDTPR</t>
  </si>
  <si>
    <t>GSLDSU,GSLDTSU</t>
  </si>
  <si>
    <t>SBD,SBDT</t>
  </si>
  <si>
    <t xml:space="preserve">LS-1,LS-2 (Energy Service) </t>
  </si>
  <si>
    <t>Additional Base Charges</t>
  </si>
  <si>
    <t>Summary by Rate Class</t>
  </si>
  <si>
    <t>LS Energy</t>
  </si>
  <si>
    <t>LS Facilities</t>
  </si>
  <si>
    <t>Supporting Schedules: E-13c &amp; E-13d</t>
  </si>
  <si>
    <t>Proposed Rates</t>
  </si>
  <si>
    <t>Page 1 of 18</t>
  </si>
  <si>
    <t>Page 2 of 18</t>
  </si>
  <si>
    <t>Page 3  of 18</t>
  </si>
  <si>
    <t>Page 4  of 18</t>
  </si>
  <si>
    <t>Page 5 of 18</t>
  </si>
  <si>
    <t>Page 6 of 18</t>
  </si>
  <si>
    <t>Page 7 of 18</t>
  </si>
  <si>
    <t>Page 8 of 18</t>
  </si>
  <si>
    <t>Page 9 of 18</t>
  </si>
  <si>
    <t>Page 10 of 18</t>
  </si>
  <si>
    <t>Page 11 of 18</t>
  </si>
  <si>
    <t>Page 12 of 18</t>
  </si>
  <si>
    <t>Page 13 of 18</t>
  </si>
  <si>
    <t>Page 14 of 18</t>
  </si>
  <si>
    <t>Page 15 of 18</t>
  </si>
  <si>
    <t>Page 16 of 18</t>
  </si>
  <si>
    <t>Page 17 of 18</t>
  </si>
  <si>
    <t>Page 18  of 18</t>
  </si>
  <si>
    <t>BillDeter_GST.Energy_Off2</t>
  </si>
  <si>
    <t>BillDeter_GSDT.Energy_OffPk2</t>
  </si>
  <si>
    <t>BillDeter_GSDT.Energy_Off2_SEC</t>
  </si>
  <si>
    <t>BillDeter_GSDT.Energy_Off2_PRI</t>
  </si>
  <si>
    <t>BillDeter_GSDT.Energy_Off2_SUB</t>
  </si>
  <si>
    <t>BillDeter_SBDT.Energy_SUPP_OffPk2</t>
  </si>
  <si>
    <t>BillDeter_SBDT.Energy_SUPP_Off2_SEC</t>
  </si>
  <si>
    <t>BillDeter_SBDT.Energy_SUPP_Off2_PRI</t>
  </si>
  <si>
    <t>BillDeter_SBDT.Energy_SUPP_Off2_SUB</t>
  </si>
  <si>
    <t>BillDeter_SBDT.Energy_SB_OffPk2</t>
  </si>
  <si>
    <t>BillDeter_SBDT.Energy_SB_Off2_SEC</t>
  </si>
  <si>
    <t>BillDeter_SBDT.Energy_SB_Off2_PRI</t>
  </si>
  <si>
    <t>BillDeter_SBDT.Energy_SB_Off2_SUB</t>
  </si>
  <si>
    <t>BillDeter_GSLDT_PR.Energy_OffPk2</t>
  </si>
  <si>
    <t>BillDeter_GSLDT_SU.Energy_OffPk2</t>
  </si>
  <si>
    <t>BillDeter_SBLDT_PR.Energy_SB_OffPk2</t>
  </si>
  <si>
    <t>BillDeter_SBLDT_PR.Energy_SUPP_OffPk2</t>
  </si>
  <si>
    <t>BillDeter_SBLDT_SU.Energy_SUPP_OffPk2</t>
  </si>
  <si>
    <t>BillDeter_SBLDT_SU.Energy_SB_OffPk2</t>
  </si>
  <si>
    <t>Rounded Proposed Rates</t>
  </si>
  <si>
    <t>2025 Billing Determinants</t>
  </si>
  <si>
    <t>By rate schedule, calculate revenues under present and proposed rates for the test year.  If any customers are to be</t>
  </si>
  <si>
    <t>transferred from one schedule to another, show revenues separately for the transfer group.  Correction factors are</t>
  </si>
  <si>
    <t>used for historic test years only.  The total base revenue by class must equal that shown in Schedule E-13a.  The billing</t>
  </si>
  <si>
    <t>units must equal those shown in Schedule E-15.</t>
  </si>
  <si>
    <t xml:space="preserve">PROVIDE TOTAL NUMBER OF BILLS, MWH's, AND BILLING kW FOR EACH RATE SCHEDULE (INCLUDING STANDARD </t>
  </si>
  <si>
    <t>AND TIME OF USE CUSTOMERS) AND TRANSFER GROUP.</t>
  </si>
  <si>
    <t>XX</t>
  </si>
  <si>
    <t>Projected Test year Ended  12/31/2025</t>
  </si>
  <si>
    <t>SBLDTPR Power Factor Credit</t>
  </si>
  <si>
    <t>SBLDTPR Power Factor Charge</t>
  </si>
  <si>
    <t>Billing Days</t>
  </si>
  <si>
    <t>Unit Cost</t>
  </si>
  <si>
    <t>Rounded Unit Cost Override</t>
  </si>
  <si>
    <t>2024 Standard Base Rate</t>
  </si>
  <si>
    <t>2024 Revenue Neutral Peak Base Rate</t>
  </si>
  <si>
    <t>% for 2025 Peak Base Rate</t>
  </si>
  <si>
    <t>Off Peak Rate Differential from Peak</t>
  </si>
  <si>
    <t>Sun Power Rate from Off Peak Differential</t>
  </si>
  <si>
    <t>GST</t>
  </si>
  <si>
    <t>GSDT</t>
  </si>
  <si>
    <t>GSLDTPR</t>
  </si>
  <si>
    <t>SBLDTPR Supplemental</t>
  </si>
  <si>
    <t>GLSDTSU</t>
  </si>
  <si>
    <t>SBLDTSU Supplemental</t>
  </si>
  <si>
    <t>Projected Prior Year Ended 12/31/2024</t>
  </si>
  <si>
    <t>Historical Prior Year Ended 12/31/2023</t>
  </si>
  <si>
    <t>Compare jurisdictional revenue excluding service charges by rate schedule under present and proposed rates</t>
  </si>
  <si>
    <t xml:space="preserve">for the test year. If any customers are to be transferred from one schedule to another, the revenue and billing </t>
  </si>
  <si>
    <t>determinant information shall be shown separately for the transfer group and not be included under either the</t>
  </si>
  <si>
    <t xml:space="preserve">new or old classification. </t>
  </si>
  <si>
    <t>SCHEDULE A-2</t>
  </si>
  <si>
    <t>FULL REVENUE REQUIREMENTS BILL COMPARISON - TYPICAL MONTHLY BILLS</t>
  </si>
  <si>
    <t>Page 1 of 5</t>
  </si>
  <si>
    <t xml:space="preserve">            EXPLANATION:</t>
  </si>
  <si>
    <t>For each rate, calculate typical monthly bills for present rates and proposed rates.</t>
  </si>
  <si>
    <t>RS - RESIDENTIAL SERVICE</t>
  </si>
  <si>
    <t>RATE SCHEDULE</t>
  </si>
  <si>
    <t xml:space="preserve"> BILL UNDER PRESENT RATES</t>
  </si>
  <si>
    <t>BILL UNDER PROPOSED RATES</t>
  </si>
  <si>
    <t xml:space="preserve">INCREASE </t>
  </si>
  <si>
    <t>COSTS IN CENTS/KWH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</si>
  <si>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</si>
  <si>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</si>
  <si>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</si>
  <si>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</si>
  <si>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</si>
  <si>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</si>
  <si>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</si>
  <si>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</si>
  <si>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</si>
  <si>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</si>
  <si>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</si>
  <si>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</si>
  <si>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</si>
  <si>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</si>
  <si>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</si>
  <si>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</si>
  <si>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</si>
  <si>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</si>
  <si>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</si>
  <si>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 xml:space="preserve">                    TYPICAL</t>
  </si>
  <si>
    <t>BASE</t>
  </si>
  <si>
    <t>FUEL</t>
  </si>
  <si>
    <t>ECCR</t>
  </si>
  <si>
    <t>CAPACITY</t>
  </si>
  <si>
    <t>ECRC</t>
  </si>
  <si>
    <t>SPPCRC</t>
  </si>
  <si>
    <t>GRT</t>
  </si>
  <si>
    <t>DOLLARS</t>
  </si>
  <si>
    <t>PERCENT</t>
  </si>
  <si>
    <t>PRESENT</t>
  </si>
  <si>
    <t>PROPOSED</t>
  </si>
  <si>
    <t>KW</t>
  </si>
  <si>
    <t>KWH</t>
  </si>
  <si>
    <t>RATE</t>
  </si>
  <si>
    <t>CHARGE</t>
  </si>
  <si>
    <t xml:space="preserve">PROPOSED </t>
  </si>
  <si>
    <t xml:space="preserve">BASIC SERVICE CHARGE </t>
  </si>
  <si>
    <t>$/Bill</t>
  </si>
  <si>
    <t>DEMAND CHARGE</t>
  </si>
  <si>
    <t>ENERGY CHARGE</t>
  </si>
  <si>
    <t>0 - 1,000 KWH</t>
  </si>
  <si>
    <t>Over 1,000 KWH</t>
  </si>
  <si>
    <t xml:space="preserve">FUEL CHARGE </t>
  </si>
  <si>
    <t>CONSERVATION CHARGE</t>
  </si>
  <si>
    <t>CAPACITY CHARGE</t>
  </si>
  <si>
    <t>CLEAN ENERGY TRANSITION MECHANISM</t>
  </si>
  <si>
    <t>ENVIRONMENTAL CHARGE</t>
  </si>
  <si>
    <t>STORM PROTECTION PLAN</t>
  </si>
  <si>
    <t>Supporting Schedules:  E-13c, E-14 Supplement</t>
  </si>
  <si>
    <t>Recap Schedules:</t>
  </si>
  <si>
    <t>Page 2 of 5</t>
  </si>
  <si>
    <t>GS - GENERAL SERVICE NON-DEMAND</t>
  </si>
  <si>
    <t>FUEL CHARGE</t>
  </si>
  <si>
    <t>GSD - GENERAL SERVICE DEMAND</t>
  </si>
  <si>
    <t>GSD OPT.</t>
  </si>
  <si>
    <t>BILLING</t>
  </si>
  <si>
    <t xml:space="preserve">PEAK </t>
  </si>
  <si>
    <t>ON-PEAK</t>
  </si>
  <si>
    <t>OFF-PEAK</t>
  </si>
  <si>
    <t xml:space="preserve">Notes: </t>
  </si>
  <si>
    <t>A.  The kWh for each kW group is based on 20, 35, 60, and 90% load factors (LF).</t>
  </si>
  <si>
    <t xml:space="preserve">B.  Charges at 20% LF are based on the GSD Option rate; 35% and 60% LF charges are based on the standard rate; and 90% LF charges are based on the TOD rate.  </t>
  </si>
  <si>
    <t xml:space="preserve">C.  All calculations assume meter and service at secondary voltage.   </t>
  </si>
  <si>
    <t xml:space="preserve"> Note: Present and proposed cost recovery clause factors are the approved January 2024 factors.  </t>
  </si>
  <si>
    <t>$/kW</t>
  </si>
  <si>
    <t>¢/kWh</t>
  </si>
  <si>
    <t>(24)</t>
  </si>
  <si>
    <t xml:space="preserve">DOCKET No.  </t>
  </si>
  <si>
    <t xml:space="preserve">DOCKET No.   </t>
  </si>
  <si>
    <t>E.  Peak demand to billing demand ratios are assumed to be 99% at 90% LF.</t>
  </si>
  <si>
    <t xml:space="preserve">G.  Present and proposed cost recovery clause factors are the approved January 2024 factors.  </t>
  </si>
  <si>
    <t>Page 4 of 5</t>
  </si>
  <si>
    <t xml:space="preserve">GSLDPR/GSLDTPR- GENERAL SERVICE LARGE DEMAND/ TOU/ PRIMARY SERVED </t>
  </si>
  <si>
    <t>(25)</t>
  </si>
  <si>
    <t>BILLING DEMAND</t>
  </si>
  <si>
    <t>PEAK DEMAND CHARGE</t>
  </si>
  <si>
    <t>A.  The kWh for each kW group is based on 35, 60, and 90% load factors (LF).</t>
  </si>
  <si>
    <t>B.  Charges at 35% and 60% LF are based on standard rates and charges at  90% LF are based on TOD rates.  Peak demand to billing demand ratios are assumed to be 99% at 90% LF.</t>
  </si>
  <si>
    <t>C.  Calculations assume meter and service at primary voltage and a power factor of 85%.</t>
  </si>
  <si>
    <t>Page 5 of 5</t>
  </si>
  <si>
    <t xml:space="preserve">GSLDSU/GSLDTSU- GENERAL SERVICE LARGE DEMAND/ TOU/ SUBTRANSMISSION SERVED </t>
  </si>
  <si>
    <t>GSLDTSU</t>
  </si>
  <si>
    <t>Page 3 of 5</t>
  </si>
  <si>
    <t xml:space="preserve">                                EXPLANATION:</t>
  </si>
  <si>
    <t xml:space="preserve">E.  Present and proposed cost recovery clause factors are the approved January 2024 factors. </t>
  </si>
  <si>
    <t>SCHEDULE A-3</t>
  </si>
  <si>
    <t>SUMMARY OF TARIFFS</t>
  </si>
  <si>
    <t xml:space="preserve">                  EXPLANATION:  </t>
  </si>
  <si>
    <t>Provide a summary of all proposed changes in rates and rate classes, detailing current and proposed classes of</t>
  </si>
  <si>
    <t>service, demand, energy, and other service charges.</t>
  </si>
  <si>
    <t xml:space="preserve">Current </t>
  </si>
  <si>
    <t>Current</t>
  </si>
  <si>
    <t>Schedule</t>
  </si>
  <si>
    <t>Type of Charge</t>
  </si>
  <si>
    <t>((5)-(3))/(3)</t>
  </si>
  <si>
    <t>RS/RSVP1</t>
  </si>
  <si>
    <t>$/Day</t>
  </si>
  <si>
    <t>RSVP-1</t>
  </si>
  <si>
    <t>Energy and Demand Charge:</t>
  </si>
  <si>
    <t xml:space="preserve">   First 1,000 kWh</t>
  </si>
  <si>
    <t xml:space="preserve">   All additional kWh</t>
  </si>
  <si>
    <t>Supporting Schedules:  E-7, E-14 Supplement</t>
  </si>
  <si>
    <t>Standard - Unmetered</t>
  </si>
  <si>
    <t>Time-of-Day</t>
  </si>
  <si>
    <t>Time-of-Day On-Peak</t>
  </si>
  <si>
    <t>Time-of-Day Off-Peak</t>
  </si>
  <si>
    <t>Emergency Relay Charge</t>
  </si>
  <si>
    <t>GSD/GSD Opt./GSDT</t>
  </si>
  <si>
    <t xml:space="preserve"> Optional Secondary</t>
  </si>
  <si>
    <t xml:space="preserve"> Optional Primary</t>
  </si>
  <si>
    <t xml:space="preserve"> Optional Subtransmission</t>
  </si>
  <si>
    <t xml:space="preserve"> Time-of-Day Secondary</t>
  </si>
  <si>
    <t xml:space="preserve"> Time-of-Day Primary</t>
  </si>
  <si>
    <t xml:space="preserve"> Time-of-Day Subtransmission</t>
  </si>
  <si>
    <t xml:space="preserve"> Optional</t>
  </si>
  <si>
    <t xml:space="preserve"> Time-of-Day On-Peak</t>
  </si>
  <si>
    <t xml:space="preserve"> Time-of-Day Off-Peak</t>
  </si>
  <si>
    <t>Standard (all delivery voltages)</t>
  </si>
  <si>
    <t xml:space="preserve"> Optional (all delivery voltages)</t>
  </si>
  <si>
    <t xml:space="preserve"> Time-of-Day Billing (all delivery voltages)</t>
  </si>
  <si>
    <t xml:space="preserve"> Time-of-Day Peak (all delivery voltages)</t>
  </si>
  <si>
    <t>Optional Primary</t>
  </si>
  <si>
    <t>Optional Subtransmission</t>
  </si>
  <si>
    <t>Emergency Relay  Power Supply Charge:</t>
  </si>
  <si>
    <t>Continued on Page 5</t>
  </si>
  <si>
    <t>Continued from Page 4</t>
  </si>
  <si>
    <t>Power Factor Charge (all):</t>
  </si>
  <si>
    <t>$/kVARh</t>
  </si>
  <si>
    <t>Power Factor Credit (all):</t>
  </si>
  <si>
    <t>%</t>
  </si>
  <si>
    <t xml:space="preserve"> Supplemental  Demand Charge:</t>
  </si>
  <si>
    <t>Standard  (All delivery voltages)</t>
  </si>
  <si>
    <t xml:space="preserve"> Time-of-Day Billing  (All delivery voltages)</t>
  </si>
  <si>
    <t xml:space="preserve"> Time-of-Day Peak  (All delivery voltages)</t>
  </si>
  <si>
    <t xml:space="preserve"> Supplemental Energy Charge:</t>
  </si>
  <si>
    <t>Standard (All delivery voltages)</t>
  </si>
  <si>
    <t>Time-of-Day On-Peak (All delivery voltages)</t>
  </si>
  <si>
    <t>Time-of-Day Off-Peak (All delivery voltages)</t>
  </si>
  <si>
    <t xml:space="preserve">  Standby Demand Charge (All):</t>
  </si>
  <si>
    <t>Local Facilities Reservation</t>
  </si>
  <si>
    <t xml:space="preserve">     Plus the greater of</t>
  </si>
  <si>
    <t>Power Supply Reservation, or</t>
  </si>
  <si>
    <t>$/kW-Mo</t>
  </si>
  <si>
    <t>Power Supply Demand</t>
  </si>
  <si>
    <t>$/kW-Day</t>
  </si>
  <si>
    <t xml:space="preserve"> Standby Energy Charge:</t>
  </si>
  <si>
    <t>Time-of-Day (All delivery voltages)</t>
  </si>
  <si>
    <t>Supplemental</t>
  </si>
  <si>
    <t>Standby</t>
  </si>
  <si>
    <t>Time-of-Day Primary</t>
  </si>
  <si>
    <t>Time-of-Day Subtransmission</t>
  </si>
  <si>
    <t>Continued on Page 7</t>
  </si>
  <si>
    <t>Continued from Page 6</t>
  </si>
  <si>
    <t xml:space="preserve">Emergency Relay  Power Supply Charge (all): </t>
  </si>
  <si>
    <t>Supplemental and Standby</t>
  </si>
  <si>
    <t>Supplemental and Stanby</t>
  </si>
  <si>
    <t>Continued on Page 11</t>
  </si>
  <si>
    <t xml:space="preserve"> Time-of-Day Billing - (All delivery voltages)</t>
  </si>
  <si>
    <t xml:space="preserve"> Time-of-Day Peak -  (All delivery voltages)</t>
  </si>
  <si>
    <t>Emergency Relay Power Supply Charge (all):</t>
  </si>
  <si>
    <t>Standard subtransmission</t>
  </si>
  <si>
    <t xml:space="preserve"> Time-of-Day subtransmission</t>
  </si>
  <si>
    <t>Emergency Relay  Power Supply Charge (all):</t>
  </si>
  <si>
    <t xml:space="preserve">Standard </t>
  </si>
  <si>
    <t>Time of Day</t>
  </si>
  <si>
    <t>LS-1, LS-2</t>
  </si>
  <si>
    <t>LS-1 and LS 2</t>
  </si>
  <si>
    <t xml:space="preserve">Basic Service Charge: </t>
  </si>
  <si>
    <t>(for metered streetlighting accounts only)</t>
  </si>
  <si>
    <t>$/kWh</t>
  </si>
  <si>
    <t>New Charge</t>
  </si>
  <si>
    <t>New Rate</t>
  </si>
  <si>
    <t xml:space="preserve"> Time-of-Day Billing</t>
  </si>
  <si>
    <t xml:space="preserve"> Time-of-Day Peak</t>
  </si>
  <si>
    <t xml:space="preserve">  Standby Demand Charge:</t>
  </si>
  <si>
    <t xml:space="preserve"> Time-of-Day</t>
  </si>
  <si>
    <t xml:space="preserve"> Time-of-Day (all periods)</t>
  </si>
  <si>
    <t>Time-of-Day (all periods)</t>
  </si>
  <si>
    <t xml:space="preserve">    T-O-D - Subtransmission</t>
  </si>
  <si>
    <t xml:space="preserve">   T-O-D On-Peak - Subtransmission</t>
  </si>
  <si>
    <t xml:space="preserve">   T-O-D Off-Peak - Subtransmission</t>
  </si>
  <si>
    <t xml:space="preserve">   T-O-D Billing - Subtransmission</t>
  </si>
  <si>
    <t xml:space="preserve">   T-O-D Peak - Subtransmission</t>
  </si>
  <si>
    <t xml:space="preserve">   Standard Subtransmission</t>
  </si>
  <si>
    <t xml:space="preserve">   T-O-D Subtransmission</t>
  </si>
  <si>
    <t xml:space="preserve">    T-O-D Subtransmission </t>
  </si>
  <si>
    <t xml:space="preserve">    T-O-D On-Peak - Subtransmission</t>
  </si>
  <si>
    <t xml:space="preserve">    T-O-D Off-Peak - Subtransmission</t>
  </si>
  <si>
    <t xml:space="preserve">    T-O-D Billing - Subtransmission </t>
  </si>
  <si>
    <t xml:space="preserve">   Std. Facilities Reservation - Sub. </t>
  </si>
  <si>
    <t xml:space="preserve">   Std. Power Supply Res. - Sub.</t>
  </si>
  <si>
    <t xml:space="preserve">   Std. Power Supply Dmd. - Sub.</t>
  </si>
  <si>
    <t>Page 1 of 13</t>
  </si>
  <si>
    <t>Page 2 of 13</t>
  </si>
  <si>
    <t>Page 3 of 13</t>
  </si>
  <si>
    <t>Page 4 of 13</t>
  </si>
  <si>
    <t>Page 5 of 13</t>
  </si>
  <si>
    <t>Page 6 of 13</t>
  </si>
  <si>
    <t>Page 7 of 13</t>
  </si>
  <si>
    <t>Page 8 of 13</t>
  </si>
  <si>
    <t>Page 9 of 13</t>
  </si>
  <si>
    <t>Page 10 of 13</t>
  </si>
  <si>
    <t>Page 11 of 13</t>
  </si>
  <si>
    <t>Page 12 of 13</t>
  </si>
  <si>
    <t>Page 13 of 13</t>
  </si>
  <si>
    <t>SCHEDULE E-13d</t>
  </si>
  <si>
    <t>REVENUE BY RATE SCHEDULE - LIGHTING SCHEDULE CALCULATION</t>
  </si>
  <si>
    <t>Page 1 of 7</t>
  </si>
  <si>
    <t>EXPLANATION:</t>
  </si>
  <si>
    <t>LIGHTING SCHEDULE LS-1</t>
  </si>
  <si>
    <t>Present Rates</t>
  </si>
  <si>
    <t>Annual</t>
  </si>
  <si>
    <t>Est.</t>
  </si>
  <si>
    <t>Monthly</t>
  </si>
  <si>
    <t>Combined</t>
  </si>
  <si>
    <t>Billing</t>
  </si>
  <si>
    <t>Facility</t>
  </si>
  <si>
    <t>Maintenance</t>
  </si>
  <si>
    <t>Items</t>
  </si>
  <si>
    <t>Charge</t>
  </si>
  <si>
    <t>Rate Code</t>
  </si>
  <si>
    <t>High Pressure Sodium  - Dusk-to-Dawn Service</t>
  </si>
  <si>
    <t xml:space="preserve">   Cobra (closed) 800</t>
  </si>
  <si>
    <t>50 W</t>
  </si>
  <si>
    <t xml:space="preserve">   Cobra/Nema (closed) 802</t>
  </si>
  <si>
    <t>70 W</t>
  </si>
  <si>
    <t xml:space="preserve">   Cobra/Nema (closed) 803</t>
  </si>
  <si>
    <t>100 W</t>
  </si>
  <si>
    <t xml:space="preserve">   Cobra (closed) 804</t>
  </si>
  <si>
    <t>150 W</t>
  </si>
  <si>
    <t xml:space="preserve">   Cobra (closed) 805</t>
  </si>
  <si>
    <t>250 W</t>
  </si>
  <si>
    <t xml:space="preserve">   Cobra (closed) 806</t>
  </si>
  <si>
    <t>400 W</t>
  </si>
  <si>
    <t xml:space="preserve">   Flood (closed) 468</t>
  </si>
  <si>
    <t xml:space="preserve">   Flood (closed) 478</t>
  </si>
  <si>
    <t xml:space="preserve">   Mongoose (closed) 809</t>
  </si>
  <si>
    <t xml:space="preserve">   Post Top (PT) (closed) 509</t>
  </si>
  <si>
    <t xml:space="preserve">   Classic (PT) (closed) 570</t>
  </si>
  <si>
    <t xml:space="preserve">   Coach (PT) (closed) 810</t>
  </si>
  <si>
    <t xml:space="preserve">   Colonial (PT) (closed) 572</t>
  </si>
  <si>
    <t xml:space="preserve">   Salem (PT) (closed) 573</t>
  </si>
  <si>
    <t xml:space="preserve">   Shoebox (closed) 550</t>
  </si>
  <si>
    <t xml:space="preserve">   Shoebox (closed) 566</t>
  </si>
  <si>
    <t xml:space="preserve">   Shoebox (closed) 552</t>
  </si>
  <si>
    <t xml:space="preserve">   Subtotal this section</t>
  </si>
  <si>
    <t>Metal Halide - Dusk-to-Dawn Service</t>
  </si>
  <si>
    <t xml:space="preserve">    Cobra (closed) 704</t>
  </si>
  <si>
    <t>350 W</t>
  </si>
  <si>
    <t xml:space="preserve">    Cobra (closed) 520</t>
  </si>
  <si>
    <t xml:space="preserve">    Flood (closed) 705</t>
  </si>
  <si>
    <t xml:space="preserve">    Flood (closed) 556</t>
  </si>
  <si>
    <t xml:space="preserve">    Flood (closed) 558</t>
  </si>
  <si>
    <t>1000 W</t>
  </si>
  <si>
    <t xml:space="preserve">    General (PT) (closed) 701</t>
  </si>
  <si>
    <t xml:space="preserve">    General (PT) (closed) 574</t>
  </si>
  <si>
    <t>175 W</t>
  </si>
  <si>
    <t xml:space="preserve">    Salem (PT) (closed) 700</t>
  </si>
  <si>
    <t xml:space="preserve">    Salem (PT) (closed) 575</t>
  </si>
  <si>
    <t xml:space="preserve">    Shoebox (closed) 702</t>
  </si>
  <si>
    <t xml:space="preserve">    Shoebox (closed) 564</t>
  </si>
  <si>
    <t xml:space="preserve">    Shoebox (closed) 703</t>
  </si>
  <si>
    <t xml:space="preserve">    Shoebox (closed) 554</t>
  </si>
  <si>
    <t xml:space="preserve">    Shoebox (closed) 576</t>
  </si>
  <si>
    <t>Continued on Page 2</t>
  </si>
  <si>
    <t>Supporting Schedules:</t>
  </si>
  <si>
    <t>Recap Schedules: E-13a</t>
  </si>
  <si>
    <t>Page 2 of 7</t>
  </si>
  <si>
    <t xml:space="preserve">                  EXPLANATION:</t>
  </si>
  <si>
    <t>Continued from Page 1</t>
  </si>
  <si>
    <t>High Pressure Sodium - Timed Service</t>
  </si>
  <si>
    <t xml:space="preserve">   Cobra (closed) 860</t>
  </si>
  <si>
    <t xml:space="preserve">   Cobra/Nema (closed) 862</t>
  </si>
  <si>
    <t xml:space="preserve">   Cobra/Nema (closed) 863</t>
  </si>
  <si>
    <t xml:space="preserve">   Cobra (closed) 864</t>
  </si>
  <si>
    <t xml:space="preserve">   Cobra (closed) 865</t>
  </si>
  <si>
    <t xml:space="preserve">   Cobra (closed) 866</t>
  </si>
  <si>
    <t xml:space="preserve">   Flood (closed) 454</t>
  </si>
  <si>
    <t xml:space="preserve">   Flood (closed) 484</t>
  </si>
  <si>
    <t xml:space="preserve">   Mongoose (closed) 869</t>
  </si>
  <si>
    <t xml:space="preserve">   Post Top (PT) (closed) 508</t>
  </si>
  <si>
    <t xml:space="preserve">   Classic (PT) (closed) 530</t>
  </si>
  <si>
    <t xml:space="preserve">   Coach (PT) (closed) 870</t>
  </si>
  <si>
    <t xml:space="preserve">   Colonial (PT) (closed) 532</t>
  </si>
  <si>
    <t xml:space="preserve">   Salem (PT) (closed) 533</t>
  </si>
  <si>
    <t xml:space="preserve">   Shoebox (closed) 534</t>
  </si>
  <si>
    <t xml:space="preserve">   Shoebox (closed) 536</t>
  </si>
  <si>
    <t xml:space="preserve">   Shoebox (closed) 538</t>
  </si>
  <si>
    <t>Metal Halide - Timed Service</t>
  </si>
  <si>
    <t xml:space="preserve">    Cobra (closed) 724</t>
  </si>
  <si>
    <t xml:space="preserve">    Cobra (closed) 522</t>
  </si>
  <si>
    <t xml:space="preserve">    Flood (closed) 725</t>
  </si>
  <si>
    <t xml:space="preserve">    Flood (closed) 541</t>
  </si>
  <si>
    <t xml:space="preserve">    Flood (closed) 578</t>
  </si>
  <si>
    <t xml:space="preserve">    General (PT) (closed) 721</t>
  </si>
  <si>
    <t xml:space="preserve">    General (PT) (closed) 548</t>
  </si>
  <si>
    <t xml:space="preserve">    Salem (PT) (closed) 720</t>
  </si>
  <si>
    <t xml:space="preserve">    Salem (PT) (closed) 568</t>
  </si>
  <si>
    <t>Shoebox (closed) 722</t>
  </si>
  <si>
    <t xml:space="preserve">    Shoebox (closed) 549</t>
  </si>
  <si>
    <t xml:space="preserve">    Shoebox (closed) 723</t>
  </si>
  <si>
    <t xml:space="preserve">    Shoebox (closed) 540</t>
  </si>
  <si>
    <t xml:space="preserve">    Shoebox (closed) 577</t>
  </si>
  <si>
    <t>Continued on Page 3</t>
  </si>
  <si>
    <t>Page 3 of 7</t>
  </si>
  <si>
    <t>Continued from Page 2</t>
  </si>
  <si>
    <t>Closed LED - Dusk-to-Dawn Service</t>
  </si>
  <si>
    <t xml:space="preserve">   Roadway (closed) 828</t>
  </si>
  <si>
    <t>56 W</t>
  </si>
  <si>
    <t xml:space="preserve">   Roadway (closed) 820</t>
  </si>
  <si>
    <t>103 W</t>
  </si>
  <si>
    <t xml:space="preserve">   Roadway (closed) 821</t>
  </si>
  <si>
    <t>106 W</t>
  </si>
  <si>
    <t xml:space="preserve">   Roadway (closed) 829</t>
  </si>
  <si>
    <t>157 W</t>
  </si>
  <si>
    <t xml:space="preserve">   Roadway (closed) 822</t>
  </si>
  <si>
    <t>196 W</t>
  </si>
  <si>
    <t xml:space="preserve">   Roadway (closed) 823</t>
  </si>
  <si>
    <t>206 W</t>
  </si>
  <si>
    <t xml:space="preserve">   Post Top (PT) (closed) 835</t>
  </si>
  <si>
    <t>60 W</t>
  </si>
  <si>
    <t xml:space="preserve">   Post Top (PT) (closed) 824</t>
  </si>
  <si>
    <t>67 W</t>
  </si>
  <si>
    <t xml:space="preserve">   Post Top (PT) (closed) 825</t>
  </si>
  <si>
    <t>99 W</t>
  </si>
  <si>
    <t xml:space="preserve">   Post Top (PT) (closed) 836</t>
  </si>
  <si>
    <t xml:space="preserve">   Area-Lighter (closed) 830</t>
  </si>
  <si>
    <t>152 W</t>
  </si>
  <si>
    <t xml:space="preserve">   Area-Lighter (closed) 826</t>
  </si>
  <si>
    <t>202 W</t>
  </si>
  <si>
    <t xml:space="preserve">   Area-Lighter (closed) 827</t>
  </si>
  <si>
    <t>309 W</t>
  </si>
  <si>
    <t xml:space="preserve">   Flood (closed) 831</t>
  </si>
  <si>
    <t>238 W</t>
  </si>
  <si>
    <t xml:space="preserve">   Flood (closed) 832</t>
  </si>
  <si>
    <t>359 W</t>
  </si>
  <si>
    <t xml:space="preserve">   Mongoose (closed) 833</t>
  </si>
  <si>
    <t>245 W</t>
  </si>
  <si>
    <t xml:space="preserve">   Mongoose (closed) 834</t>
  </si>
  <si>
    <t>328 W</t>
  </si>
  <si>
    <t>Closed LED - Timed Service</t>
  </si>
  <si>
    <t xml:space="preserve">   Roadway (closed) 848</t>
  </si>
  <si>
    <t xml:space="preserve">   Roadway (closed) 840</t>
  </si>
  <si>
    <t xml:space="preserve">   Roadway (closed) 841</t>
  </si>
  <si>
    <t xml:space="preserve">   Roadway (closed) 849</t>
  </si>
  <si>
    <t xml:space="preserve">   Roadway (closed) 842</t>
  </si>
  <si>
    <t xml:space="preserve">   Roadway (closed) 843</t>
  </si>
  <si>
    <t xml:space="preserve">   Post Top (PT) (closed) 855</t>
  </si>
  <si>
    <t xml:space="preserve">   Post Top (PT) (closed) 844</t>
  </si>
  <si>
    <t xml:space="preserve">   Post Top (PT) (closed) 845</t>
  </si>
  <si>
    <t xml:space="preserve">   Post Top (PT) (closed) 856</t>
  </si>
  <si>
    <t xml:space="preserve">   Area-Lighter (closed) 850</t>
  </si>
  <si>
    <t xml:space="preserve">   Area-Lighter (closed) 846</t>
  </si>
  <si>
    <t xml:space="preserve">   Area-Lighter (closed) 847</t>
  </si>
  <si>
    <t xml:space="preserve">   Flood (closed) 851</t>
  </si>
  <si>
    <t xml:space="preserve">   Flood (closed) 852</t>
  </si>
  <si>
    <t xml:space="preserve">   Mongoose (closed) 853</t>
  </si>
  <si>
    <t xml:space="preserve">   Mongoose (closed) 854</t>
  </si>
  <si>
    <t>Continued on Page 4</t>
  </si>
  <si>
    <t>Page 4 of 7</t>
  </si>
  <si>
    <t/>
  </si>
  <si>
    <t>Continued from Page 3</t>
  </si>
  <si>
    <t>Open LED - Dusk-to-Dawn Service</t>
  </si>
  <si>
    <t>Roadway 912</t>
  </si>
  <si>
    <t>27 W</t>
  </si>
  <si>
    <t>Roadway 914</t>
  </si>
  <si>
    <t>47 W</t>
  </si>
  <si>
    <t>Roadway/Area 921</t>
  </si>
  <si>
    <t>88 W</t>
  </si>
  <si>
    <t>Roadway 926</t>
  </si>
  <si>
    <t>105 W</t>
  </si>
  <si>
    <t>Roadway/Area 932</t>
  </si>
  <si>
    <t>133 W</t>
  </si>
  <si>
    <t>Area-Lighter 935</t>
  </si>
  <si>
    <t>143 W</t>
  </si>
  <si>
    <t>Roadway 937</t>
  </si>
  <si>
    <t>145 W</t>
  </si>
  <si>
    <t>Roadway 941</t>
  </si>
  <si>
    <t>182 W</t>
  </si>
  <si>
    <t>Area-Lighter 945</t>
  </si>
  <si>
    <t>247 W</t>
  </si>
  <si>
    <t>Area-Lighter 947</t>
  </si>
  <si>
    <t>330 W</t>
  </si>
  <si>
    <t>Flood 951</t>
  </si>
  <si>
    <t>199 W</t>
  </si>
  <si>
    <t>Flood 953</t>
  </si>
  <si>
    <t>255 W</t>
  </si>
  <si>
    <t>Mongoose 956</t>
  </si>
  <si>
    <t>225 W</t>
  </si>
  <si>
    <t>Mongoose 958</t>
  </si>
  <si>
    <t>333 W</t>
  </si>
  <si>
    <t>Granville (PT) 965</t>
  </si>
  <si>
    <t>26 W</t>
  </si>
  <si>
    <t>Granville (PT) 967</t>
  </si>
  <si>
    <t>39 W</t>
  </si>
  <si>
    <t>Granville (PT) Enh 967 ENH aka 968</t>
  </si>
  <si>
    <t>Salem (PT) 971</t>
  </si>
  <si>
    <t>55 W</t>
  </si>
  <si>
    <t>Granville (PT) 972</t>
  </si>
  <si>
    <t>Granville (PT) Enh 972 ENH aka 973</t>
  </si>
  <si>
    <t>Salem (PT) 975</t>
  </si>
  <si>
    <t>76 W</t>
  </si>
  <si>
    <t>Page 5 of 7</t>
  </si>
  <si>
    <t>Open LED - Timed Service</t>
  </si>
  <si>
    <t>Roadway 901</t>
  </si>
  <si>
    <t>Roadway/Area 902</t>
  </si>
  <si>
    <t>Roadway/Area 903</t>
  </si>
  <si>
    <t>Area-Lighter 904</t>
  </si>
  <si>
    <t>Roadway 905</t>
  </si>
  <si>
    <t>Area-Lighter 906</t>
  </si>
  <si>
    <t>Mongoose 907</t>
  </si>
  <si>
    <t>Roadway 981</t>
  </si>
  <si>
    <t>Roadway 982</t>
  </si>
  <si>
    <t>Roadway 983</t>
  </si>
  <si>
    <t>Area-Lighter 984</t>
  </si>
  <si>
    <t>Flood 985</t>
  </si>
  <si>
    <t>Flood 986</t>
  </si>
  <si>
    <t>Mongoose 987</t>
  </si>
  <si>
    <t>Granville (PT) 988</t>
  </si>
  <si>
    <t>Granville (PT) Enh 988 ENH aka 989</t>
  </si>
  <si>
    <t>Salem (PT) 990</t>
  </si>
  <si>
    <t>Granville Post Top PT 991</t>
  </si>
  <si>
    <t>Salem PT 992</t>
  </si>
  <si>
    <t>Granville PT 993</t>
  </si>
  <si>
    <t>Granville PT Enh 994</t>
  </si>
  <si>
    <t>Total Fixtures and kWh</t>
  </si>
  <si>
    <t>Continued on Page 6</t>
  </si>
  <si>
    <t>Page 6 of 7</t>
  </si>
  <si>
    <t>Pole/Wire</t>
  </si>
  <si>
    <t xml:space="preserve">  Wood - 30 ft. (inaccessible) (closed) 425</t>
  </si>
  <si>
    <t>OH wire</t>
  </si>
  <si>
    <t xml:space="preserve">  Wood - 30 ft. 626</t>
  </si>
  <si>
    <t xml:space="preserve">  Wood - 35 ft. 627</t>
  </si>
  <si>
    <t xml:space="preserve">  Wood -  up to 45 ft. 597</t>
  </si>
  <si>
    <t xml:space="preserve">  Std. Concrete - 35 ft. 637</t>
  </si>
  <si>
    <t xml:space="preserve">  Std. Concrete -  up to 45 ft. 594</t>
  </si>
  <si>
    <t xml:space="preserve">  Std. Concrete -  16ft. 599</t>
  </si>
  <si>
    <t>UG wire</t>
  </si>
  <si>
    <t xml:space="preserve">  Std. Concrete -  25 or 30 ft. 595</t>
  </si>
  <si>
    <t xml:space="preserve">  Std. Concrete -  35 ft. 588</t>
  </si>
  <si>
    <t xml:space="preserve">  Std. Concrete -  35 ft. (70-100 W or up to 100 ft span) (closed) 607</t>
  </si>
  <si>
    <t xml:space="preserve">  Std. Concrete -  35 ft. (150 W or 100-150 ft span) (closed) 612</t>
  </si>
  <si>
    <t xml:space="preserve">  Std. Concrete -  35 ft. (250 W - 400 W or above 150 ft span) (closed) 614</t>
  </si>
  <si>
    <t xml:space="preserve">  Std. Concrete -  up to 45 ft. 596</t>
  </si>
  <si>
    <t xml:space="preserve">  Round Concrete -  23 ft.  523</t>
  </si>
  <si>
    <t xml:space="preserve">  Tall Waterford -  35 ft. (Concrete) 591</t>
  </si>
  <si>
    <t xml:space="preserve">  Victorian (PT) (Concrete) 592</t>
  </si>
  <si>
    <t xml:space="preserve">  Winston (PT) (Concrete) 593</t>
  </si>
  <si>
    <t xml:space="preserve">  Waterford (PT) (Concrete) 583</t>
  </si>
  <si>
    <t xml:space="preserve">  Aluminum - 10 ft. (closed) 422</t>
  </si>
  <si>
    <t xml:space="preserve">  Aluminum - 27 ft.  616</t>
  </si>
  <si>
    <t xml:space="preserve">  Aluminum - 28 ft.  615</t>
  </si>
  <si>
    <t xml:space="preserve">  Aluminum - 37 ft.  622</t>
  </si>
  <si>
    <t xml:space="preserve">  Waterside (Aluminum) 623</t>
  </si>
  <si>
    <t xml:space="preserve">  Aluminum - (PT) (closed) 584</t>
  </si>
  <si>
    <t xml:space="preserve">  Capitol (PT)  (Aluminum) (closed) 581</t>
  </si>
  <si>
    <t xml:space="preserve">  Charleston (PT)  (Aluminum) 586</t>
  </si>
  <si>
    <t xml:space="preserve">  Charleston Banner (PT) (Aluminum) 585</t>
  </si>
  <si>
    <t xml:space="preserve">  Charleston HD (PT) (Aluminum) 590</t>
  </si>
  <si>
    <t xml:space="preserve">  Heritage (PT)(Aluminum) (closed) 580</t>
  </si>
  <si>
    <t xml:space="preserve">  Riviera (PT)  (Aluminum) (closed)</t>
  </si>
  <si>
    <t xml:space="preserve">  Steel - 30 ft. (closed) 589</t>
  </si>
  <si>
    <t xml:space="preserve">  Fiberglass (PT) - 16 ft. (closed) 624</t>
  </si>
  <si>
    <t>Winston (closed)</t>
  </si>
  <si>
    <t>Page 7 of 7</t>
  </si>
  <si>
    <t xml:space="preserve">  Franklin Composite 525</t>
  </si>
  <si>
    <t xml:space="preserve">  Existing Pole 641</t>
  </si>
  <si>
    <t>Total Pole/Wire</t>
  </si>
  <si>
    <t>Miscellaneous Lighting Facilities</t>
  </si>
  <si>
    <t xml:space="preserve">Timer </t>
  </si>
  <si>
    <t>Post Top Bracket (for additional post top fixtures)</t>
  </si>
  <si>
    <t xml:space="preserve"> Total Miscellaneous Lighting Facilities</t>
  </si>
  <si>
    <t>Total Base Revenue</t>
  </si>
  <si>
    <t>SCHEDULE E-12</t>
  </si>
  <si>
    <t>ADJUSTMENT TO TEST YEAR REVENUE</t>
  </si>
  <si>
    <t xml:space="preserve">EXPLANATION: </t>
  </si>
  <si>
    <t>Provide a schedule showing the calculation of the adjustment by rate class to the test year amount of unbilled</t>
  </si>
  <si>
    <t>revenue for the effect of the proposed rate increase.  The calculation of test year unbilled revenue at present</t>
  </si>
  <si>
    <t>rates is provided in Schedule E-5.</t>
  </si>
  <si>
    <t>DEVELOPMENT OF UNBILLED REVENUE AT PRESENT RATES</t>
  </si>
  <si>
    <t xml:space="preserve"> </t>
  </si>
  <si>
    <t>Energy</t>
  </si>
  <si>
    <t>and</t>
  </si>
  <si>
    <t>Billed</t>
  </si>
  <si>
    <t>Energy and</t>
  </si>
  <si>
    <t>Calandar</t>
  </si>
  <si>
    <t>Unbilled</t>
  </si>
  <si>
    <t xml:space="preserve">Demand </t>
  </si>
  <si>
    <t xml:space="preserve"> Rate</t>
  </si>
  <si>
    <t xml:space="preserve"> MWH</t>
  </si>
  <si>
    <t xml:space="preserve">Customer </t>
  </si>
  <si>
    <t>Demand</t>
  </si>
  <si>
    <t>MWH</t>
  </si>
  <si>
    <t>Class</t>
  </si>
  <si>
    <t>Sales</t>
  </si>
  <si>
    <t>$/MWH</t>
  </si>
  <si>
    <t>( 5 - 1)</t>
  </si>
  <si>
    <t>(4 / 1)</t>
  </si>
  <si>
    <t>(6 x 7)</t>
  </si>
  <si>
    <t>I.</t>
  </si>
  <si>
    <t>II.</t>
  </si>
  <si>
    <t>Total Class I +II</t>
  </si>
  <si>
    <t>III.</t>
  </si>
  <si>
    <t>IV.</t>
  </si>
  <si>
    <t xml:space="preserve">    Total Class III + IV </t>
  </si>
  <si>
    <t>V.</t>
  </si>
  <si>
    <t>Lighting Service</t>
  </si>
  <si>
    <t>a. Electricity Sales</t>
  </si>
  <si>
    <t>b.  Facilities</t>
  </si>
  <si>
    <t>Supporting Schedules: E-5</t>
  </si>
  <si>
    <t>DEVELOPMENT OF UNBILLED REVENUE AT PROPOSED RATES</t>
  </si>
  <si>
    <t>Change</t>
  </si>
  <si>
    <t>(Pg 2 Col 8 - Pg 1 Col 8)</t>
  </si>
  <si>
    <t>VI.</t>
  </si>
  <si>
    <t>2025 Calendar Billing Determinants for Unbilled and MFR E-12</t>
  </si>
  <si>
    <t>LS</t>
  </si>
  <si>
    <t>Unbilled kWh Classifiers</t>
  </si>
  <si>
    <t>Rate Design Adjustments</t>
  </si>
  <si>
    <t>2025 Revenue Requirement Collection</t>
  </si>
  <si>
    <t>12-Month Sum</t>
  </si>
  <si>
    <t>High Pressure Sodium - Dusk-to-Dawn</t>
  </si>
  <si>
    <t>Metal Halide - Dusk-to-Dawn</t>
  </si>
  <si>
    <t>Pole / Wire</t>
  </si>
  <si>
    <t>Timer</t>
  </si>
  <si>
    <t>PT Bracket</t>
  </si>
  <si>
    <t>Metered</t>
  </si>
  <si>
    <t>LED Dusk-to-Dawn</t>
  </si>
  <si>
    <t>LED - Timed Service</t>
  </si>
  <si>
    <t>YBOR</t>
  </si>
  <si>
    <t>New LED - Dusk-to-Dawn</t>
  </si>
  <si>
    <t>new LowWattSalem</t>
  </si>
  <si>
    <t>New LED - Timed Service</t>
  </si>
  <si>
    <t>989
(988 ENH)</t>
  </si>
  <si>
    <t>Total Units</t>
  </si>
  <si>
    <t>Facility Charge</t>
  </si>
  <si>
    <t>Maintenance Charge</t>
  </si>
  <si>
    <t xml:space="preserve"> -   </t>
  </si>
  <si>
    <t>Calculate revenues under present and proposed rates for the test year for each lighting schedule.  Show revenues</t>
  </si>
  <si>
    <t xml:space="preserve">from charges for all types of lighting fixtures, poles and conductors.  Poles should be listed separately from fixtures.  </t>
  </si>
  <si>
    <t xml:space="preserve">Show separately revenues from customers who own facilities and those who do not.  Annual KWH's must agree </t>
  </si>
  <si>
    <t>with the data provided in Schedule E-15.</t>
  </si>
  <si>
    <t xml:space="preserve">   Time-of-Day Super Off-Peak</t>
  </si>
  <si>
    <t>GST Super Off-Peak Energy Charge</t>
  </si>
  <si>
    <t>GSDT Super Off-Peak Energy Charge Secondary</t>
  </si>
  <si>
    <t>GSDT Super Off-Peak Energy Charge Primary</t>
  </si>
  <si>
    <t>GSDT Super Off-Peak Energy Charge Subtransmission</t>
  </si>
  <si>
    <t>SBDT Supplemental Super Off-Peak Energy Charge Secondary</t>
  </si>
  <si>
    <t>SBDT Supplemental Super Off-Peak Energy Charge Primary</t>
  </si>
  <si>
    <t>SBDT Supplemental Super Off-Peak Energy Charge Subtransmission</t>
  </si>
  <si>
    <t>SBDT Standby Super Off-Peak Energy Charge Secondary</t>
  </si>
  <si>
    <t>SBDT Standby Super Off-Peak Energy Charge Primary</t>
  </si>
  <si>
    <t>SBDT Standby Super Off-Peak Energy Charge Subtransmission</t>
  </si>
  <si>
    <t>GSLDTPR Super Off-Peak Energy Charge</t>
  </si>
  <si>
    <t>SBLDTPR Supplemental Super Off-Peak Energy Charge</t>
  </si>
  <si>
    <t>SBLDTPR Standby Super Off-Peak Energy Charge</t>
  </si>
  <si>
    <t>GSLDTSU Super Off-Peak Energy Charge</t>
  </si>
  <si>
    <t>SBLDTSU Supplemental Super Off-Peak Energy Charge</t>
  </si>
  <si>
    <t>SBLDTSU Standby Super Off-Peak Energy Charge</t>
  </si>
  <si>
    <t xml:space="preserve">    Time-of-Day Secondary - Super Off-Peak</t>
  </si>
  <si>
    <t xml:space="preserve">    Time-of-Day Primary  - Super Off-Peak</t>
  </si>
  <si>
    <t xml:space="preserve">    Time-of-Day Subtrans - Super Off Peak</t>
  </si>
  <si>
    <t xml:space="preserve">   TOD Secondary - Super Off-Peak</t>
  </si>
  <si>
    <t xml:space="preserve">   TOD Primary - Super Off-peak</t>
  </si>
  <si>
    <t xml:space="preserve">   TOD Subtransmission - Super Off-peak</t>
  </si>
  <si>
    <t xml:space="preserve">    Time-of-Day Subtrans. - Super Off-Peak</t>
  </si>
  <si>
    <t>SCHEDULE E-8</t>
  </si>
  <si>
    <t>Page 1 of 1</t>
  </si>
  <si>
    <t>Provide a schedule which shows the company-proposed increase in revenue by rate schedule and</t>
  </si>
  <si>
    <t xml:space="preserve">   Type of data shown:</t>
  </si>
  <si>
    <t>Projected Test Year Ended 12/31/2025</t>
  </si>
  <si>
    <t>Witness: J. M. Williams</t>
  </si>
  <si>
    <t>(A)</t>
  </si>
  <si>
    <t>(B)</t>
  </si>
  <si>
    <t>(D)</t>
  </si>
  <si>
    <t>(E)</t>
  </si>
  <si>
    <t>(F)</t>
  </si>
  <si>
    <t>(G)</t>
  </si>
  <si>
    <t>(H)</t>
  </si>
  <si>
    <t>(I)</t>
  </si>
  <si>
    <t>(J)</t>
  </si>
  <si>
    <t>Dollars in Thousands</t>
  </si>
  <si>
    <t>Present COS</t>
  </si>
  <si>
    <t>Proposed COS</t>
  </si>
  <si>
    <t>Present Revenues</t>
  </si>
  <si>
    <t>From</t>
  </si>
  <si>
    <t>Proposed Revenues</t>
  </si>
  <si>
    <t xml:space="preserve">Line </t>
  </si>
  <si>
    <t>ROR (%)</t>
  </si>
  <si>
    <t>Index</t>
  </si>
  <si>
    <t xml:space="preserve">Operating </t>
  </si>
  <si>
    <t>of Electricity</t>
  </si>
  <si>
    <t>I.   RS (a)</t>
  </si>
  <si>
    <t>II.  GS (b)</t>
  </si>
  <si>
    <t>III.  GSD (c)</t>
  </si>
  <si>
    <t>V.  GSLDPR (c)</t>
  </si>
  <si>
    <t>VI.  GSLDSU (c)</t>
  </si>
  <si>
    <t>a.  Energy Service (e)</t>
  </si>
  <si>
    <t>b.  Facilities (f)</t>
  </si>
  <si>
    <t xml:space="preserve">Total VII.a. + VII. b. </t>
  </si>
  <si>
    <t>Total Retail</t>
  </si>
  <si>
    <t>Justification for any class not left at system Rate of Return:</t>
  </si>
  <si>
    <t>(a)</t>
  </si>
  <si>
    <t>(b)</t>
  </si>
  <si>
    <t>(c)</t>
  </si>
  <si>
    <t>(d)</t>
  </si>
  <si>
    <t>(e)</t>
  </si>
  <si>
    <t>Supporting Schedules:  E-1</t>
  </si>
  <si>
    <t>Service</t>
  </si>
  <si>
    <t>(L)</t>
  </si>
  <si>
    <t>(K)</t>
  </si>
  <si>
    <t>E-13b Proposed Revenues</t>
  </si>
  <si>
    <t>E-13b Present Revenues</t>
  </si>
  <si>
    <t>the present and company-proposed class rates of return under the proposed cost of service study.</t>
  </si>
  <si>
    <t>Provide justification for every class not left at the system rate of return.  If the increase from service</t>
  </si>
  <si>
    <t>charges by rate class does not equal that shown on Schedule E-13b or if the increase from sales of</t>
  </si>
  <si>
    <t>electricity does not equal that shown on Schedule E-13a, provide an explanation.</t>
  </si>
  <si>
    <t>COSS Factor 420 on Reports tab</t>
  </si>
  <si>
    <t>(C)</t>
  </si>
  <si>
    <t>(M)</t>
  </si>
  <si>
    <t>Service Charge</t>
  </si>
  <si>
    <t>LS-2 Lighting Facilities</t>
  </si>
  <si>
    <t>LS-2</t>
  </si>
  <si>
    <t>Input Area</t>
  </si>
  <si>
    <t>Energy (kWh) -Metered/Unmetered</t>
  </si>
  <si>
    <t>Energy (kWh) - COM/GOV</t>
  </si>
  <si>
    <t>Energy Base Revenues</t>
  </si>
  <si>
    <t>F&amp;M Charges</t>
  </si>
  <si>
    <t>year</t>
  </si>
  <si>
    <t>month</t>
  </si>
  <si>
    <t>Metered 
Energy 
(kWh)</t>
  </si>
  <si>
    <t>Unmetered 
Energy 
(kWh)</t>
  </si>
  <si>
    <t>Total
Energy 
(kWh)</t>
  </si>
  <si>
    <t>Commercial (kWh)</t>
  </si>
  <si>
    <t>Governmental (kWh)</t>
  </si>
  <si>
    <t>Energy Rate ($/MWH)</t>
  </si>
  <si>
    <t>Commercial 
Energy 
Base Revenues</t>
  </si>
  <si>
    <t>Governmental
Energy 
Base Revenues</t>
  </si>
  <si>
    <t>Total
Energy 
Base Revenues</t>
  </si>
  <si>
    <t>Commercial F&amp;M Charge</t>
  </si>
  <si>
    <t>Governmental F&amp;M Charge</t>
  </si>
  <si>
    <t>Total F&amp;M Charge</t>
  </si>
  <si>
    <t>Total LS2 Base Revenues</t>
  </si>
  <si>
    <t>Forecast</t>
  </si>
  <si>
    <t xml:space="preserve"> Total LS-2 Facilities</t>
  </si>
  <si>
    <t>2025 Operating Revenue Requirement</t>
  </si>
  <si>
    <t>Sun Select Energy Charge</t>
  </si>
  <si>
    <t>SSR-1 (Sun Select)**</t>
  </si>
  <si>
    <t>GS Sun Select Energy Charge</t>
  </si>
  <si>
    <t>**Sun Select kWh are excluded from total kWh</t>
  </si>
  <si>
    <t>GSD Sun Select Energy Charge</t>
  </si>
  <si>
    <t xml:space="preserve">LS-1, LS-2 (Facilities) </t>
  </si>
  <si>
    <t>Time-of-Day Super Off-Peak</t>
  </si>
  <si>
    <t xml:space="preserve"> Time-of-Day Super Off-Peak</t>
  </si>
  <si>
    <t>Time-of-Day Super Off-Peak (All delivery voltages)</t>
  </si>
  <si>
    <t xml:space="preserve"> Time-of-Day Super Off-Peak - Primary</t>
  </si>
  <si>
    <t>T-O-D Super Off-Peak</t>
  </si>
  <si>
    <t xml:space="preserve">   T-O-D Super Off-Peak - Secondary</t>
  </si>
  <si>
    <t xml:space="preserve">   T-O-D Super Off-Peak - Primary</t>
  </si>
  <si>
    <t xml:space="preserve">   T-O-D Super Off-Peak - Subtrans.</t>
  </si>
  <si>
    <t xml:space="preserve">    T-O-D Super Off-Peak - Secondary</t>
  </si>
  <si>
    <t xml:space="preserve">    T-O-D Super Off-Peak - Primary</t>
  </si>
  <si>
    <t xml:space="preserve">    T-O-D Super Off-Peak - Subtrans.</t>
  </si>
  <si>
    <t xml:space="preserve">    T-O-D Super Off-Peak -Secondary</t>
  </si>
  <si>
    <t xml:space="preserve">   T-O-D Super Off-Peak - Subtransmission</t>
  </si>
  <si>
    <t xml:space="preserve">    T-O-D Super Off-Peak - Subtransmission</t>
  </si>
  <si>
    <t>AMI Opt-Out</t>
  </si>
  <si>
    <t>Year</t>
  </si>
  <si>
    <t>Month</t>
  </si>
  <si>
    <t>RS_AMIOptOut_BaseRev</t>
  </si>
  <si>
    <t>GS_AMIOptOut_BaseRev</t>
  </si>
  <si>
    <t>GSD_AMIOptOut_BaseRev</t>
  </si>
  <si>
    <t>AMIOptOut_TotBaseRev</t>
  </si>
  <si>
    <t>Residential</t>
  </si>
  <si>
    <t>Commercial</t>
  </si>
  <si>
    <t>RS_AMIOptOut_Cust</t>
  </si>
  <si>
    <t>GS_AMIOptOut_Cust</t>
  </si>
  <si>
    <t>GSD_AMIOptOut_Cust</t>
  </si>
  <si>
    <t>AMI_OptOut_TotalCustomers</t>
  </si>
  <si>
    <t>AMI_OptOut_DailyFeeRecurring</t>
  </si>
  <si>
    <t>Check</t>
  </si>
  <si>
    <t>GSD_Secondary</t>
  </si>
  <si>
    <t>EDR/CISR Credit</t>
  </si>
  <si>
    <t>RS class is minimally below the system Rate of Return because LS, by Order, could not receive a rate class revenue decrease</t>
  </si>
  <si>
    <t>GSD class is minimally below the system Rate of Return because LS, by Order, could not receive a rate class revenue decrease</t>
  </si>
  <si>
    <t>GSLDSU class is below the system Rate of Return because LS, by Order, could not receive a rate class revenue decrease.</t>
  </si>
  <si>
    <t>VII.  LS</t>
  </si>
  <si>
    <t>LS class is above the system Rate of Return because LS, by Order, could not receive a rate class revenue decrease.</t>
  </si>
  <si>
    <t>E-13a minimally differs from E-8 due to rounding</t>
  </si>
  <si>
    <t>DOCKET No. 20240026-EI</t>
  </si>
  <si>
    <t>SUPER OFF-PEAK</t>
  </si>
  <si>
    <t>SCHEDULE E-5</t>
  </si>
  <si>
    <t>SOURCE AND AMOUNT OF REVENUES - AT PRESENT AND PROPOSED RATES</t>
  </si>
  <si>
    <t xml:space="preserve">Provide a schedule by rate class which identifies the source and amount of all revenue included in the </t>
  </si>
  <si>
    <t>Cost of Service Study.  The base rate revenue from retail sales of electricity must equal that shown on</t>
  </si>
  <si>
    <t>xx</t>
  </si>
  <si>
    <t>MFR Schedule E-13a.  The revenue from service charges must equal that shown on MFR Schedule E-13b.</t>
  </si>
  <si>
    <t>The total revenue for the retail system must equal that shown on MFR Schedule C-4.</t>
  </si>
  <si>
    <t>Source</t>
  </si>
  <si>
    <t>REVENUES  in  $000's</t>
  </si>
  <si>
    <t xml:space="preserve">by </t>
  </si>
  <si>
    <t>Account</t>
  </si>
  <si>
    <t>Lighting</t>
  </si>
  <si>
    <t>Number</t>
  </si>
  <si>
    <t xml:space="preserve"> of Source</t>
  </si>
  <si>
    <t>Company</t>
  </si>
  <si>
    <t>Wholesale</t>
  </si>
  <si>
    <t>Retail</t>
  </si>
  <si>
    <t>Facilities</t>
  </si>
  <si>
    <t>PRESENT RATES</t>
  </si>
  <si>
    <t>440-447</t>
  </si>
  <si>
    <t>Sales of Electricity</t>
  </si>
  <si>
    <t>451</t>
  </si>
  <si>
    <t>Miscellaneous Service Charges</t>
  </si>
  <si>
    <t>454</t>
  </si>
  <si>
    <t>Rent from Electric Property</t>
  </si>
  <si>
    <t>456</t>
  </si>
  <si>
    <t>Other Electric Revenue</t>
  </si>
  <si>
    <t xml:space="preserve">   Wheeling</t>
  </si>
  <si>
    <t xml:space="preserve">   Plant Related</t>
  </si>
  <si>
    <t xml:space="preserve">   Energy Related</t>
  </si>
  <si>
    <t xml:space="preserve">  Unbilled Revenues</t>
  </si>
  <si>
    <t>Total Present Revenue</t>
  </si>
  <si>
    <t>PROPOSED RATES</t>
  </si>
  <si>
    <t>Total Proposed  Revenue</t>
  </si>
  <si>
    <t>Supporting Schedules:E-13a, E-13b, E-13c, E-13d</t>
  </si>
  <si>
    <t>New Program</t>
  </si>
  <si>
    <t>Senior Care program</t>
  </si>
  <si>
    <t>Bills</t>
  </si>
  <si>
    <t>$/Eligible Bill</t>
  </si>
  <si>
    <t xml:space="preserve"> Time-of-Day On-Peak - Primary</t>
  </si>
  <si>
    <t xml:space="preserve"> Time-of-Day Off-Peak - Primary</t>
  </si>
  <si>
    <t xml:space="preserve"> Time-of-Day Super Off-Peak  -Subtransmission</t>
  </si>
  <si>
    <t xml:space="preserve"> Time-of-Day On-Peak  -Subtransmission</t>
  </si>
  <si>
    <t xml:space="preserve"> Time-of-Day Off-Peak  -Subtransmission</t>
  </si>
  <si>
    <t xml:space="preserve">D.  Present TOD energy charges assume 25/75 on/off-peak % for 90% LF. Proposed TOD energy charges assume 25/40/35 on/off-peak/super off-peak % for 90% LF.  </t>
  </si>
  <si>
    <t xml:space="preserve">D.  Present TOD energy charges assume 25/75 on/off-peak % for 90% LF.  Proposed TOD energy charges assume 25/40/35 on/off-peak/super off-peak % for 90% LF.  </t>
  </si>
  <si>
    <t>STORM</t>
  </si>
  <si>
    <t>SURCHARGE</t>
  </si>
  <si>
    <t>STORM SURCHARGE</t>
  </si>
  <si>
    <t>CLEAN ENERGY</t>
  </si>
  <si>
    <t>TRANS. MECH</t>
  </si>
  <si>
    <t>(21)-(12)</t>
  </si>
  <si>
    <t>(22)/(12)</t>
  </si>
  <si>
    <t>(12)/(2)*100</t>
  </si>
  <si>
    <t>(21)/(2)*100</t>
  </si>
  <si>
    <t>SCHEDULE E-14  SUPPLEMENT  A</t>
  </si>
  <si>
    <t>COMPARISON OF RATE CHARGES AND UNIT COSTS AT SYSTEM ROR</t>
  </si>
  <si>
    <t>Page 1 of 9</t>
  </si>
  <si>
    <t>CURRENT</t>
  </si>
  <si>
    <t xml:space="preserve">UNIT </t>
  </si>
  <si>
    <t xml:space="preserve">LINE NO. </t>
  </si>
  <si>
    <t>SCHEDULE</t>
  </si>
  <si>
    <t>TYPE OF CHARGE</t>
  </si>
  <si>
    <t>COST</t>
  </si>
  <si>
    <t>REFERENCE</t>
  </si>
  <si>
    <t>EXPLANATION</t>
  </si>
  <si>
    <t>ALL</t>
  </si>
  <si>
    <t>Initial Service Connection</t>
  </si>
  <si>
    <t>E-7</t>
  </si>
  <si>
    <t>Increase limited below unit cost</t>
  </si>
  <si>
    <t>Connection Charge - Normal Working Hours</t>
  </si>
  <si>
    <t xml:space="preserve">Set at approximate unit cost </t>
  </si>
  <si>
    <t>Reconnect after Disconnect at Meter for Cause</t>
  </si>
  <si>
    <t>Reconnect after Disconnect at Pole/Othr for Cause</t>
  </si>
  <si>
    <t>Field Visit</t>
  </si>
  <si>
    <t>Tampering Charge</t>
  </si>
  <si>
    <t>Return Check Charge</t>
  </si>
  <si>
    <t>Per FL Statutes</t>
  </si>
  <si>
    <t>No change proposed</t>
  </si>
  <si>
    <t>Late Payment Charge</t>
  </si>
  <si>
    <t>1.5% or $5.00</t>
  </si>
  <si>
    <t>Basic Service Charge - $ per Bill</t>
  </si>
  <si>
    <t xml:space="preserve"> Supp. B (Pgs 2-3)</t>
  </si>
  <si>
    <t>Energy and Demand Charge -$ per MWh</t>
  </si>
  <si>
    <t>Inverted rate design with one-cent differential;</t>
  </si>
  <si>
    <t>Energy and Demand Charge - $ per MWh</t>
  </si>
  <si>
    <t>Emergency Relay Service - $/MWH</t>
  </si>
  <si>
    <t xml:space="preserve"> Supp. B (Pgs 7)</t>
  </si>
  <si>
    <t>Page 2 of 9</t>
  </si>
  <si>
    <t>GSD, GSD Opt., GSDT</t>
  </si>
  <si>
    <t>Standard/Optional</t>
  </si>
  <si>
    <t>Secondary</t>
  </si>
  <si>
    <t xml:space="preserve"> Supp. B (Pgs 4-5)</t>
  </si>
  <si>
    <t>Primary</t>
  </si>
  <si>
    <t>Subtransmission</t>
  </si>
  <si>
    <t>Demand Charge - $ per kW</t>
  </si>
  <si>
    <t>COS</t>
  </si>
  <si>
    <t xml:space="preserve">Set at approximate T&amp;D unit cost. </t>
  </si>
  <si>
    <t>Peak</t>
  </si>
  <si>
    <t>Set at approximate production unit cost</t>
  </si>
  <si>
    <t>Energy Charge - $ per MWh</t>
  </si>
  <si>
    <t>Rate set to produce GSD revenue requirement.</t>
  </si>
  <si>
    <t>Optional</t>
  </si>
  <si>
    <t>On-Peak</t>
  </si>
  <si>
    <t>Off-Peak</t>
  </si>
  <si>
    <t>Metering Voltage Adjustment - % of demand and energy chrgs.</t>
  </si>
  <si>
    <t>NA</t>
  </si>
  <si>
    <t>No change proposed, reflects typical transformation losses.</t>
  </si>
  <si>
    <t xml:space="preserve"> Delivery Voltage Credit</t>
  </si>
  <si>
    <t xml:space="preserve"> Standard - $ per kW</t>
  </si>
  <si>
    <t xml:space="preserve"> Supp. B (Pg 6)</t>
  </si>
  <si>
    <t>Set at unit cost.</t>
  </si>
  <si>
    <t xml:space="preserve"> Optional  - $/MWH</t>
  </si>
  <si>
    <t xml:space="preserve">Emergency Relay Service </t>
  </si>
  <si>
    <t xml:space="preserve"> Supp. B (Pg 7)</t>
  </si>
  <si>
    <t xml:space="preserve"> Optional - $/MWH</t>
  </si>
  <si>
    <t>Power Factor - $ per MVARh</t>
  </si>
  <si>
    <t>Penalty</t>
  </si>
  <si>
    <t>Credit</t>
  </si>
  <si>
    <t>Page 3 of 9</t>
  </si>
  <si>
    <t>Set at GS Standard customer charge.</t>
  </si>
  <si>
    <t>Energy and Demand Charge -$/MWH</t>
  </si>
  <si>
    <t>Set at GS Standard energy charge.</t>
  </si>
  <si>
    <t>SBD, SBDT</t>
  </si>
  <si>
    <t xml:space="preserve">Supplemental </t>
  </si>
  <si>
    <t>Set at GSD Standard Demand Charge.</t>
  </si>
  <si>
    <t xml:space="preserve">TOD Billing </t>
  </si>
  <si>
    <t>Set at GSD TOD Billing Demand Charge.</t>
  </si>
  <si>
    <t>TOD Peak</t>
  </si>
  <si>
    <t>Set at GSD TOD Peak Demand Charge.</t>
  </si>
  <si>
    <t>TOD Facilities Reservation</t>
  </si>
  <si>
    <t xml:space="preserve"> Supp. B (Pg 10)</t>
  </si>
  <si>
    <t>TOD Power Supply Reservation</t>
  </si>
  <si>
    <t>TOD Power Supply Demand</t>
  </si>
  <si>
    <t>Set at GSD Standard Energy Charge.</t>
  </si>
  <si>
    <t>Set at GSD TOD On-Peak Energy Charge.</t>
  </si>
  <si>
    <t>Set at GSD TOD Off-Peak Energy Charge.</t>
  </si>
  <si>
    <t>Emergency Relay Service  - $/kW</t>
  </si>
  <si>
    <t>Supplemental/Standby</t>
  </si>
  <si>
    <t>No change proposed.</t>
  </si>
  <si>
    <t>Page 4 of 9</t>
  </si>
  <si>
    <t>SBD, SBDT (cont.)</t>
  </si>
  <si>
    <t xml:space="preserve"> Supp. B (Pg 5)</t>
  </si>
  <si>
    <t>T-O-D Billing</t>
  </si>
  <si>
    <t>T-O-D Peak</t>
  </si>
  <si>
    <t xml:space="preserve">Set at approximate production unit cost. </t>
  </si>
  <si>
    <t>Rate set to produce GSLDPR revenue requirement.</t>
  </si>
  <si>
    <t>Metering Voltage Adjustment - .</t>
  </si>
  <si>
    <t>% of demand and energy chrgs</t>
  </si>
  <si>
    <t>Emergency Relay Service  $ per kW</t>
  </si>
  <si>
    <t xml:space="preserve"> Standard - </t>
  </si>
  <si>
    <t>Page 5 of 9</t>
  </si>
  <si>
    <t>GSLDPR,GSLDTPR (cont.)</t>
  </si>
  <si>
    <t>Power Factor  Charge - $ per MVARh</t>
  </si>
  <si>
    <t>Power Factor  Credit - $ per MVARh</t>
  </si>
  <si>
    <t>Page 6 of 9</t>
  </si>
  <si>
    <t xml:space="preserve">Set at unit cost </t>
  </si>
  <si>
    <t>TOU</t>
  </si>
  <si>
    <t xml:space="preserve"> Standard</t>
  </si>
  <si>
    <t>Standby Demand</t>
  </si>
  <si>
    <t>Std. Facilities Reservation</t>
  </si>
  <si>
    <t>Std. Power Supply Reservation</t>
  </si>
  <si>
    <t>Std Power Supply Demand</t>
  </si>
  <si>
    <t>Rate set to produce SBLDPR revenue requirement.</t>
  </si>
  <si>
    <t>Standby Energy</t>
  </si>
  <si>
    <t xml:space="preserve">Emergency Relay Service  - $/kW </t>
  </si>
  <si>
    <t xml:space="preserve">Metering Voltage Adjustment - </t>
  </si>
  <si>
    <t>% of demand and energy chrgs.</t>
  </si>
  <si>
    <t>Page 7 of 9</t>
  </si>
  <si>
    <t>SBLDPR/SBLDTPR  (cont.)</t>
  </si>
  <si>
    <t>Power Factor  Charge- $ per MVARh</t>
  </si>
  <si>
    <t>Power Factor Creidt - $ per MVARh</t>
  </si>
  <si>
    <t>Page 8 of 9</t>
  </si>
  <si>
    <t>Rate set to produce SBLDSU revenue requirement.</t>
  </si>
  <si>
    <t>Page 9 of 9</t>
  </si>
  <si>
    <t>Energy - $ per MWH</t>
  </si>
  <si>
    <t>Fixture/ Pole/Maintenance Charges $/Unit</t>
  </si>
  <si>
    <t>Various</t>
  </si>
  <si>
    <t xml:space="preserve">E-13D </t>
  </si>
  <si>
    <t>Basic Service Charge - $ per Day</t>
  </si>
  <si>
    <t>Basic Service Charge  - $ per Day</t>
  </si>
  <si>
    <t>Super Off-Peak</t>
  </si>
  <si>
    <t>Power Factor Credit - $ per MVARh</t>
  </si>
  <si>
    <t>Set approximately at average RS rate.</t>
  </si>
  <si>
    <t>Derived using 2024 revenue neutral rates scaled to 2025</t>
  </si>
  <si>
    <t>Derived using 2024 revenue neutral rates scaled to 2026</t>
  </si>
  <si>
    <t>Derived using 2024 revenue neutral rates scaled to 2027</t>
  </si>
  <si>
    <t>Rate set to produce GS revenue requirement.</t>
  </si>
  <si>
    <t>Rate set using 35% LF of GSD Demand</t>
  </si>
  <si>
    <t>Set at GSD Customer Charge Daily Charge</t>
  </si>
  <si>
    <t>Set using tariff percentages</t>
  </si>
  <si>
    <t>Set at GSD TOD Super Off-Peak Energy Charge.</t>
  </si>
  <si>
    <t>Rate set to produce GSLDSU revenue requirement.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</si>
</sst>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  <numFmt numFmtId="168" formatCode="_(&quot;$&quot;* #,##0.00000_);_(&quot;$&quot;* \(#,##0.00000\);_(&quot;$&quot;* &quot;-&quot;??_);_(@_)"/>
    <numFmt numFmtId="169" formatCode="_(* #,##0.000_);_(* \(#,##0.000\);_(* &quot;-&quot;??_);_(@_)"/>
    <numFmt numFmtId="170" formatCode="&quot;$&quot;#,##0.00"/>
    <numFmt numFmtId="171" formatCode="&quot;$&quot;#,##0.00000"/>
    <numFmt numFmtId="172" formatCode="0.00000"/>
    <numFmt numFmtId="173" formatCode="&quot;$&quot;#,##0"/>
    <numFmt numFmtId="174" formatCode="_(* #,##0.0000_);_(* \(#,##0.0000\);_(* &quot;-&quot;??_);_(@_)"/>
    <numFmt numFmtId="175" formatCode="0.0"/>
    <numFmt numFmtId="176" formatCode="&quot;$&quot;#,##0.00000_);[Red]\(&quot;$&quot;#,##0.00000\)"/>
    <numFmt numFmtId="177" formatCode="_(* #,##0.0_);_(* \(#,##0.0\);_(* &quot;-&quot;??_);_(@_)"/>
    <numFmt numFmtId="178" formatCode="_(* #,##0.00000_);_(* \(#,##0.00000\);_(* &quot;-&quot;??_);_(@_)"/>
    <numFmt numFmtId="179" formatCode="#,##0.0_);\(#,##0.0\)"/>
    <numFmt numFmtId="180" formatCode="0.000"/>
    <numFmt numFmtId="181" formatCode="0.000%"/>
    <numFmt numFmtId="182" formatCode="_(&quot;$&quot;* #,##0.000000_);_(&quot;$&quot;* \(#,##0.000000\);_(&quot;$&quot;* &quot;-&quot;??_);_(@_)"/>
    <numFmt numFmtId="183" formatCode="_(&quot;$&quot;* #,##0.000_);_(&quot;$&quot;* \(#,##0.000\);_(&quot;$&quot;* &quot;-&quot;??_);_(@_)"/>
    <numFmt numFmtId="184" formatCode="0.00_);\(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4"/>
      <name val="Calibri"/>
      <family val="2"/>
      <scheme val="minor"/>
    </font>
    <font>
      <sz val="7.5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8"/>
      <color rgb="FFC00000"/>
      <name val="Arial"/>
      <family val="2"/>
    </font>
    <font>
      <sz val="10"/>
      <color indexed="64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name val="Arial"/>
      <family val="2"/>
    </font>
    <font>
      <sz val="16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/>
    <xf numFmtId="0" fontId="22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603">
    <xf numFmtId="0" fontId="0" fillId="0" borderId="0" xfId="0"/>
    <xf numFmtId="164" fontId="0" fillId="0" borderId="0" xfId="1" applyNumberFormat="1" applyFont="1" applyFill="1"/>
    <xf numFmtId="165" fontId="3" fillId="0" borderId="0" xfId="2" applyNumberFormat="1" applyFont="1" applyFill="1" applyAlignment="1"/>
    <xf numFmtId="165" fontId="3" fillId="0" borderId="0" xfId="2" applyNumberFormat="1" applyFont="1" applyFill="1" applyBorder="1" applyAlignment="1"/>
    <xf numFmtId="165" fontId="3" fillId="0" borderId="3" xfId="2" applyNumberFormat="1" applyFont="1" applyFill="1" applyBorder="1" applyAlignment="1"/>
    <xf numFmtId="165" fontId="3" fillId="0" borderId="3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right"/>
    </xf>
    <xf numFmtId="165" fontId="3" fillId="0" borderId="1" xfId="2" applyNumberFormat="1" applyFont="1" applyFill="1" applyBorder="1" applyAlignment="1"/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right"/>
    </xf>
    <xf numFmtId="165" fontId="3" fillId="0" borderId="0" xfId="2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5" fontId="3" fillId="0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8" fillId="0" borderId="0" xfId="2" applyNumberFormat="1" applyFont="1" applyFill="1"/>
    <xf numFmtId="165" fontId="3" fillId="0" borderId="0" xfId="2" applyNumberFormat="1" applyFont="1" applyFill="1" applyAlignment="1">
      <alignment horizontal="left" indent="1"/>
    </xf>
    <xf numFmtId="44" fontId="3" fillId="0" borderId="0" xfId="2" applyFont="1" applyFill="1" applyBorder="1"/>
    <xf numFmtId="39" fontId="3" fillId="0" borderId="0" xfId="1" applyNumberFormat="1" applyFont="1" applyFill="1" applyBorder="1"/>
    <xf numFmtId="166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7" fontId="3" fillId="0" borderId="0" xfId="3" applyNumberFormat="1" applyFont="1" applyFill="1" applyBorder="1"/>
    <xf numFmtId="164" fontId="3" fillId="0" borderId="0" xfId="1" applyNumberFormat="1" applyFont="1" applyFill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2" applyNumberFormat="1" applyFont="1" applyFill="1" applyAlignment="1">
      <alignment horizontal="left" indent="2"/>
    </xf>
    <xf numFmtId="44" fontId="3" fillId="0" borderId="0" xfId="2" applyFont="1" applyFill="1"/>
    <xf numFmtId="168" fontId="3" fillId="0" borderId="0" xfId="2" applyNumberFormat="1" applyFont="1" applyFill="1" applyBorder="1"/>
    <xf numFmtId="44" fontId="3" fillId="0" borderId="0" xfId="1" applyNumberFormat="1" applyFont="1" applyFill="1" applyBorder="1"/>
    <xf numFmtId="43" fontId="3" fillId="0" borderId="0" xfId="1" applyFont="1" applyFill="1" applyBorder="1"/>
    <xf numFmtId="0" fontId="3" fillId="0" borderId="0" xfId="1" applyNumberFormat="1" applyFont="1" applyFill="1" applyBorder="1"/>
    <xf numFmtId="9" fontId="0" fillId="0" borderId="0" xfId="3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3" fillId="0" borderId="0" xfId="2" applyNumberFormat="1" applyFont="1" applyFill="1" applyBorder="1" applyAlignment="1">
      <alignment horizontal="left" indent="1"/>
    </xf>
    <xf numFmtId="165" fontId="3" fillId="0" borderId="3" xfId="2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 indent="2"/>
    </xf>
    <xf numFmtId="43" fontId="3" fillId="0" borderId="0" xfId="1" applyFont="1" applyFill="1"/>
    <xf numFmtId="165" fontId="3" fillId="0" borderId="0" xfId="2" applyNumberFormat="1" applyFont="1" applyFill="1" applyAlignment="1">
      <alignment horizontal="left"/>
    </xf>
    <xf numFmtId="9" fontId="3" fillId="0" borderId="0" xfId="3" applyFont="1" applyFill="1" applyBorder="1"/>
    <xf numFmtId="164" fontId="12" fillId="0" borderId="0" xfId="1" applyNumberFormat="1" applyFont="1" applyFill="1" applyBorder="1"/>
    <xf numFmtId="174" fontId="3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/>
    <xf numFmtId="164" fontId="3" fillId="0" borderId="0" xfId="1" quotePrefix="1" applyNumberFormat="1" applyFont="1" applyFill="1" applyBorder="1" applyAlignment="1">
      <alignment horizontal="right"/>
    </xf>
    <xf numFmtId="164" fontId="3" fillId="0" borderId="0" xfId="1" quotePrefix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0" borderId="0" xfId="2" applyNumberFormat="1" applyFont="1" applyFill="1" applyBorder="1"/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42" fontId="3" fillId="0" borderId="5" xfId="2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Fill="1" applyBorder="1"/>
    <xf numFmtId="43" fontId="3" fillId="0" borderId="0" xfId="3" applyNumberFormat="1" applyFont="1" applyFill="1" applyBorder="1"/>
    <xf numFmtId="168" fontId="3" fillId="0" borderId="0" xfId="2" applyNumberFormat="1" applyFont="1" applyFill="1"/>
    <xf numFmtId="9" fontId="3" fillId="0" borderId="0" xfId="3" applyFont="1" applyFill="1"/>
    <xf numFmtId="44" fontId="3" fillId="0" borderId="5" xfId="2" applyFont="1" applyFill="1" applyBorder="1"/>
    <xf numFmtId="10" fontId="3" fillId="0" borderId="0" xfId="3" applyNumberFormat="1" applyFont="1" applyFill="1"/>
    <xf numFmtId="164" fontId="3" fillId="0" borderId="0" xfId="6" applyNumberFormat="1" applyFont="1" applyFill="1"/>
    <xf numFmtId="165" fontId="3" fillId="0" borderId="0" xfId="7" applyNumberFormat="1" applyFont="1" applyFill="1"/>
    <xf numFmtId="166" fontId="3" fillId="0" borderId="0" xfId="8" applyNumberFormat="1" applyFont="1" applyFill="1"/>
    <xf numFmtId="9" fontId="3" fillId="0" borderId="0" xfId="8" applyFont="1" applyFill="1"/>
    <xf numFmtId="164" fontId="3" fillId="0" borderId="0" xfId="6" applyNumberFormat="1" applyFont="1" applyFill="1" applyBorder="1"/>
    <xf numFmtId="164" fontId="3" fillId="0" borderId="2" xfId="6" applyNumberFormat="1" applyFont="1" applyFill="1" applyBorder="1"/>
    <xf numFmtId="166" fontId="3" fillId="0" borderId="2" xfId="8" applyNumberFormat="1" applyFont="1" applyFill="1" applyBorder="1"/>
    <xf numFmtId="165" fontId="9" fillId="0" borderId="0" xfId="7" applyNumberFormat="1" applyFont="1" applyFill="1"/>
    <xf numFmtId="165" fontId="3" fillId="0" borderId="0" xfId="7" applyNumberFormat="1" applyFont="1" applyFill="1" applyBorder="1" applyAlignment="1"/>
    <xf numFmtId="164" fontId="3" fillId="0" borderId="0" xfId="6" applyNumberFormat="1" applyFont="1" applyFill="1" applyBorder="1" applyAlignment="1">
      <alignment horizontal="center"/>
    </xf>
    <xf numFmtId="165" fontId="3" fillId="0" borderId="0" xfId="7" applyNumberFormat="1" applyFont="1" applyFill="1" applyBorder="1"/>
    <xf numFmtId="164" fontId="3" fillId="0" borderId="3" xfId="6" applyNumberFormat="1" applyFont="1" applyFill="1" applyBorder="1"/>
    <xf numFmtId="164" fontId="3" fillId="0" borderId="0" xfId="7" applyNumberFormat="1" applyFont="1" applyFill="1" applyBorder="1"/>
    <xf numFmtId="166" fontId="3" fillId="0" borderId="0" xfId="8" applyNumberFormat="1" applyFont="1" applyFill="1" applyBorder="1"/>
    <xf numFmtId="166" fontId="3" fillId="0" borderId="0" xfId="3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165" fontId="3" fillId="0" borderId="1" xfId="7" applyNumberFormat="1" applyFont="1" applyFill="1" applyBorder="1" applyAlignment="1">
      <alignment horizontal="center"/>
    </xf>
    <xf numFmtId="165" fontId="3" fillId="0" borderId="24" xfId="7" applyNumberFormat="1" applyFont="1" applyFill="1" applyBorder="1" applyAlignment="1">
      <alignment horizontal="center"/>
    </xf>
    <xf numFmtId="165" fontId="3" fillId="0" borderId="25" xfId="7" applyNumberFormat="1" applyFont="1" applyFill="1" applyBorder="1" applyAlignment="1">
      <alignment horizontal="center"/>
    </xf>
    <xf numFmtId="44" fontId="3" fillId="0" borderId="22" xfId="7" applyFont="1" applyFill="1" applyBorder="1"/>
    <xf numFmtId="44" fontId="3" fillId="0" borderId="0" xfId="7" applyFont="1" applyFill="1" applyBorder="1"/>
    <xf numFmtId="44" fontId="3" fillId="0" borderId="26" xfId="7" applyFont="1" applyFill="1" applyBorder="1"/>
    <xf numFmtId="167" fontId="3" fillId="0" borderId="0" xfId="8" applyNumberFormat="1" applyFont="1" applyFill="1" applyBorder="1"/>
    <xf numFmtId="177" fontId="3" fillId="0" borderId="26" xfId="6" applyNumberFormat="1" applyFont="1" applyFill="1" applyBorder="1"/>
    <xf numFmtId="177" fontId="3" fillId="0" borderId="0" xfId="6" applyNumberFormat="1" applyFont="1" applyFill="1" applyBorder="1"/>
    <xf numFmtId="177" fontId="3" fillId="0" borderId="22" xfId="6" applyNumberFormat="1" applyFont="1" applyFill="1" applyBorder="1"/>
    <xf numFmtId="2" fontId="3" fillId="0" borderId="22" xfId="6" applyNumberFormat="1" applyFont="1" applyFill="1" applyBorder="1"/>
    <xf numFmtId="2" fontId="3" fillId="0" borderId="0" xfId="6" applyNumberFormat="1" applyFont="1" applyFill="1" applyBorder="1"/>
    <xf numFmtId="43" fontId="3" fillId="0" borderId="0" xfId="6" applyFont="1" applyFill="1" applyBorder="1" applyAlignment="1">
      <alignment horizontal="center"/>
    </xf>
    <xf numFmtId="43" fontId="3" fillId="0" borderId="0" xfId="6" applyFont="1" applyFill="1" applyBorder="1"/>
    <xf numFmtId="9" fontId="3" fillId="0" borderId="0" xfId="8" applyFont="1" applyFill="1" applyBorder="1"/>
    <xf numFmtId="175" fontId="3" fillId="0" borderId="0" xfId="6" applyNumberFormat="1" applyFont="1" applyFill="1" applyBorder="1"/>
    <xf numFmtId="43" fontId="3" fillId="0" borderId="26" xfId="6" applyFont="1" applyFill="1" applyBorder="1"/>
    <xf numFmtId="43" fontId="3" fillId="0" borderId="22" xfId="6" applyFont="1" applyFill="1" applyBorder="1"/>
    <xf numFmtId="44" fontId="3" fillId="0" borderId="23" xfId="7" applyFont="1" applyFill="1" applyBorder="1"/>
    <xf numFmtId="167" fontId="7" fillId="0" borderId="0" xfId="8" applyNumberFormat="1" applyFont="1" applyFill="1"/>
    <xf numFmtId="169" fontId="3" fillId="0" borderId="0" xfId="6" applyNumberFormat="1" applyFont="1" applyFill="1" applyBorder="1" applyAlignment="1">
      <alignment horizontal="center"/>
    </xf>
    <xf numFmtId="165" fontId="3" fillId="0" borderId="0" xfId="7" applyNumberFormat="1" applyFont="1" applyFill="1" applyBorder="1" applyAlignment="1">
      <alignment horizontal="center"/>
    </xf>
    <xf numFmtId="43" fontId="3" fillId="0" borderId="0" xfId="6" applyFont="1" applyFill="1" applyBorder="1" applyAlignment="1">
      <alignment horizontal="left"/>
    </xf>
    <xf numFmtId="44" fontId="7" fillId="0" borderId="0" xfId="7" applyFont="1" applyFill="1" applyBorder="1"/>
    <xf numFmtId="43" fontId="7" fillId="0" borderId="0" xfId="6" applyFont="1" applyFill="1" applyBorder="1"/>
    <xf numFmtId="164" fontId="3" fillId="0" borderId="1" xfId="6" applyNumberFormat="1" applyFont="1" applyFill="1" applyBorder="1"/>
    <xf numFmtId="164" fontId="3" fillId="0" borderId="1" xfId="6" applyNumberFormat="1" applyFont="1" applyFill="1" applyBorder="1" applyAlignment="1"/>
    <xf numFmtId="44" fontId="3" fillId="0" borderId="29" xfId="7" applyFont="1" applyFill="1" applyBorder="1"/>
    <xf numFmtId="43" fontId="3" fillId="0" borderId="27" xfId="6" applyFont="1" applyFill="1" applyBorder="1" applyAlignment="1">
      <alignment horizontal="left"/>
    </xf>
    <xf numFmtId="9" fontId="7" fillId="0" borderId="0" xfId="8" applyFont="1" applyFill="1"/>
    <xf numFmtId="43" fontId="3" fillId="0" borderId="29" xfId="6" applyFont="1" applyFill="1" applyBorder="1"/>
    <xf numFmtId="9" fontId="7" fillId="0" borderId="0" xfId="8" applyFont="1" applyFill="1" applyBorder="1"/>
    <xf numFmtId="44" fontId="7" fillId="0" borderId="29" xfId="7" applyFont="1" applyFill="1" applyBorder="1"/>
    <xf numFmtId="44" fontId="7" fillId="0" borderId="0" xfId="7" applyFont="1" applyFill="1"/>
    <xf numFmtId="175" fontId="3" fillId="0" borderId="29" xfId="6" applyNumberFormat="1" applyFont="1" applyFill="1" applyBorder="1"/>
    <xf numFmtId="177" fontId="3" fillId="0" borderId="27" xfId="6" applyNumberFormat="1" applyFont="1" applyFill="1" applyBorder="1"/>
    <xf numFmtId="169" fontId="3" fillId="0" borderId="0" xfId="6" applyNumberFormat="1" applyFont="1" applyFill="1" applyBorder="1"/>
    <xf numFmtId="164" fontId="3" fillId="0" borderId="0" xfId="6" applyNumberFormat="1" applyFont="1" applyFill="1" applyBorder="1" applyAlignment="1"/>
    <xf numFmtId="164" fontId="3" fillId="0" borderId="0" xfId="6" applyNumberFormat="1" applyFont="1" applyFill="1" applyBorder="1" applyAlignment="1">
      <alignment horizontal="left"/>
    </xf>
    <xf numFmtId="43" fontId="7" fillId="0" borderId="0" xfId="6" applyFont="1" applyFill="1"/>
    <xf numFmtId="0" fontId="3" fillId="0" borderId="0" xfId="7" applyNumberFormat="1" applyFont="1" applyFill="1"/>
    <xf numFmtId="0" fontId="3" fillId="0" borderId="0" xfId="7" applyNumberFormat="1" applyFont="1" applyFill="1" applyAlignment="1">
      <alignment horizontal="center"/>
    </xf>
    <xf numFmtId="0" fontId="3" fillId="0" borderId="0" xfId="7" applyNumberFormat="1" applyFont="1" applyFill="1" applyBorder="1" applyAlignment="1">
      <alignment horizontal="left"/>
    </xf>
    <xf numFmtId="0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167" fontId="3" fillId="0" borderId="0" xfId="7" applyNumberFormat="1" applyFont="1" applyFill="1" applyBorder="1"/>
    <xf numFmtId="167" fontId="3" fillId="0" borderId="0" xfId="8" applyNumberFormat="1" applyFont="1" applyFill="1"/>
    <xf numFmtId="0" fontId="3" fillId="0" borderId="0" xfId="6" applyNumberFormat="1" applyFont="1" applyFill="1" applyBorder="1"/>
    <xf numFmtId="0" fontId="3" fillId="0" borderId="0" xfId="6" applyNumberFormat="1" applyFont="1" applyFill="1"/>
    <xf numFmtId="0" fontId="3" fillId="0" borderId="0" xfId="6" applyNumberFormat="1" applyFont="1" applyFill="1" applyBorder="1" applyAlignment="1">
      <alignment horizontal="left"/>
    </xf>
    <xf numFmtId="165" fontId="3" fillId="0" borderId="0" xfId="7" applyNumberFormat="1" applyFont="1" applyFill="1" applyAlignment="1">
      <alignment horizontal="left" indent="1"/>
    </xf>
    <xf numFmtId="0" fontId="3" fillId="0" borderId="0" xfId="6" applyNumberFormat="1" applyFont="1" applyFill="1" applyBorder="1" applyAlignment="1"/>
    <xf numFmtId="167" fontId="3" fillId="0" borderId="0" xfId="6" applyNumberFormat="1" applyFont="1" applyFill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Fill="1" applyAlignment="1"/>
    <xf numFmtId="167" fontId="3" fillId="0" borderId="0" xfId="6" applyNumberFormat="1" applyFont="1" applyFill="1"/>
    <xf numFmtId="165" fontId="3" fillId="0" borderId="1" xfId="7" applyNumberFormat="1" applyFont="1" applyFill="1" applyBorder="1"/>
    <xf numFmtId="164" fontId="3" fillId="0" borderId="1" xfId="6" applyNumberFormat="1" applyFont="1" applyFill="1" applyBorder="1" applyAlignment="1">
      <alignment horizontal="right"/>
    </xf>
    <xf numFmtId="43" fontId="3" fillId="0" borderId="0" xfId="6" applyFont="1" applyFill="1"/>
    <xf numFmtId="9" fontId="3" fillId="0" borderId="0" xfId="6" applyNumberFormat="1" applyFont="1" applyFill="1" applyBorder="1"/>
    <xf numFmtId="9" fontId="3" fillId="0" borderId="1" xfId="6" applyNumberFormat="1" applyFont="1" applyFill="1" applyBorder="1"/>
    <xf numFmtId="9" fontId="3" fillId="0" borderId="1" xfId="8" applyFont="1" applyFill="1" applyBorder="1"/>
    <xf numFmtId="43" fontId="3" fillId="0" borderId="1" xfId="6" applyFont="1" applyFill="1" applyBorder="1"/>
    <xf numFmtId="39" fontId="3" fillId="0" borderId="0" xfId="6" applyNumberFormat="1" applyFont="1" applyFill="1" applyBorder="1"/>
    <xf numFmtId="179" fontId="3" fillId="0" borderId="0" xfId="6" applyNumberFormat="1" applyFont="1" applyFill="1" applyBorder="1"/>
    <xf numFmtId="169" fontId="3" fillId="0" borderId="1" xfId="6" applyNumberFormat="1" applyFont="1" applyFill="1" applyBorder="1"/>
    <xf numFmtId="179" fontId="3" fillId="0" borderId="1" xfId="6" applyNumberFormat="1" applyFont="1" applyFill="1" applyBorder="1"/>
    <xf numFmtId="9" fontId="3" fillId="0" borderId="0" xfId="8" applyFont="1" applyFill="1" applyAlignment="1">
      <alignment horizontal="right"/>
    </xf>
    <xf numFmtId="178" fontId="3" fillId="0" borderId="0" xfId="6" applyNumberFormat="1" applyFont="1" applyFill="1" applyBorder="1"/>
    <xf numFmtId="167" fontId="3" fillId="0" borderId="0" xfId="6" applyNumberFormat="1" applyFont="1" applyFill="1" applyBorder="1" applyAlignment="1">
      <alignment horizontal="right"/>
    </xf>
    <xf numFmtId="167" fontId="3" fillId="0" borderId="1" xfId="8" applyNumberFormat="1" applyFont="1" applyFill="1" applyBorder="1"/>
    <xf numFmtId="165" fontId="3" fillId="0" borderId="0" xfId="7" applyNumberFormat="1" applyFont="1" applyFill="1" applyBorder="1" applyAlignment="1">
      <alignment horizontal="left" indent="1"/>
    </xf>
    <xf numFmtId="178" fontId="3" fillId="0" borderId="0" xfId="6" applyNumberFormat="1" applyFont="1" applyFill="1"/>
    <xf numFmtId="37" fontId="3" fillId="0" borderId="0" xfId="1" applyNumberFormat="1" applyFont="1" applyFill="1" applyBorder="1"/>
    <xf numFmtId="164" fontId="16" fillId="0" borderId="0" xfId="1" applyNumberFormat="1" applyFont="1" applyFill="1" applyBorder="1"/>
    <xf numFmtId="44" fontId="16" fillId="0" borderId="0" xfId="2" applyFont="1" applyFill="1" applyBorder="1"/>
    <xf numFmtId="165" fontId="3" fillId="0" borderId="1" xfId="2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42" fontId="3" fillId="0" borderId="0" xfId="1" applyNumberFormat="1" applyFont="1" applyFill="1" applyBorder="1"/>
    <xf numFmtId="37" fontId="3" fillId="0" borderId="0" xfId="2" applyNumberFormat="1" applyFont="1" applyFill="1"/>
    <xf numFmtId="166" fontId="3" fillId="0" borderId="0" xfId="1" applyNumberFormat="1" applyFont="1" applyFill="1" applyBorder="1" applyAlignment="1">
      <alignment horizontal="right"/>
    </xf>
    <xf numFmtId="42" fontId="3" fillId="0" borderId="4" xfId="1" applyNumberFormat="1" applyFont="1" applyFill="1" applyBorder="1"/>
    <xf numFmtId="42" fontId="3" fillId="0" borderId="0" xfId="2" applyNumberFormat="1" applyFont="1" applyFill="1" applyBorder="1"/>
    <xf numFmtId="44" fontId="3" fillId="0" borderId="1" xfId="1" applyNumberFormat="1" applyFont="1" applyFill="1" applyBorder="1"/>
    <xf numFmtId="165" fontId="3" fillId="0" borderId="1" xfId="1" applyNumberFormat="1" applyFont="1" applyFill="1" applyBorder="1"/>
    <xf numFmtId="37" fontId="3" fillId="0" borderId="4" xfId="2" applyNumberFormat="1" applyFont="1" applyFill="1" applyBorder="1"/>
    <xf numFmtId="37" fontId="17" fillId="0" borderId="4" xfId="2" applyNumberFormat="1" applyFont="1" applyFill="1" applyBorder="1"/>
    <xf numFmtId="165" fontId="3" fillId="0" borderId="4" xfId="2" applyNumberFormat="1" applyFont="1" applyFill="1" applyBorder="1"/>
    <xf numFmtId="164" fontId="3" fillId="0" borderId="33" xfId="1" applyNumberFormat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3" fillId="0" borderId="30" xfId="2" applyNumberFormat="1" applyFont="1" applyFill="1" applyBorder="1"/>
    <xf numFmtId="165" fontId="3" fillId="0" borderId="34" xfId="2" applyNumberFormat="1" applyFont="1" applyFill="1" applyBorder="1"/>
    <xf numFmtId="165" fontId="3" fillId="0" borderId="27" xfId="2" applyNumberFormat="1" applyFont="1" applyFill="1" applyBorder="1"/>
    <xf numFmtId="10" fontId="3" fillId="0" borderId="30" xfId="3" applyNumberFormat="1" applyFont="1" applyFill="1" applyBorder="1"/>
    <xf numFmtId="165" fontId="3" fillId="0" borderId="37" xfId="2" applyNumberFormat="1" applyFont="1" applyFill="1" applyBorder="1"/>
    <xf numFmtId="43" fontId="3" fillId="0" borderId="27" xfId="1" applyFont="1" applyFill="1" applyBorder="1"/>
    <xf numFmtId="164" fontId="3" fillId="0" borderId="27" xfId="1" applyNumberFormat="1" applyFont="1" applyFill="1" applyBorder="1"/>
    <xf numFmtId="10" fontId="3" fillId="0" borderId="37" xfId="3" applyNumberFormat="1" applyFont="1" applyFill="1" applyBorder="1"/>
    <xf numFmtId="10" fontId="3" fillId="0" borderId="0" xfId="3" applyNumberFormat="1" applyFont="1" applyFill="1" applyBorder="1"/>
    <xf numFmtId="167" fontId="3" fillId="0" borderId="27" xfId="3" applyNumberFormat="1" applyFont="1" applyFill="1" applyBorder="1"/>
    <xf numFmtId="165" fontId="3" fillId="0" borderId="3" xfId="2" applyNumberFormat="1" applyFont="1" applyFill="1" applyBorder="1" applyAlignment="1">
      <alignment horizontal="left" indent="1"/>
    </xf>
    <xf numFmtId="10" fontId="3" fillId="0" borderId="35" xfId="3" applyNumberFormat="1" applyFont="1" applyFill="1" applyBorder="1"/>
    <xf numFmtId="43" fontId="3" fillId="0" borderId="3" xfId="1" applyFont="1" applyFill="1" applyBorder="1"/>
    <xf numFmtId="165" fontId="3" fillId="0" borderId="39" xfId="2" applyNumberFormat="1" applyFont="1" applyFill="1" applyBorder="1"/>
    <xf numFmtId="165" fontId="3" fillId="0" borderId="3" xfId="2" applyNumberFormat="1" applyFont="1" applyFill="1" applyBorder="1"/>
    <xf numFmtId="165" fontId="3" fillId="0" borderId="36" xfId="2" applyNumberFormat="1" applyFont="1" applyFill="1" applyBorder="1"/>
    <xf numFmtId="43" fontId="3" fillId="0" borderId="36" xfId="1" applyFont="1" applyFill="1" applyBorder="1"/>
    <xf numFmtId="166" fontId="3" fillId="0" borderId="0" xfId="3" applyNumberFormat="1" applyFont="1" applyFill="1"/>
    <xf numFmtId="166" fontId="3" fillId="0" borderId="1" xfId="3" applyNumberFormat="1" applyFont="1" applyFill="1" applyBorder="1"/>
    <xf numFmtId="175" fontId="3" fillId="0" borderId="0" xfId="2" applyNumberFormat="1" applyFont="1" applyFill="1" applyBorder="1"/>
    <xf numFmtId="166" fontId="3" fillId="0" borderId="0" xfId="2" applyNumberFormat="1" applyFont="1" applyFill="1" applyBorder="1"/>
    <xf numFmtId="7" fontId="3" fillId="0" borderId="0" xfId="2" applyNumberFormat="1" applyFont="1" applyFill="1" applyBorder="1"/>
    <xf numFmtId="37" fontId="3" fillId="0" borderId="1" xfId="1" applyNumberFormat="1" applyFont="1" applyFill="1" applyBorder="1"/>
    <xf numFmtId="44" fontId="3" fillId="0" borderId="1" xfId="2" applyFont="1" applyFill="1" applyBorder="1"/>
    <xf numFmtId="7" fontId="3" fillId="0" borderId="1" xfId="2" applyNumberFormat="1" applyFont="1" applyFill="1" applyBorder="1"/>
    <xf numFmtId="42" fontId="3" fillId="0" borderId="0" xfId="2" applyNumberFormat="1" applyFont="1" applyFill="1"/>
    <xf numFmtId="181" fontId="3" fillId="0" borderId="0" xfId="3" applyNumberFormat="1" applyFont="1" applyFill="1"/>
    <xf numFmtId="165" fontId="3" fillId="0" borderId="5" xfId="2" applyNumberFormat="1" applyFont="1" applyFill="1" applyBorder="1"/>
    <xf numFmtId="10" fontId="3" fillId="0" borderId="39" xfId="3" applyNumberFormat="1" applyFont="1" applyFill="1" applyBorder="1"/>
    <xf numFmtId="44" fontId="3" fillId="0" borderId="0" xfId="13" applyFont="1" applyFill="1"/>
    <xf numFmtId="44" fontId="3" fillId="0" borderId="0" xfId="13" applyFont="1" applyFill="1" applyAlignment="1">
      <alignment horizontal="right"/>
    </xf>
    <xf numFmtId="167" fontId="3" fillId="0" borderId="0" xfId="13" applyNumberFormat="1" applyFont="1" applyFill="1" applyAlignment="1"/>
    <xf numFmtId="169" fontId="3" fillId="0" borderId="0" xfId="14" applyNumberFormat="1" applyFont="1" applyFill="1"/>
    <xf numFmtId="43" fontId="3" fillId="0" borderId="0" xfId="14" applyFont="1" applyFill="1"/>
    <xf numFmtId="183" fontId="3" fillId="0" borderId="0" xfId="13" applyNumberFormat="1" applyFont="1" applyFill="1"/>
    <xf numFmtId="169" fontId="0" fillId="0" borderId="0" xfId="14" applyNumberFormat="1" applyFont="1" applyFill="1"/>
    <xf numFmtId="44" fontId="3" fillId="0" borderId="0" xfId="13" applyFont="1" applyFill="1" applyAlignment="1">
      <alignment horizontal="center"/>
    </xf>
    <xf numFmtId="167" fontId="3" fillId="0" borderId="0" xfId="13" applyNumberFormat="1" applyFont="1" applyFill="1" applyAlignment="1">
      <alignment horizontal="right"/>
    </xf>
    <xf numFmtId="167" fontId="3" fillId="0" borderId="0" xfId="13" applyNumberFormat="1" applyFont="1" applyFill="1" applyAlignment="1">
      <alignment horizontal="center"/>
    </xf>
    <xf numFmtId="167" fontId="3" fillId="0" borderId="0" xfId="8" applyNumberFormat="1" applyFont="1" applyFill="1" applyAlignment="1">
      <alignment horizontal="center"/>
    </xf>
    <xf numFmtId="44" fontId="3" fillId="0" borderId="0" xfId="17" applyFont="1" applyFill="1"/>
    <xf numFmtId="8" fontId="3" fillId="0" borderId="0" xfId="13" applyNumberFormat="1" applyFont="1" applyFill="1"/>
    <xf numFmtId="7" fontId="3" fillId="0" borderId="0" xfId="13" applyNumberFormat="1" applyFont="1" applyFill="1"/>
    <xf numFmtId="7" fontId="3" fillId="0" borderId="0" xfId="13" applyNumberFormat="1" applyFont="1" applyFill="1" applyAlignment="1">
      <alignment horizontal="right"/>
    </xf>
    <xf numFmtId="0" fontId="13" fillId="0" borderId="0" xfId="0" applyFont="1" applyAlignment="1">
      <alignment vertical="center"/>
    </xf>
    <xf numFmtId="0" fontId="2" fillId="0" borderId="0" xfId="0" applyFont="1"/>
    <xf numFmtId="3" fontId="0" fillId="0" borderId="0" xfId="0" applyNumberFormat="1"/>
    <xf numFmtId="4" fontId="0" fillId="0" borderId="0" xfId="0" applyNumberFormat="1"/>
    <xf numFmtId="0" fontId="10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0" xfId="0" applyNumberForma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0" applyNumberForma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9" fontId="0" fillId="0" borderId="0" xfId="0" applyNumberFormat="1"/>
    <xf numFmtId="0" fontId="3" fillId="0" borderId="0" xfId="0" applyFont="1"/>
    <xf numFmtId="172" fontId="0" fillId="0" borderId="0" xfId="0" applyNumberFormat="1"/>
    <xf numFmtId="40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0" fontId="0" fillId="0" borderId="8" xfId="0" applyBorder="1"/>
    <xf numFmtId="8" fontId="0" fillId="0" borderId="9" xfId="0" applyNumberFormat="1" applyBorder="1"/>
    <xf numFmtId="8" fontId="0" fillId="0" borderId="10" xfId="0" applyNumberFormat="1" applyBorder="1"/>
    <xf numFmtId="0" fontId="0" fillId="0" borderId="11" xfId="0" applyBorder="1"/>
    <xf numFmtId="8" fontId="0" fillId="0" borderId="12" xfId="0" applyNumberFormat="1" applyBorder="1"/>
    <xf numFmtId="8" fontId="0" fillId="0" borderId="13" xfId="0" applyNumberFormat="1" applyBorder="1"/>
    <xf numFmtId="0" fontId="0" fillId="0" borderId="14" xfId="0" applyBorder="1"/>
    <xf numFmtId="8" fontId="0" fillId="0" borderId="15" xfId="0" applyNumberFormat="1" applyBorder="1"/>
    <xf numFmtId="8" fontId="0" fillId="0" borderId="16" xfId="0" applyNumberFormat="1" applyBorder="1"/>
    <xf numFmtId="176" fontId="0" fillId="0" borderId="15" xfId="0" applyNumberFormat="1" applyBorder="1"/>
    <xf numFmtId="176" fontId="0" fillId="0" borderId="16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0" fontId="0" fillId="0" borderId="17" xfId="0" applyBorder="1"/>
    <xf numFmtId="8" fontId="0" fillId="0" borderId="18" xfId="0" applyNumberFormat="1" applyBorder="1"/>
    <xf numFmtId="8" fontId="0" fillId="0" borderId="19" xfId="0" applyNumberFormat="1" applyBorder="1"/>
    <xf numFmtId="44" fontId="0" fillId="0" borderId="15" xfId="0" applyNumberFormat="1" applyBorder="1"/>
    <xf numFmtId="44" fontId="0" fillId="0" borderId="12" xfId="0" applyNumberFormat="1" applyBorder="1"/>
    <xf numFmtId="44" fontId="0" fillId="0" borderId="9" xfId="0" applyNumberFormat="1" applyBorder="1"/>
    <xf numFmtId="0" fontId="3" fillId="0" borderId="1" xfId="15" applyFont="1" applyBorder="1"/>
    <xf numFmtId="0" fontId="7" fillId="0" borderId="1" xfId="15" applyBorder="1"/>
    <xf numFmtId="0" fontId="28" fillId="0" borderId="0" xfId="15" applyFont="1"/>
    <xf numFmtId="0" fontId="7" fillId="0" borderId="0" xfId="15"/>
    <xf numFmtId="0" fontId="3" fillId="0" borderId="0" xfId="15" applyFont="1"/>
    <xf numFmtId="0" fontId="3" fillId="0" borderId="0" xfId="15" applyFont="1" applyAlignment="1">
      <alignment horizontal="center"/>
    </xf>
    <xf numFmtId="0" fontId="3" fillId="0" borderId="3" xfId="15" applyFont="1" applyBorder="1"/>
    <xf numFmtId="0" fontId="3" fillId="0" borderId="3" xfId="15" applyFont="1" applyBorder="1" applyAlignment="1">
      <alignment horizontal="center"/>
    </xf>
    <xf numFmtId="0" fontId="3" fillId="0" borderId="0" xfId="15" applyFont="1" applyAlignment="1">
      <alignment horizontal="left"/>
    </xf>
    <xf numFmtId="0" fontId="16" fillId="0" borderId="0" xfId="15" applyFont="1"/>
    <xf numFmtId="0" fontId="7" fillId="0" borderId="0" xfId="15" applyAlignment="1">
      <alignment horizontal="center"/>
    </xf>
    <xf numFmtId="0" fontId="3" fillId="0" borderId="0" xfId="15" applyFont="1" applyAlignment="1">
      <alignment horizontal="right"/>
    </xf>
    <xf numFmtId="0" fontId="3" fillId="0" borderId="0" xfId="15" applyFont="1" applyAlignment="1">
      <alignment horizontal="left" indent="1"/>
    </xf>
    <xf numFmtId="44" fontId="3" fillId="0" borderId="0" xfId="15" applyNumberFormat="1" applyFont="1"/>
    <xf numFmtId="0" fontId="16" fillId="0" borderId="0" xfId="15" applyFont="1" applyAlignment="1">
      <alignment horizontal="center"/>
    </xf>
    <xf numFmtId="0" fontId="3" fillId="0" borderId="0" xfId="15" applyFont="1" applyAlignment="1">
      <alignment horizontal="left" indent="3"/>
    </xf>
    <xf numFmtId="0" fontId="3" fillId="0" borderId="0" xfId="15" applyFont="1" applyAlignment="1">
      <alignment horizontal="left" indent="2"/>
    </xf>
    <xf numFmtId="0" fontId="7" fillId="0" borderId="0" xfId="15" applyAlignment="1">
      <alignment horizontal="right"/>
    </xf>
    <xf numFmtId="183" fontId="3" fillId="0" borderId="0" xfId="15" applyNumberFormat="1" applyFont="1"/>
    <xf numFmtId="8" fontId="3" fillId="0" borderId="0" xfId="15" applyNumberFormat="1" applyFont="1"/>
    <xf numFmtId="0" fontId="3" fillId="0" borderId="0" xfId="16" applyFont="1"/>
    <xf numFmtId="0" fontId="16" fillId="0" borderId="0" xfId="16" applyFont="1"/>
    <xf numFmtId="44" fontId="3" fillId="0" borderId="0" xfId="16" applyNumberFormat="1" applyFont="1"/>
    <xf numFmtId="8" fontId="3" fillId="0" borderId="0" xfId="16" applyNumberFormat="1" applyFont="1"/>
    <xf numFmtId="0" fontId="3" fillId="0" borderId="0" xfId="16" applyFont="1" applyAlignment="1">
      <alignment horizontal="center"/>
    </xf>
    <xf numFmtId="0" fontId="3" fillId="0" borderId="0" xfId="16" applyFont="1" applyAlignment="1">
      <alignment horizontal="left" indent="1"/>
    </xf>
    <xf numFmtId="0" fontId="7" fillId="0" borderId="0" xfId="16"/>
    <xf numFmtId="0" fontId="3" fillId="0" borderId="0" xfId="16" applyFont="1" applyAlignment="1">
      <alignment horizontal="left" indent="2"/>
    </xf>
    <xf numFmtId="0" fontId="16" fillId="0" borderId="0" xfId="16" applyFont="1" applyAlignment="1">
      <alignment horizontal="center"/>
    </xf>
    <xf numFmtId="9" fontId="3" fillId="0" borderId="0" xfId="16" applyNumberFormat="1" applyFont="1"/>
    <xf numFmtId="0" fontId="3" fillId="0" borderId="0" xfId="16" applyFont="1" applyAlignment="1">
      <alignment horizontal="right"/>
    </xf>
    <xf numFmtId="0" fontId="3" fillId="0" borderId="0" xfId="16" applyFont="1" applyAlignment="1">
      <alignment horizontal="left"/>
    </xf>
    <xf numFmtId="0" fontId="7" fillId="0" borderId="0" xfId="16" applyAlignment="1">
      <alignment horizontal="right"/>
    </xf>
    <xf numFmtId="0" fontId="28" fillId="0" borderId="0" xfId="16" applyFont="1"/>
    <xf numFmtId="7" fontId="3" fillId="0" borderId="0" xfId="16" applyNumberFormat="1" applyFont="1" applyAlignment="1">
      <alignment horizontal="right"/>
    </xf>
    <xf numFmtId="49" fontId="3" fillId="0" borderId="0" xfId="16" applyNumberFormat="1" applyFont="1" applyAlignment="1">
      <alignment horizontal="right"/>
    </xf>
    <xf numFmtId="49" fontId="3" fillId="0" borderId="0" xfId="16" applyNumberFormat="1" applyFont="1"/>
    <xf numFmtId="184" fontId="3" fillId="0" borderId="0" xfId="16" applyNumberFormat="1" applyFont="1" applyAlignment="1">
      <alignment horizontal="right"/>
    </xf>
    <xf numFmtId="0" fontId="7" fillId="0" borderId="1" xfId="16" applyBorder="1"/>
    <xf numFmtId="0" fontId="3" fillId="0" borderId="1" xfId="16" applyFont="1" applyBorder="1"/>
    <xf numFmtId="0" fontId="3" fillId="0" borderId="3" xfId="16" applyFont="1" applyBorder="1" applyAlignment="1">
      <alignment horizontal="center"/>
    </xf>
    <xf numFmtId="6" fontId="3" fillId="0" borderId="0" xfId="16" applyNumberFormat="1" applyFont="1"/>
    <xf numFmtId="8" fontId="3" fillId="0" borderId="0" xfId="16" applyNumberFormat="1" applyFont="1" applyAlignment="1">
      <alignment horizontal="center"/>
    </xf>
    <xf numFmtId="0" fontId="7" fillId="0" borderId="0" xfId="16" applyAlignment="1">
      <alignment horizontal="center"/>
    </xf>
    <xf numFmtId="169" fontId="3" fillId="0" borderId="0" xfId="16" applyNumberFormat="1" applyFont="1"/>
    <xf numFmtId="7" fontId="3" fillId="0" borderId="0" xfId="16" applyNumberFormat="1" applyFont="1"/>
    <xf numFmtId="170" fontId="3" fillId="0" borderId="0" xfId="16" applyNumberFormat="1" applyFont="1"/>
    <xf numFmtId="44" fontId="3" fillId="0" borderId="0" xfId="16" applyNumberFormat="1" applyFont="1" applyAlignment="1">
      <alignment horizontal="center"/>
    </xf>
    <xf numFmtId="8" fontId="3" fillId="0" borderId="0" xfId="16" applyNumberFormat="1" applyFont="1" applyAlignment="1">
      <alignment horizontal="right"/>
    </xf>
    <xf numFmtId="0" fontId="3" fillId="0" borderId="1" xfId="0" applyFont="1" applyBorder="1"/>
    <xf numFmtId="42" fontId="0" fillId="0" borderId="0" xfId="0" applyNumberForma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3" fontId="3" fillId="0" borderId="0" xfId="0" applyNumberFormat="1" applyFont="1"/>
    <xf numFmtId="44" fontId="0" fillId="0" borderId="0" xfId="0" applyNumberFormat="1"/>
    <xf numFmtId="165" fontId="3" fillId="0" borderId="0" xfId="0" applyNumberFormat="1" applyFont="1"/>
    <xf numFmtId="164" fontId="3" fillId="0" borderId="1" xfId="0" applyNumberFormat="1" applyFont="1" applyBorder="1"/>
    <xf numFmtId="165" fontId="16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6" fillId="0" borderId="2" xfId="4" applyFont="1" applyBorder="1" applyAlignment="1">
      <alignment horizontal="left" wrapText="1"/>
    </xf>
    <xf numFmtId="0" fontId="6" fillId="0" borderId="3" xfId="4" applyFont="1" applyBorder="1" applyAlignment="1">
      <alignment horizontal="center" wrapText="1"/>
    </xf>
    <xf numFmtId="0" fontId="6" fillId="0" borderId="0" xfId="4" applyFont="1" applyAlignment="1">
      <alignment horizontal="left" wrapText="1"/>
    </xf>
    <xf numFmtId="0" fontId="6" fillId="0" borderId="0" xfId="4" applyFont="1" applyAlignment="1">
      <alignment horizontal="left" wrapText="1" indent="1"/>
    </xf>
    <xf numFmtId="165" fontId="0" fillId="0" borderId="0" xfId="0" applyNumberFormat="1"/>
    <xf numFmtId="0" fontId="0" fillId="0" borderId="1" xfId="0" applyBorder="1"/>
    <xf numFmtId="49" fontId="6" fillId="0" borderId="6" xfId="4" applyNumberFormat="1" applyFont="1" applyBorder="1" applyAlignment="1">
      <alignment horizontal="left" wrapText="1"/>
    </xf>
    <xf numFmtId="49" fontId="6" fillId="0" borderId="0" xfId="4" applyNumberFormat="1" applyFont="1" applyAlignment="1">
      <alignment horizontal="left" wrapText="1"/>
    </xf>
    <xf numFmtId="3" fontId="17" fillId="0" borderId="0" xfId="0" applyNumberFormat="1" applyFont="1"/>
    <xf numFmtId="49" fontId="6" fillId="0" borderId="1" xfId="4" applyNumberFormat="1" applyFont="1" applyBorder="1" applyAlignment="1">
      <alignment horizontal="left" wrapText="1"/>
    </xf>
    <xf numFmtId="3" fontId="17" fillId="0" borderId="1" xfId="0" applyNumberFormat="1" applyFont="1" applyBorder="1"/>
    <xf numFmtId="165" fontId="3" fillId="0" borderId="1" xfId="0" applyNumberFormat="1" applyFont="1" applyBorder="1"/>
    <xf numFmtId="0" fontId="17" fillId="0" borderId="0" xfId="0" applyFont="1"/>
    <xf numFmtId="165" fontId="15" fillId="0" borderId="0" xfId="0" applyNumberFormat="1" applyFont="1"/>
    <xf numFmtId="173" fontId="0" fillId="0" borderId="0" xfId="0" applyNumberFormat="1"/>
    <xf numFmtId="42" fontId="3" fillId="0" borderId="0" xfId="0" applyNumberFormat="1" applyFont="1"/>
    <xf numFmtId="173" fontId="3" fillId="0" borderId="1" xfId="0" applyNumberFormat="1" applyFont="1" applyBorder="1"/>
    <xf numFmtId="165" fontId="6" fillId="0" borderId="0" xfId="4" applyNumberFormat="1" applyFont="1" applyAlignment="1">
      <alignment horizontal="left" wrapText="1"/>
    </xf>
    <xf numFmtId="0" fontId="3" fillId="0" borderId="3" xfId="0" quotePrefix="1" applyFont="1" applyBorder="1"/>
    <xf numFmtId="0" fontId="18" fillId="0" borderId="0" xfId="4" applyFont="1" applyAlignment="1">
      <alignment horizontal="center" wrapText="1"/>
    </xf>
    <xf numFmtId="180" fontId="0" fillId="0" borderId="0" xfId="0" applyNumberFormat="1"/>
    <xf numFmtId="0" fontId="17" fillId="0" borderId="0" xfId="4" applyFont="1" applyAlignment="1">
      <alignment wrapText="1"/>
    </xf>
    <xf numFmtId="0" fontId="17" fillId="0" borderId="0" xfId="4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0" fontId="19" fillId="0" borderId="0" xfId="0" applyFont="1"/>
    <xf numFmtId="1" fontId="3" fillId="0" borderId="0" xfId="0" applyNumberFormat="1" applyFont="1"/>
    <xf numFmtId="0" fontId="6" fillId="0" borderId="0" xfId="4" applyFont="1" applyAlignment="1">
      <alignment wrapText="1"/>
    </xf>
    <xf numFmtId="164" fontId="3" fillId="0" borderId="0" xfId="0" applyNumberFormat="1" applyFont="1"/>
    <xf numFmtId="3" fontId="3" fillId="0" borderId="1" xfId="0" applyNumberFormat="1" applyFont="1" applyBorder="1"/>
    <xf numFmtId="0" fontId="6" fillId="0" borderId="3" xfId="4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0" fontId="6" fillId="0" borderId="0" xfId="4" applyFont="1" applyAlignment="1">
      <alignment horizontal="left"/>
    </xf>
    <xf numFmtId="0" fontId="3" fillId="0" borderId="0" xfId="0" applyFont="1" applyAlignment="1">
      <alignment horizontal="left" indent="1"/>
    </xf>
    <xf numFmtId="1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164" fontId="3" fillId="0" borderId="0" xfId="0" quotePrefix="1" applyNumberFormat="1" applyFont="1"/>
    <xf numFmtId="0" fontId="6" fillId="0" borderId="0" xfId="4" quotePrefix="1" applyFont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0" fontId="11" fillId="0" borderId="0" xfId="0" applyFont="1"/>
    <xf numFmtId="167" fontId="3" fillId="0" borderId="0" xfId="0" applyNumberFormat="1" applyFont="1"/>
    <xf numFmtId="44" fontId="3" fillId="0" borderId="0" xfId="0" applyNumberFormat="1" applyFont="1"/>
    <xf numFmtId="0" fontId="6" fillId="0" borderId="7" xfId="4" quotePrefix="1" applyFont="1" applyBorder="1" applyAlignment="1">
      <alignment horizontal="center" wrapText="1"/>
    </xf>
    <xf numFmtId="37" fontId="3" fillId="0" borderId="0" xfId="0" applyNumberFormat="1" applyFont="1"/>
    <xf numFmtId="37" fontId="3" fillId="0" borderId="3" xfId="0" applyNumberFormat="1" applyFont="1" applyBorder="1"/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0" fontId="3" fillId="0" borderId="3" xfId="0" applyFont="1" applyBorder="1"/>
    <xf numFmtId="164" fontId="3" fillId="0" borderId="3" xfId="0" applyNumberFormat="1" applyFont="1" applyBorder="1"/>
    <xf numFmtId="2" fontId="0" fillId="0" borderId="0" xfId="0" applyNumberFormat="1"/>
    <xf numFmtId="9" fontId="11" fillId="0" borderId="0" xfId="3" applyFont="1" applyFill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/>
    <xf numFmtId="0" fontId="12" fillId="0" borderId="0" xfId="0" applyFont="1"/>
    <xf numFmtId="174" fontId="3" fillId="0" borderId="0" xfId="0" applyNumberFormat="1" applyFont="1"/>
    <xf numFmtId="164" fontId="0" fillId="0" borderId="0" xfId="0" applyNumberFormat="1"/>
    <xf numFmtId="165" fontId="3" fillId="0" borderId="0" xfId="0" applyNumberFormat="1" applyFont="1" applyAlignment="1">
      <alignment horizontal="center"/>
    </xf>
    <xf numFmtId="164" fontId="3" fillId="0" borderId="4" xfId="0" applyNumberFormat="1" applyFont="1" applyBorder="1"/>
    <xf numFmtId="0" fontId="3" fillId="0" borderId="6" xfId="0" applyFont="1" applyBorder="1"/>
    <xf numFmtId="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6" fillId="0" borderId="0" xfId="4" quotePrefix="1" applyFont="1" applyAlignment="1">
      <alignment horizontal="right" wrapText="1"/>
    </xf>
    <xf numFmtId="166" fontId="3" fillId="0" borderId="0" xfId="0" applyNumberFormat="1" applyFont="1" applyAlignment="1">
      <alignment horizontal="center"/>
    </xf>
    <xf numFmtId="0" fontId="6" fillId="0" borderId="1" xfId="4" applyFont="1" applyBorder="1" applyAlignment="1">
      <alignment wrapText="1"/>
    </xf>
    <xf numFmtId="0" fontId="3" fillId="0" borderId="0" xfId="5" applyFont="1"/>
    <xf numFmtId="0" fontId="3" fillId="0" borderId="1" xfId="5" applyFont="1" applyBorder="1"/>
    <xf numFmtId="0" fontId="3" fillId="0" borderId="2" xfId="5" applyFont="1" applyBorder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0" fontId="3" fillId="0" borderId="1" xfId="5" applyFont="1" applyBorder="1" applyAlignment="1">
      <alignment horizontal="center"/>
    </xf>
    <xf numFmtId="0" fontId="3" fillId="0" borderId="0" xfId="5" quotePrefix="1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1" xfId="5" quotePrefix="1" applyFont="1" applyBorder="1" applyAlignment="1">
      <alignment horizontal="center"/>
    </xf>
    <xf numFmtId="1" fontId="3" fillId="0" borderId="0" xfId="5" applyNumberFormat="1" applyFont="1"/>
    <xf numFmtId="164" fontId="3" fillId="0" borderId="0" xfId="5" applyNumberFormat="1" applyFont="1"/>
    <xf numFmtId="3" fontId="3" fillId="0" borderId="0" xfId="5" applyNumberFormat="1" applyFont="1"/>
    <xf numFmtId="0" fontId="3" fillId="0" borderId="2" xfId="5" applyFont="1" applyBorder="1"/>
    <xf numFmtId="169" fontId="3" fillId="0" borderId="0" xfId="5" applyNumberFormat="1" applyFont="1"/>
    <xf numFmtId="37" fontId="3" fillId="0" borderId="0" xfId="5" applyNumberFormat="1" applyFont="1"/>
    <xf numFmtId="165" fontId="3" fillId="0" borderId="0" xfId="5" applyNumberFormat="1" applyFont="1"/>
    <xf numFmtId="164" fontId="9" fillId="0" borderId="0" xfId="5" applyNumberFormat="1" applyFont="1"/>
    <xf numFmtId="166" fontId="3" fillId="0" borderId="0" xfId="5" applyNumberFormat="1" applyFont="1"/>
    <xf numFmtId="0" fontId="3" fillId="0" borderId="1" xfId="9" applyFont="1" applyBorder="1"/>
    <xf numFmtId="0" fontId="20" fillId="0" borderId="0" xfId="9"/>
    <xf numFmtId="0" fontId="3" fillId="0" borderId="0" xfId="9" applyFont="1"/>
    <xf numFmtId="0" fontId="3" fillId="0" borderId="0" xfId="9" applyFont="1" applyAlignment="1">
      <alignment horizontal="right"/>
    </xf>
    <xf numFmtId="0" fontId="3" fillId="0" borderId="2" xfId="9" applyFont="1" applyBorder="1" applyAlignment="1">
      <alignment horizontal="left"/>
    </xf>
    <xf numFmtId="0" fontId="3" fillId="0" borderId="0" xfId="9" applyFont="1" applyAlignment="1">
      <alignment horizontal="left"/>
    </xf>
    <xf numFmtId="0" fontId="3" fillId="0" borderId="0" xfId="9" quotePrefix="1" applyFont="1" applyAlignment="1">
      <alignment horizontal="center"/>
    </xf>
    <xf numFmtId="0" fontId="3" fillId="0" borderId="0" xfId="9" applyFont="1" applyAlignment="1">
      <alignment horizontal="center"/>
    </xf>
    <xf numFmtId="0" fontId="3" fillId="0" borderId="0" xfId="9" quotePrefix="1" applyFont="1"/>
    <xf numFmtId="0" fontId="20" fillId="0" borderId="0" xfId="9" applyAlignment="1">
      <alignment horizontal="center"/>
    </xf>
    <xf numFmtId="0" fontId="3" fillId="0" borderId="0" xfId="9" applyFont="1" applyAlignment="1">
      <alignment horizontal="left" indent="2"/>
    </xf>
    <xf numFmtId="0" fontId="4" fillId="0" borderId="1" xfId="9" applyFont="1" applyBorder="1" applyAlignment="1">
      <alignment horizontal="center"/>
    </xf>
    <xf numFmtId="0" fontId="3" fillId="0" borderId="1" xfId="9" applyFont="1" applyBorder="1" applyAlignment="1">
      <alignment horizontal="left"/>
    </xf>
    <xf numFmtId="0" fontId="3" fillId="0" borderId="1" xfId="9" applyFont="1" applyBorder="1" applyAlignment="1">
      <alignment horizontal="left" indent="2"/>
    </xf>
    <xf numFmtId="0" fontId="3" fillId="0" borderId="1" xfId="9" applyFont="1" applyBorder="1" applyAlignment="1">
      <alignment horizontal="center"/>
    </xf>
    <xf numFmtId="164" fontId="3" fillId="0" borderId="1" xfId="6" applyNumberFormat="1" applyFont="1" applyFill="1" applyBorder="1" applyAlignment="1">
      <alignment horizontal="center"/>
    </xf>
    <xf numFmtId="0" fontId="3" fillId="0" borderId="1" xfId="9" quotePrefix="1" applyFont="1" applyBorder="1" applyAlignment="1">
      <alignment horizontal="center"/>
    </xf>
    <xf numFmtId="0" fontId="8" fillId="0" borderId="0" xfId="9" applyFont="1" applyAlignment="1">
      <alignment horizontal="left"/>
    </xf>
    <xf numFmtId="164" fontId="3" fillId="0" borderId="0" xfId="6" quotePrefix="1" applyNumberFormat="1" applyFont="1" applyFill="1" applyBorder="1" applyAlignment="1">
      <alignment horizontal="center"/>
    </xf>
    <xf numFmtId="165" fontId="3" fillId="0" borderId="0" xfId="7" applyNumberFormat="1" applyFont="1" applyFill="1" applyAlignment="1">
      <alignment horizontal="center"/>
    </xf>
    <xf numFmtId="44" fontId="3" fillId="0" borderId="0" xfId="7" applyFont="1" applyFill="1"/>
    <xf numFmtId="164" fontId="0" fillId="0" borderId="0" xfId="6" applyNumberFormat="1" applyFont="1" applyFill="1"/>
    <xf numFmtId="164" fontId="0" fillId="0" borderId="0" xfId="6" applyNumberFormat="1" applyFont="1" applyFill="1" applyBorder="1"/>
    <xf numFmtId="43" fontId="3" fillId="0" borderId="3" xfId="6" applyFont="1" applyFill="1" applyBorder="1"/>
    <xf numFmtId="44" fontId="3" fillId="0" borderId="3" xfId="7" applyFont="1" applyFill="1" applyBorder="1"/>
    <xf numFmtId="43" fontId="3" fillId="0" borderId="0" xfId="9" applyNumberFormat="1" applyFont="1"/>
    <xf numFmtId="164" fontId="3" fillId="0" borderId="0" xfId="9" applyNumberFormat="1" applyFont="1"/>
    <xf numFmtId="167" fontId="21" fillId="0" borderId="0" xfId="8" applyNumberFormat="1" applyFont="1" applyFill="1" applyAlignment="1">
      <alignment horizontal="center"/>
    </xf>
    <xf numFmtId="164" fontId="3" fillId="0" borderId="0" xfId="6" quotePrefix="1" applyNumberFormat="1" applyFont="1" applyFill="1" applyBorder="1"/>
    <xf numFmtId="0" fontId="3" fillId="0" borderId="30" xfId="0" quotePrefix="1" applyFont="1" applyBorder="1" applyAlignment="1">
      <alignment horizontal="center"/>
    </xf>
    <xf numFmtId="0" fontId="3" fillId="0" borderId="27" xfId="0" quotePrefix="1" applyFont="1" applyBorder="1" applyAlignment="1">
      <alignment horizontal="center"/>
    </xf>
    <xf numFmtId="0" fontId="3" fillId="0" borderId="34" xfId="0" quotePrefix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8" xfId="0" quotePrefix="1" applyFont="1" applyBorder="1" applyAlignment="1">
      <alignment horizontal="center"/>
    </xf>
    <xf numFmtId="0" fontId="3" fillId="0" borderId="36" xfId="0" applyFont="1" applyBorder="1"/>
    <xf numFmtId="0" fontId="7" fillId="0" borderId="1" xfId="12" applyBorder="1"/>
    <xf numFmtId="0" fontId="7" fillId="0" borderId="1" xfId="12" applyBorder="1" applyAlignment="1">
      <alignment horizontal="right"/>
    </xf>
    <xf numFmtId="0" fontId="7" fillId="0" borderId="0" xfId="12"/>
    <xf numFmtId="0" fontId="7" fillId="0" borderId="0" xfId="12" applyAlignment="1">
      <alignment horizontal="left"/>
    </xf>
    <xf numFmtId="0" fontId="7" fillId="0" borderId="2" xfId="12" applyBorder="1" applyAlignment="1">
      <alignment horizontal="left"/>
    </xf>
    <xf numFmtId="0" fontId="7" fillId="0" borderId="0" xfId="12" applyAlignment="1">
      <alignment horizontal="right"/>
    </xf>
    <xf numFmtId="0" fontId="26" fillId="0" borderId="0" xfId="12" applyFont="1" applyAlignment="1">
      <alignment horizontal="right"/>
    </xf>
    <xf numFmtId="0" fontId="7" fillId="0" borderId="1" xfId="12" applyBorder="1" applyAlignment="1">
      <alignment horizontal="center"/>
    </xf>
    <xf numFmtId="165" fontId="7" fillId="0" borderId="0" xfId="13" applyNumberFormat="1" applyFont="1" applyFill="1"/>
    <xf numFmtId="0" fontId="7" fillId="0" borderId="0" xfId="12" quotePrefix="1" applyAlignment="1">
      <alignment horizontal="center"/>
    </xf>
    <xf numFmtId="0" fontId="10" fillId="0" borderId="0" xfId="12" applyFont="1"/>
    <xf numFmtId="165" fontId="10" fillId="0" borderId="0" xfId="13" applyNumberFormat="1" applyFont="1" applyFill="1" applyAlignment="1">
      <alignment horizontal="center"/>
    </xf>
    <xf numFmtId="0" fontId="10" fillId="0" borderId="0" xfId="12" applyFont="1" applyAlignment="1">
      <alignment horizontal="center"/>
    </xf>
    <xf numFmtId="0" fontId="7" fillId="0" borderId="41" xfId="12" quotePrefix="1" applyBorder="1" applyAlignment="1">
      <alignment horizontal="center"/>
    </xf>
    <xf numFmtId="0" fontId="10" fillId="0" borderId="32" xfId="12" applyFont="1" applyBorder="1" applyAlignment="1">
      <alignment horizontal="center"/>
    </xf>
    <xf numFmtId="0" fontId="7" fillId="0" borderId="42" xfId="12" quotePrefix="1" applyBorder="1" applyAlignment="1">
      <alignment horizontal="center"/>
    </xf>
    <xf numFmtId="0" fontId="7" fillId="0" borderId="0" xfId="12" applyAlignment="1">
      <alignment horizontal="center"/>
    </xf>
    <xf numFmtId="0" fontId="10" fillId="0" borderId="1" xfId="12" applyFont="1" applyBorder="1"/>
    <xf numFmtId="0" fontId="10" fillId="0" borderId="1" xfId="12" applyFont="1" applyBorder="1" applyAlignment="1">
      <alignment horizontal="center"/>
    </xf>
    <xf numFmtId="164" fontId="7" fillId="0" borderId="1" xfId="14" applyNumberFormat="1" applyFont="1" applyFill="1" applyBorder="1"/>
    <xf numFmtId="164" fontId="10" fillId="0" borderId="1" xfId="14" applyNumberFormat="1" applyFont="1" applyFill="1" applyBorder="1" applyAlignment="1">
      <alignment horizontal="center"/>
    </xf>
    <xf numFmtId="164" fontId="7" fillId="0" borderId="0" xfId="14" applyNumberFormat="1" applyFont="1" applyFill="1" applyBorder="1"/>
    <xf numFmtId="164" fontId="7" fillId="0" borderId="0" xfId="14" applyNumberFormat="1" applyFont="1" applyFill="1" applyBorder="1" applyAlignment="1">
      <alignment horizontal="center"/>
    </xf>
    <xf numFmtId="165" fontId="7" fillId="0" borderId="0" xfId="13" applyNumberFormat="1" applyFont="1" applyFill="1" applyBorder="1"/>
    <xf numFmtId="165" fontId="10" fillId="0" borderId="40" xfId="13" applyNumberFormat="1" applyFont="1" applyFill="1" applyBorder="1"/>
    <xf numFmtId="0" fontId="7" fillId="0" borderId="42" xfId="12" applyBorder="1"/>
    <xf numFmtId="165" fontId="27" fillId="0" borderId="0" xfId="13" applyNumberFormat="1" applyFont="1" applyFill="1" applyBorder="1"/>
    <xf numFmtId="5" fontId="7" fillId="0" borderId="0" xfId="13" applyNumberFormat="1" applyFont="1" applyFill="1" applyBorder="1" applyAlignment="1">
      <alignment horizontal="center"/>
    </xf>
    <xf numFmtId="5" fontId="7" fillId="0" borderId="0" xfId="13" applyNumberFormat="1" applyFont="1" applyFill="1" applyAlignment="1">
      <alignment horizontal="center"/>
    </xf>
    <xf numFmtId="5" fontId="7" fillId="0" borderId="0" xfId="14" applyNumberFormat="1" applyFont="1" applyFill="1" applyBorder="1" applyAlignment="1">
      <alignment horizontal="center"/>
    </xf>
    <xf numFmtId="5" fontId="7" fillId="0" borderId="0" xfId="14" applyNumberFormat="1" applyFont="1" applyFill="1" applyAlignment="1">
      <alignment horizontal="center"/>
    </xf>
    <xf numFmtId="5" fontId="7" fillId="0" borderId="0" xfId="0" applyNumberFormat="1" applyFont="1" applyAlignment="1">
      <alignment horizontal="center"/>
    </xf>
    <xf numFmtId="5" fontId="7" fillId="0" borderId="3" xfId="14" applyNumberFormat="1" applyFont="1" applyFill="1" applyBorder="1" applyAlignment="1">
      <alignment horizontal="center"/>
    </xf>
    <xf numFmtId="173" fontId="7" fillId="0" borderId="0" xfId="0" applyNumberFormat="1" applyFont="1" applyAlignment="1">
      <alignment horizontal="center"/>
    </xf>
    <xf numFmtId="0" fontId="7" fillId="0" borderId="40" xfId="0" applyFont="1" applyBorder="1"/>
    <xf numFmtId="0" fontId="10" fillId="0" borderId="1" xfId="0" applyFont="1" applyBorder="1" applyAlignment="1">
      <alignment horizontal="center"/>
    </xf>
    <xf numFmtId="164" fontId="7" fillId="0" borderId="0" xfId="14" applyNumberFormat="1" applyFont="1" applyFill="1"/>
    <xf numFmtId="164" fontId="7" fillId="0" borderId="0" xfId="0" applyNumberFormat="1" applyFont="1"/>
    <xf numFmtId="173" fontId="7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5" fontId="7" fillId="0" borderId="0" xfId="12" applyNumberFormat="1"/>
    <xf numFmtId="0" fontId="3" fillId="0" borderId="1" xfId="5" applyFont="1" applyBorder="1" applyAlignment="1">
      <alignment horizontal="right"/>
    </xf>
    <xf numFmtId="0" fontId="3" fillId="0" borderId="0" xfId="4" quotePrefix="1" applyFont="1" applyAlignment="1">
      <alignment wrapText="1"/>
    </xf>
    <xf numFmtId="0" fontId="3" fillId="0" borderId="0" xfId="4" applyFont="1" applyAlignment="1">
      <alignment wrapText="1"/>
    </xf>
    <xf numFmtId="167" fontId="3" fillId="0" borderId="0" xfId="5" applyNumberFormat="1" applyFont="1"/>
    <xf numFmtId="0" fontId="3" fillId="0" borderId="1" xfId="4" applyFont="1" applyBorder="1" applyAlignment="1">
      <alignment wrapText="1"/>
    </xf>
    <xf numFmtId="0" fontId="3" fillId="0" borderId="0" xfId="4" applyFont="1" applyAlignment="1">
      <alignment horizontal="center" wrapText="1"/>
    </xf>
    <xf numFmtId="0" fontId="3" fillId="0" borderId="2" xfId="4" applyFont="1" applyBorder="1" applyAlignment="1">
      <alignment horizontal="left" wrapText="1"/>
    </xf>
    <xf numFmtId="0" fontId="3" fillId="0" borderId="0" xfId="5" applyFont="1" applyAlignment="1">
      <alignment horizontal="left" indent="1"/>
    </xf>
    <xf numFmtId="43" fontId="3" fillId="0" borderId="0" xfId="5" applyNumberFormat="1" applyFont="1"/>
    <xf numFmtId="44" fontId="3" fillId="0" borderId="0" xfId="5" applyNumberFormat="1" applyFont="1"/>
    <xf numFmtId="178" fontId="3" fillId="0" borderId="0" xfId="5" applyNumberFormat="1" applyFont="1"/>
    <xf numFmtId="0" fontId="7" fillId="0" borderId="0" xfId="5"/>
    <xf numFmtId="0" fontId="7" fillId="0" borderId="1" xfId="5" applyBorder="1"/>
    <xf numFmtId="0" fontId="3" fillId="0" borderId="20" xfId="5" applyFont="1" applyBorder="1" applyAlignment="1">
      <alignment horizontal="center"/>
    </xf>
    <xf numFmtId="0" fontId="3" fillId="0" borderId="6" xfId="5" quotePrefix="1" applyFont="1" applyBorder="1" applyAlignment="1">
      <alignment horizontal="center"/>
    </xf>
    <xf numFmtId="0" fontId="3" fillId="0" borderId="21" xfId="5" quotePrefix="1" applyFont="1" applyBorder="1" applyAlignment="1">
      <alignment horizontal="center"/>
    </xf>
    <xf numFmtId="0" fontId="3" fillId="0" borderId="22" xfId="5" applyFont="1" applyBorder="1" applyAlignment="1">
      <alignment horizontal="center"/>
    </xf>
    <xf numFmtId="0" fontId="3" fillId="0" borderId="23" xfId="5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 wrapText="1"/>
    </xf>
    <xf numFmtId="0" fontId="3" fillId="0" borderId="0" xfId="4" applyFont="1" applyAlignment="1">
      <alignment horizontal="right"/>
    </xf>
    <xf numFmtId="3" fontId="3" fillId="0" borderId="0" xfId="4" applyNumberFormat="1" applyFont="1" applyAlignment="1">
      <alignment horizontal="right"/>
    </xf>
    <xf numFmtId="3" fontId="3" fillId="0" borderId="0" xfId="4" applyNumberFormat="1" applyFont="1" applyAlignment="1">
      <alignment wrapText="1"/>
    </xf>
    <xf numFmtId="178" fontId="7" fillId="0" borderId="0" xfId="5" applyNumberFormat="1"/>
    <xf numFmtId="43" fontId="3" fillId="0" borderId="0" xfId="5" applyNumberFormat="1" applyFont="1" applyAlignment="1">
      <alignment horizontal="center"/>
    </xf>
    <xf numFmtId="169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 indent="2"/>
    </xf>
    <xf numFmtId="164" fontId="7" fillId="0" borderId="0" xfId="5" applyNumberFormat="1"/>
    <xf numFmtId="43" fontId="7" fillId="0" borderId="0" xfId="5" applyNumberFormat="1"/>
    <xf numFmtId="0" fontId="3" fillId="0" borderId="30" xfId="5" quotePrefix="1" applyFont="1" applyBorder="1" applyAlignment="1">
      <alignment horizontal="center"/>
    </xf>
    <xf numFmtId="0" fontId="8" fillId="0" borderId="0" xfId="5" quotePrefix="1" applyFont="1" applyAlignment="1">
      <alignment horizontal="center"/>
    </xf>
    <xf numFmtId="0" fontId="4" fillId="0" borderId="0" xfId="5" applyFont="1" applyAlignment="1">
      <alignment horizontal="center"/>
    </xf>
    <xf numFmtId="0" fontId="4" fillId="0" borderId="0" xfId="5" applyFont="1"/>
    <xf numFmtId="44" fontId="7" fillId="0" borderId="0" xfId="5" applyNumberFormat="1"/>
    <xf numFmtId="0" fontId="14" fillId="0" borderId="0" xfId="5" applyFont="1" applyAlignment="1">
      <alignment horizontal="center"/>
    </xf>
    <xf numFmtId="0" fontId="3" fillId="0" borderId="0" xfId="4" quotePrefix="1" applyFont="1" applyAlignment="1">
      <alignment horizontal="center" wrapText="1"/>
    </xf>
    <xf numFmtId="9" fontId="0" fillId="0" borderId="10" xfId="3" applyFont="1" applyFill="1" applyBorder="1"/>
    <xf numFmtId="9" fontId="0" fillId="0" borderId="43" xfId="3" applyFont="1" applyFill="1" applyBorder="1"/>
    <xf numFmtId="9" fontId="0" fillId="0" borderId="13" xfId="3" applyFont="1" applyFill="1" applyBorder="1"/>
    <xf numFmtId="173" fontId="0" fillId="0" borderId="0" xfId="0" applyNumberFormat="1" applyAlignment="1">
      <alignment horizontal="center"/>
    </xf>
    <xf numFmtId="175" fontId="0" fillId="0" borderId="0" xfId="0" applyNumberFormat="1"/>
    <xf numFmtId="0" fontId="24" fillId="0" borderId="45" xfId="4" applyFont="1" applyBorder="1" applyAlignment="1">
      <alignment horizontal="center" wrapText="1"/>
    </xf>
    <xf numFmtId="0" fontId="0" fillId="0" borderId="40" xfId="0" applyBorder="1" applyAlignment="1">
      <alignment horizontal="center"/>
    </xf>
    <xf numFmtId="164" fontId="0" fillId="0" borderId="41" xfId="1" applyNumberFormat="1" applyFont="1" applyFill="1" applyBorder="1" applyAlignment="1">
      <alignment horizontal="center" wrapText="1"/>
    </xf>
    <xf numFmtId="164" fontId="0" fillId="0" borderId="32" xfId="1" applyNumberFormat="1" applyFont="1" applyFill="1" applyBorder="1" applyAlignment="1">
      <alignment horizontal="center" wrapText="1"/>
    </xf>
    <xf numFmtId="164" fontId="0" fillId="0" borderId="42" xfId="1" applyNumberFormat="1" applyFont="1" applyFill="1" applyBorder="1" applyAlignment="1">
      <alignment horizontal="center" wrapText="1"/>
    </xf>
    <xf numFmtId="164" fontId="0" fillId="0" borderId="1" xfId="1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5" fillId="0" borderId="46" xfId="4" applyFont="1" applyBorder="1" applyAlignment="1">
      <alignment horizontal="center" wrapText="1"/>
    </xf>
    <xf numFmtId="164" fontId="0" fillId="0" borderId="0" xfId="1" applyNumberFormat="1" applyFont="1" applyFill="1" applyAlignment="1">
      <alignment horizontal="center"/>
    </xf>
    <xf numFmtId="182" fontId="0" fillId="0" borderId="0" xfId="2" applyNumberFormat="1" applyFont="1" applyFill="1" applyBorder="1"/>
    <xf numFmtId="165" fontId="0" fillId="0" borderId="0" xfId="2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25" fillId="0" borderId="47" xfId="4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5" fillId="0" borderId="48" xfId="4" applyFont="1" applyBorder="1" applyAlignment="1">
      <alignment horizontal="center" wrapText="1"/>
    </xf>
    <xf numFmtId="164" fontId="0" fillId="0" borderId="3" xfId="1" applyNumberFormat="1" applyFont="1" applyFill="1" applyBorder="1"/>
    <xf numFmtId="164" fontId="0" fillId="0" borderId="3" xfId="1" applyNumberFormat="1" applyFont="1" applyFill="1" applyBorder="1" applyAlignment="1">
      <alignment horizontal="center"/>
    </xf>
    <xf numFmtId="182" fontId="0" fillId="0" borderId="3" xfId="2" applyNumberFormat="1" applyFont="1" applyFill="1" applyBorder="1"/>
    <xf numFmtId="165" fontId="0" fillId="0" borderId="3" xfId="2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/>
    </xf>
    <xf numFmtId="44" fontId="0" fillId="0" borderId="0" xfId="7" applyFont="1" applyFill="1"/>
    <xf numFmtId="165" fontId="0" fillId="0" borderId="0" xfId="7" applyNumberFormat="1" applyFont="1" applyFill="1"/>
    <xf numFmtId="167" fontId="0" fillId="0" borderId="0" xfId="8" applyNumberFormat="1" applyFont="1" applyFill="1"/>
    <xf numFmtId="178" fontId="10" fillId="0" borderId="3" xfId="6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43" fontId="0" fillId="0" borderId="0" xfId="6" applyFont="1" applyFill="1"/>
    <xf numFmtId="43" fontId="0" fillId="0" borderId="0" xfId="0" applyNumberFormat="1"/>
    <xf numFmtId="0" fontId="23" fillId="0" borderId="0" xfId="0" applyFont="1" applyAlignment="1">
      <alignment horizontal="center"/>
    </xf>
    <xf numFmtId="0" fontId="23" fillId="0" borderId="44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164" fontId="0" fillId="0" borderId="41" xfId="1" applyNumberFormat="1" applyFont="1" applyFill="1" applyBorder="1" applyAlignment="1">
      <alignment horizontal="center"/>
    </xf>
    <xf numFmtId="164" fontId="0" fillId="0" borderId="32" xfId="1" applyNumberFormat="1" applyFont="1" applyFill="1" applyBorder="1" applyAlignment="1">
      <alignment horizontal="center"/>
    </xf>
    <xf numFmtId="164" fontId="0" fillId="0" borderId="42" xfId="1" applyNumberFormat="1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3" fillId="0" borderId="0" xfId="5" applyFont="1" applyAlignment="1">
      <alignment horizontal="center"/>
    </xf>
    <xf numFmtId="0" fontId="7" fillId="0" borderId="0" xfId="5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2" xfId="5" applyFont="1" applyBorder="1" applyAlignment="1">
      <alignment horizontal="center"/>
    </xf>
    <xf numFmtId="0" fontId="3" fillId="0" borderId="1" xfId="5" applyFont="1" applyBorder="1" applyAlignment="1">
      <alignment horizontal="right"/>
    </xf>
    <xf numFmtId="0" fontId="3" fillId="0" borderId="2" xfId="4" applyFont="1" applyBorder="1" applyAlignment="1">
      <alignment horizontal="left" wrapText="1"/>
    </xf>
    <xf numFmtId="0" fontId="3" fillId="0" borderId="30" xfId="0" quotePrefix="1" applyFont="1" applyBorder="1" applyAlignment="1">
      <alignment horizontal="center"/>
    </xf>
    <xf numFmtId="0" fontId="3" fillId="0" borderId="27" xfId="0" quotePrefix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3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28" xfId="0" quotePrefix="1" applyFont="1" applyBorder="1" applyAlignment="1">
      <alignment horizontal="center"/>
    </xf>
    <xf numFmtId="0" fontId="3" fillId="0" borderId="32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20" fillId="0" borderId="0" xfId="9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4" applyFont="1" applyBorder="1" applyAlignment="1">
      <alignment horizontal="left" wrapText="1"/>
    </xf>
    <xf numFmtId="0" fontId="6" fillId="0" borderId="0" xfId="4" applyFont="1" applyAlignment="1">
      <alignment horizontal="left" wrapText="1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6" fillId="0" borderId="3" xfId="4" applyFont="1" applyBorder="1" applyAlignment="1">
      <alignment horizontal="center" wrapText="1"/>
    </xf>
    <xf numFmtId="0" fontId="3" fillId="0" borderId="3" xfId="16" applyFont="1" applyBorder="1" applyAlignment="1">
      <alignment horizontal="center"/>
    </xf>
    <xf numFmtId="0" fontId="3" fillId="0" borderId="0" xfId="16" applyFont="1" applyAlignment="1">
      <alignment horizontal="center"/>
    </xf>
    <xf numFmtId="0" fontId="3" fillId="0" borderId="3" xfId="15" applyFont="1" applyBorder="1" applyAlignment="1">
      <alignment horizontal="center"/>
    </xf>
    <xf numFmtId="0" fontId="3" fillId="0" borderId="0" xfId="15" applyFont="1" applyAlignment="1">
      <alignment horizontal="center"/>
    </xf>
    <xf numFmtId="0" fontId="3" fillId="0" borderId="1" xfId="15" applyFont="1" applyBorder="1" applyAlignment="1">
      <alignment horizontal="center"/>
    </xf>
  </cellXfs>
  <cellStyles count="18">
    <cellStyle name="Comma" xfId="1" builtinId="3"/>
    <cellStyle name="Comma 10" xfId="14" xr:uid="{934E2A85-F232-40A1-ADBA-15441FCF74C2}"/>
    <cellStyle name="Comma 2" xfId="6" xr:uid="{1C931E9E-B4C9-471E-BFC5-EE535E38EA88}"/>
    <cellStyle name="Currency" xfId="2" builtinId="4"/>
    <cellStyle name="Currency 10" xfId="13" xr:uid="{F0441FA4-2198-4A6B-BA05-C83169DFE637}"/>
    <cellStyle name="Currency 2" xfId="7" xr:uid="{E6809F19-9130-44C8-A2F1-FEF0C9DD5C37}"/>
    <cellStyle name="Currency 2 2" xfId="17" xr:uid="{E3D2C264-DE82-4A53-9BAB-CE532BF49688}"/>
    <cellStyle name="Normal" xfId="0" builtinId="0"/>
    <cellStyle name="Normal 10 8" xfId="15" xr:uid="{7517D28C-B44D-4CE2-8845-FB9E24CE465C}"/>
    <cellStyle name="Normal 11" xfId="10" xr:uid="{3E692CD7-84FD-4EED-9B08-465D1B3B4ECB}"/>
    <cellStyle name="Normal 14" xfId="12" xr:uid="{4D9E27BB-B1F2-42AA-8C70-76525662E114}"/>
    <cellStyle name="Normal 2" xfId="5" xr:uid="{E5B690A7-72A4-480C-9D1F-D3AF5736FDB9}"/>
    <cellStyle name="Normal 3" xfId="9" xr:uid="{E355F4C8-DD8D-4B26-A185-F5E61071ACAD}"/>
    <cellStyle name="Normal 3 2" xfId="16" xr:uid="{3CE2B712-9D36-4E40-9E78-6C503542CF3A}"/>
    <cellStyle name="Normal 5" xfId="11" xr:uid="{D2FE99F1-E7CE-403B-94B1-67E9E735981E}"/>
    <cellStyle name="Normal_Sheet1" xfId="4" xr:uid="{51AA7E40-3F26-4C75-B409-AAB7D3A06687}"/>
    <cellStyle name="Percent" xfId="3" builtinId="5"/>
    <cellStyle name="Percent 2" xfId="8" xr:uid="{3D49A41A-CBE1-4554-8DA1-E7E82FCFD1C4}"/>
  </cellStyles>
  <dxfs count="0"/>
  <tableStyles count="1" defaultTableStyle="TableStyleMedium2" defaultPivotStyle="PivotStyleLight16">
    <tableStyle name="Invisible" pivot="0" table="0" count="0" xr9:uid="{D65F196D-04CC-4643-83DF-90076FD74D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TA\PRICING&amp;RATES\Rate%20Case\2021%20Settlement%20Agreement\Final%20Rates%20Settlement%202021%20%20Aug%2019%202021%20%20%20_A-02_A-03_E-13a_E-13b_E-13C_E-14SuppA%20and%20B.xlsx" TargetMode="External"/><Relationship Id="rId1" Type="http://schemas.openxmlformats.org/officeDocument/2006/relationships/externalLinkPath" Target="/DATA/PRICING&amp;RATES/Rate%20Case/2021%20Settlement%20Agreement/Final%20Rates%20Settlement%202021%20%20Aug%2019%202021%20%20%20_A-02_A-03_E-13a_E-13b_E-13C_E-14Supp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TA\COMMON\JordanW\TEC%20Tasks\Rate%20Case\Rate%20Design\Rate%20Design%20Spreadsheets\2021%20Settlement%20Agreement\Final%20Rates%20Settlement%202021%20%20Aug%2019%202021%20%20%20_A-02_A-03_E-13a_E-13b_E-13C_E-14SuppA%20and%20B.xlsx" TargetMode="External"/><Relationship Id="rId1" Type="http://schemas.openxmlformats.org/officeDocument/2006/relationships/externalLinkPath" Target="/DATA/COMMON/JordanW/TEC%20Tasks/Rate%20Case/Rate%20Design/Rate%20Design%20Spreadsheets/2021%20Settlement%20Agreement/Final%20Rates%20Settlement%202021%20%20Aug%2019%202021%20%20%20_A-02_A-03_E-13a_E-13b_E-13C_E-14SuppA%20and%20B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TA\PRICING&amp;RATES\Rate%20Case\COS%20Models\2025%204CP%20COS%20Proposed%20Rates%20Model.xlsm" TargetMode="External"/><Relationship Id="rId1" Type="http://schemas.openxmlformats.org/officeDocument/2006/relationships/externalLinkPath" Target="/DATA/PRICING&amp;RATES/Rate%20Case/COS%20Models/2025%204CP%20COS%20Proposed%20Rates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Set-up"/>
      <sheetName val="A-2 for RS_GS_GSD"/>
      <sheetName val="A-2 FOR GSLDPR_GSLDTPR_GSLDSU_G"/>
      <sheetName val="A-3"/>
      <sheetName val="E-13a"/>
      <sheetName val="E-13b"/>
      <sheetName val="E-13c"/>
      <sheetName val="E-14 Supp A Pages 1-6 of 6"/>
      <sheetName val="E-14 Supp B Pages 1-10 of 12"/>
      <sheetName val="E-14 SUPP B PAGES 11-12 OF 12"/>
      <sheetName val="Rev Allocation"/>
      <sheetName val="CALCs"/>
      <sheetName val="Moved BDs to new rates"/>
      <sheetName val="BD FCST"/>
    </sheetNames>
    <sheetDataSet>
      <sheetData sheetId="0">
        <row r="5">
          <cell r="B5" t="str">
            <v xml:space="preserve">  20210034 EI</v>
          </cell>
        </row>
        <row r="8">
          <cell r="B8" t="str">
            <v>Projected Test year Ended  12/31/2022</v>
          </cell>
        </row>
        <row r="9">
          <cell r="B9" t="str">
            <v>Projected Prior Year Ended 12/31/2021</v>
          </cell>
        </row>
        <row r="10">
          <cell r="B10" t="str">
            <v>Historical Prior Year Ended 12/31/2020</v>
          </cell>
        </row>
        <row r="11">
          <cell r="B11" t="str">
            <v>Witness:  W. R. Ashburn</v>
          </cell>
        </row>
        <row r="15">
          <cell r="B15">
            <v>2022</v>
          </cell>
        </row>
        <row r="16">
          <cell r="B16">
            <v>2021</v>
          </cell>
        </row>
        <row r="17">
          <cell r="B17">
            <v>2020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Set-up"/>
      <sheetName val="A-2 for RS_GS_GSD"/>
      <sheetName val="A-2 FOR GSLDPR_GSLDTPR_GSLDSU_G"/>
      <sheetName val="A-3"/>
      <sheetName val="E-13a"/>
      <sheetName val="E-13b"/>
      <sheetName val="E-13c"/>
      <sheetName val="E-14 Supp A Pages 1-6 of 6"/>
      <sheetName val="E-14 Supp B Pages 1-10 of 12"/>
      <sheetName val="E-14 SUPP B PAGES 11-12 OF 12"/>
      <sheetName val="Rev Allocation"/>
      <sheetName val="CALCs"/>
      <sheetName val="Moved BDs to new rates"/>
      <sheetName val="BD FCST"/>
    </sheetNames>
    <sheetDataSet>
      <sheetData sheetId="0">
        <row r="5">
          <cell r="B5" t="str">
            <v xml:space="preserve">  20210034 EI</v>
          </cell>
        </row>
        <row r="15">
          <cell r="B15">
            <v>2022</v>
          </cell>
        </row>
        <row r="16">
          <cell r="B16">
            <v>2021</v>
          </cell>
        </row>
        <row r="17">
          <cell r="B17">
            <v>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er"/>
      <sheetName val="Tax &amp; Debt Inputs"/>
      <sheetName val="Expansion Factor"/>
      <sheetName val="Surv Report Sched 2 pg 1"/>
      <sheetName val="Surv Report Sched 2 pg 2"/>
      <sheetName val="Surv Report Sched 2 pg 3 Net Ut"/>
      <sheetName val="Surv Report Sched 2 pg 3"/>
      <sheetName val="Working Captial Input"/>
      <sheetName val="Balance Sheet Accounts"/>
      <sheetName val="Income Statement Accounts"/>
      <sheetName val="Accounting Schedule B-7"/>
      <sheetName val="Accounting Schedule B-9"/>
      <sheetName val="300s Plant Balances Input"/>
      <sheetName val="Labor Input"/>
      <sheetName val="Juris SEP"/>
      <sheetName val="Polk Assets"/>
      <sheetName val="ECRC Plant in Service"/>
      <sheetName val="ECRC Accumulated Depreciation"/>
      <sheetName val="ECRC Depreciation Expense"/>
      <sheetName val="ECRC O&amp;M"/>
      <sheetName val="SPP Plant in Service"/>
      <sheetName val="SPP Accum Depreciation"/>
      <sheetName val="SPP Net Depreciation"/>
      <sheetName val="Load Research January CPk"/>
      <sheetName val="Load Research February CPk"/>
      <sheetName val="Load Research March CPk"/>
      <sheetName val="Load Research April CPk"/>
      <sheetName val="Load Research May CPk"/>
      <sheetName val="Load Research June CPk"/>
      <sheetName val="Load Research July CPk"/>
      <sheetName val="Load Research August CPk"/>
      <sheetName val="Load Research September CPk"/>
      <sheetName val="Load Research October CPk"/>
      <sheetName val="Load Research November CPk"/>
      <sheetName val="Load Research December CPk"/>
      <sheetName val="Load Research RS NCPk"/>
      <sheetName val="Load Research GS NCPk"/>
      <sheetName val="Load Research GSD NCPk"/>
      <sheetName val="Load Research GSLD NCPk"/>
      <sheetName val="Load Research LS NCPk"/>
      <sheetName val="Load Research Billing kWh"/>
      <sheetName val="Load Research Projected LF"/>
      <sheetName val="Tariff Meter Level Discount"/>
      <sheetName val="Load Research Service Level"/>
      <sheetName val="Wholesale Firm"/>
      <sheetName val="Forecasting Base Revenues by RC"/>
      <sheetName val="Forecasting Lighting Facilities"/>
      <sheetName val="Transmission Pole Attachments"/>
      <sheetName val="Non-Firm Transmission"/>
      <sheetName val="Net Dependable Capacity"/>
      <sheetName val="Transmission Investment"/>
      <sheetName val="Transmission Interconnections"/>
      <sheetName val="Separation F"/>
      <sheetName val="Transmission GSU Investments"/>
      <sheetName val="Transmission Substation Invests"/>
      <sheetName val="Dist Overhead Conductors"/>
      <sheetName val="Distribution Pole Counts"/>
      <sheetName val="Distribution Investment"/>
      <sheetName val="Distribution Substation Costs"/>
      <sheetName val="ARO Functionalized"/>
      <sheetName val="Property Insurance Input"/>
      <sheetName val="Income Tax Input"/>
      <sheetName val="100s and 200s FERC Accounts"/>
      <sheetName val="300s - 3 Digit FERC Accounts"/>
      <sheetName val="300s - 5 Digit FERC Accounts"/>
      <sheetName val="500s FERC Accounts"/>
      <sheetName val="900s FERC Accounts"/>
      <sheetName val="Other Operating Revenue"/>
      <sheetName val="Generation Land"/>
      <sheetName val="ECRC Adj Gen"/>
      <sheetName val="SPP ADJ T&amp;D"/>
      <sheetName val="Coincident Peak Formula"/>
      <sheetName val="Load Management Adjustment"/>
      <sheetName val="Load Research"/>
      <sheetName val="Functionalized Revenues"/>
      <sheetName val="0 MDS Functionalized Revenues"/>
      <sheetName val="Parity Check"/>
      <sheetName val="Depr Check"/>
      <sheetName val="Generation"/>
      <sheetName val="Transmission Voltage Detail"/>
      <sheetName val="Tranmission Substation Detail"/>
      <sheetName val="Transmission"/>
      <sheetName val="Distribution Overhead Conductor"/>
      <sheetName val="Distribution Substation Detail"/>
      <sheetName val="Minimum Distribution System"/>
      <sheetName val="0 MDS"/>
      <sheetName val="Distribution"/>
      <sheetName val="0 MDS Distribution"/>
      <sheetName val="Weighted Meters"/>
      <sheetName val="Communications Equipment"/>
      <sheetName val="0 MDS Communications Equipment"/>
      <sheetName val="Transportation Equipment"/>
      <sheetName val="0 MDS Transportation Equipment"/>
      <sheetName val="PHFFU"/>
      <sheetName val="0 MDS PHFFU"/>
      <sheetName val="CWIP"/>
      <sheetName val="0 MDS CWIP"/>
      <sheetName val="ROU Leases"/>
      <sheetName val="General Plant"/>
      <sheetName val="0 MDS General Plant"/>
      <sheetName val="Working Capital Transpose"/>
      <sheetName val="Working Capital"/>
      <sheetName val="0 MDS Working Capital"/>
      <sheetName val="Prod O&amp;M"/>
      <sheetName val="Labor O&amp;M"/>
      <sheetName val="0 MDS Labor O&amp;M"/>
      <sheetName val="Transmission O&amp;M"/>
      <sheetName val="Fuel Interchange"/>
      <sheetName val="Distribution O&amp;M"/>
      <sheetName val="0 MDS Distribution O&amp;M"/>
      <sheetName val="Other and A&amp;G O&amp;M"/>
      <sheetName val="0 MDS Other and A&amp;G O&amp;M"/>
      <sheetName val="Property Insurance"/>
      <sheetName val="Taxes Other"/>
      <sheetName val="0 MDS Taxes Other"/>
      <sheetName val="Income Taxes"/>
      <sheetName val="0 MDS Income Taxes"/>
      <sheetName val="MDS AlloCheck"/>
      <sheetName val="Allocation Assignment"/>
      <sheetName val="0 MDS Allocation Assignment"/>
      <sheetName val="REPORTS"/>
      <sheetName val="0 MDS REPORTS"/>
      <sheetName val="Check Figures"/>
      <sheetName val="MFR HEADERS"/>
      <sheetName val="VOL I"/>
      <sheetName val="VOL II"/>
      <sheetName val="B-6"/>
      <sheetName val="B-6 Specific Supp"/>
      <sheetName val="E-1"/>
      <sheetName val="E-2"/>
      <sheetName val="E-3a"/>
      <sheetName val="E-3b"/>
      <sheetName val="E-4a"/>
      <sheetName val="E-4b"/>
      <sheetName val="E-5"/>
      <sheetName val="E-6a"/>
      <sheetName val="E-6b"/>
      <sheetName val="E-8"/>
      <sheetName val="E-9"/>
      <sheetName val="E-10_101"/>
      <sheetName val="E-10_200"/>
      <sheetName val="E-10_120_series 4CP"/>
      <sheetName val="E-10_118"/>
      <sheetName val="E-10_105_106"/>
      <sheetName val="E-10_308_321"/>
      <sheetName val="E-10_412_418_420"/>
      <sheetName val="E-10_final_alloc_desc"/>
      <sheetName val="E-14 Supp A Pages 1-6 of 6"/>
      <sheetName val="E-14B 1to10"/>
      <sheetName val="Unit Cost Rate Design Input"/>
      <sheetName val="Surveillance Report Factors"/>
      <sheetName val="Synthesized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43A3-CD94-4677-BC7F-344A625B7877}">
  <dimension ref="A1:B347"/>
  <sheetViews>
    <sheetView tabSelected="1" workbookViewId="0"/>
  </sheetViews>
  <sheetFormatPr defaultRowHeight="15" x14ac:dyDescent="0.25"/>
  <cols>
    <col min="1" max="1" width="50.140625" bestFit="1" customWidth="1"/>
    <col min="2" max="2" width="17.85546875" bestFit="1" customWidth="1"/>
  </cols>
  <sheetData>
    <row r="1" spans="1:2" ht="18.75" x14ac:dyDescent="0.25">
      <c r="A1" s="215" t="s">
        <v>912</v>
      </c>
      <c r="B1" s="215"/>
    </row>
    <row r="2" spans="1:2" x14ac:dyDescent="0.25">
      <c r="B2" s="216">
        <v>2025</v>
      </c>
    </row>
    <row r="3" spans="1:2" x14ac:dyDescent="0.25">
      <c r="A3" t="s">
        <v>0</v>
      </c>
      <c r="B3" s="1">
        <v>279108556</v>
      </c>
    </row>
    <row r="4" spans="1:2" x14ac:dyDescent="0.25">
      <c r="A4" t="s">
        <v>1</v>
      </c>
      <c r="B4" s="1">
        <v>1616968</v>
      </c>
    </row>
    <row r="5" spans="1:2" x14ac:dyDescent="0.25">
      <c r="A5" t="s">
        <v>2</v>
      </c>
      <c r="B5" s="1">
        <v>10209657234</v>
      </c>
    </row>
    <row r="6" spans="1:2" x14ac:dyDescent="0.25">
      <c r="A6" t="s">
        <v>3</v>
      </c>
      <c r="B6" s="1">
        <v>7076568254.1000004</v>
      </c>
    </row>
    <row r="7" spans="1:2" x14ac:dyDescent="0.25">
      <c r="A7" t="s">
        <v>4</v>
      </c>
      <c r="B7" s="1">
        <v>3133088980.2800002</v>
      </c>
    </row>
    <row r="8" spans="1:2" x14ac:dyDescent="0.25">
      <c r="A8" t="s">
        <v>5</v>
      </c>
      <c r="B8" s="1">
        <v>80411220</v>
      </c>
    </row>
    <row r="9" spans="1:2" x14ac:dyDescent="0.25">
      <c r="B9" s="216">
        <f>+B2</f>
        <v>2025</v>
      </c>
    </row>
    <row r="10" spans="1:2" x14ac:dyDescent="0.25">
      <c r="A10" t="s">
        <v>6</v>
      </c>
      <c r="B10" s="1">
        <v>9365.11</v>
      </c>
    </row>
    <row r="11" spans="1:2" x14ac:dyDescent="0.25">
      <c r="A11" t="s">
        <v>7</v>
      </c>
      <c r="B11" s="1">
        <v>2916930</v>
      </c>
    </row>
    <row r="12" spans="1:2" x14ac:dyDescent="0.25">
      <c r="A12" t="s">
        <v>8</v>
      </c>
      <c r="B12" s="1">
        <v>9501.06</v>
      </c>
    </row>
    <row r="13" spans="1:2" x14ac:dyDescent="0.25">
      <c r="B13" s="216">
        <f>+B9</f>
        <v>2025</v>
      </c>
    </row>
    <row r="14" spans="1:2" x14ac:dyDescent="0.25">
      <c r="A14" t="s">
        <v>9</v>
      </c>
      <c r="B14" s="1">
        <v>1477390</v>
      </c>
    </row>
    <row r="15" spans="1:2" x14ac:dyDescent="0.25">
      <c r="A15" t="s">
        <v>10</v>
      </c>
      <c r="B15" s="1">
        <v>12769320</v>
      </c>
    </row>
    <row r="16" spans="1:2" x14ac:dyDescent="0.25">
      <c r="B16" s="216">
        <f>+B13</f>
        <v>2025</v>
      </c>
    </row>
    <row r="17" spans="1:2" x14ac:dyDescent="0.25">
      <c r="A17" t="s">
        <v>11</v>
      </c>
      <c r="B17" s="1">
        <v>24905825</v>
      </c>
    </row>
    <row r="18" spans="1:2" x14ac:dyDescent="0.25">
      <c r="A18" t="s">
        <v>12</v>
      </c>
      <c r="B18" s="1">
        <v>35156</v>
      </c>
    </row>
    <row r="19" spans="1:2" x14ac:dyDescent="0.25">
      <c r="A19" t="s">
        <v>13</v>
      </c>
      <c r="B19" s="1">
        <v>830344</v>
      </c>
    </row>
    <row r="20" spans="1:2" x14ac:dyDescent="0.25">
      <c r="A20" t="s">
        <v>14</v>
      </c>
      <c r="B20" s="1">
        <v>910365971</v>
      </c>
    </row>
    <row r="21" spans="1:2" x14ac:dyDescent="0.25">
      <c r="A21" t="s">
        <v>15</v>
      </c>
      <c r="B21" s="1">
        <v>1036577</v>
      </c>
    </row>
    <row r="22" spans="1:2" x14ac:dyDescent="0.25">
      <c r="A22" t="s">
        <v>16</v>
      </c>
      <c r="B22" s="1">
        <v>26764032</v>
      </c>
    </row>
    <row r="23" spans="1:2" x14ac:dyDescent="0.25">
      <c r="A23" t="s">
        <v>17</v>
      </c>
      <c r="B23" s="1">
        <v>6837961</v>
      </c>
    </row>
    <row r="24" spans="1:2" x14ac:dyDescent="0.25">
      <c r="A24" t="s">
        <v>18</v>
      </c>
      <c r="B24" s="1">
        <v>19926071</v>
      </c>
    </row>
    <row r="25" spans="1:2" x14ac:dyDescent="0.25">
      <c r="A25" t="s">
        <v>19</v>
      </c>
      <c r="B25" s="1">
        <v>278292.17</v>
      </c>
    </row>
    <row r="26" spans="1:2" x14ac:dyDescent="0.25">
      <c r="A26" t="s">
        <v>20</v>
      </c>
      <c r="B26" s="1">
        <v>0</v>
      </c>
    </row>
    <row r="27" spans="1:2" x14ac:dyDescent="0.25">
      <c r="B27" s="216">
        <f>+B16</f>
        <v>2025</v>
      </c>
    </row>
    <row r="28" spans="1:2" x14ac:dyDescent="0.25">
      <c r="A28" t="s">
        <v>21</v>
      </c>
      <c r="B28" s="1">
        <v>5518651</v>
      </c>
    </row>
    <row r="29" spans="1:2" x14ac:dyDescent="0.25">
      <c r="A29" t="s">
        <v>22</v>
      </c>
      <c r="B29" s="1">
        <v>5498214.3099999996</v>
      </c>
    </row>
    <row r="30" spans="1:2" x14ac:dyDescent="0.25">
      <c r="A30" t="s">
        <v>23</v>
      </c>
      <c r="B30" s="1">
        <v>20436.89</v>
      </c>
    </row>
    <row r="31" spans="1:2" x14ac:dyDescent="0.25">
      <c r="A31" t="s">
        <v>24</v>
      </c>
      <c r="B31" s="1">
        <v>0</v>
      </c>
    </row>
    <row r="32" spans="1:2" x14ac:dyDescent="0.25">
      <c r="A32" t="s">
        <v>25</v>
      </c>
      <c r="B32" s="1">
        <v>4597287893</v>
      </c>
    </row>
    <row r="33" spans="1:2" x14ac:dyDescent="0.25">
      <c r="A33" t="s">
        <v>26</v>
      </c>
      <c r="B33" s="1">
        <v>4524224832</v>
      </c>
    </row>
    <row r="34" spans="1:2" x14ac:dyDescent="0.25">
      <c r="A34" t="s">
        <v>27</v>
      </c>
      <c r="B34" s="1">
        <v>73063062</v>
      </c>
    </row>
    <row r="35" spans="1:2" x14ac:dyDescent="0.25">
      <c r="A35" t="s">
        <v>28</v>
      </c>
      <c r="B35" s="1">
        <v>0</v>
      </c>
    </row>
    <row r="36" spans="1:2" x14ac:dyDescent="0.25">
      <c r="A36" t="s">
        <v>29</v>
      </c>
      <c r="B36" s="1">
        <v>12121164</v>
      </c>
    </row>
    <row r="37" spans="1:2" x14ac:dyDescent="0.25">
      <c r="A37" t="s">
        <v>30</v>
      </c>
      <c r="B37" s="1">
        <v>11934861</v>
      </c>
    </row>
    <row r="38" spans="1:2" x14ac:dyDescent="0.25">
      <c r="A38" s="217" t="s">
        <v>31</v>
      </c>
      <c r="B38" s="1">
        <v>186303</v>
      </c>
    </row>
    <row r="39" spans="1:2" x14ac:dyDescent="0.25">
      <c r="A39" t="s">
        <v>32</v>
      </c>
      <c r="B39" s="1">
        <v>0</v>
      </c>
    </row>
    <row r="40" spans="1:2" x14ac:dyDescent="0.25">
      <c r="A40" t="s">
        <v>33</v>
      </c>
      <c r="B40" s="1">
        <v>128245</v>
      </c>
    </row>
    <row r="41" spans="1:2" x14ac:dyDescent="0.25">
      <c r="A41" t="s">
        <v>34</v>
      </c>
      <c r="B41" s="1">
        <v>128245</v>
      </c>
    </row>
    <row r="42" spans="1:2" x14ac:dyDescent="0.25">
      <c r="A42" t="s">
        <v>35</v>
      </c>
      <c r="B42" s="1">
        <v>0</v>
      </c>
    </row>
    <row r="43" spans="1:2" x14ac:dyDescent="0.25">
      <c r="A43" t="s">
        <v>36</v>
      </c>
      <c r="B43" s="1">
        <v>655328</v>
      </c>
    </row>
    <row r="44" spans="1:2" x14ac:dyDescent="0.25">
      <c r="A44" t="s">
        <v>37</v>
      </c>
      <c r="B44" s="1">
        <v>631383</v>
      </c>
    </row>
    <row r="45" spans="1:2" x14ac:dyDescent="0.25">
      <c r="A45" t="s">
        <v>38</v>
      </c>
      <c r="B45" s="1">
        <v>23944</v>
      </c>
    </row>
    <row r="46" spans="1:2" x14ac:dyDescent="0.25">
      <c r="A46" t="s">
        <v>39</v>
      </c>
      <c r="B46" s="1">
        <v>0</v>
      </c>
    </row>
    <row r="47" spans="1:2" x14ac:dyDescent="0.25">
      <c r="A47" t="s">
        <v>40</v>
      </c>
      <c r="B47" s="1">
        <v>-3135210</v>
      </c>
    </row>
    <row r="48" spans="1:2" x14ac:dyDescent="0.25">
      <c r="A48" t="s">
        <v>41</v>
      </c>
      <c r="B48" s="1">
        <v>0</v>
      </c>
    </row>
    <row r="49" spans="1:2" x14ac:dyDescent="0.25">
      <c r="B49" s="216">
        <f>+B27</f>
        <v>2025</v>
      </c>
    </row>
    <row r="50" spans="1:2" x14ac:dyDescent="0.25">
      <c r="A50" t="s">
        <v>42</v>
      </c>
      <c r="B50" s="1">
        <v>561526</v>
      </c>
    </row>
    <row r="51" spans="1:2" x14ac:dyDescent="0.25">
      <c r="A51" t="s">
        <v>43</v>
      </c>
      <c r="B51" s="1">
        <v>547000.02</v>
      </c>
    </row>
    <row r="52" spans="1:2" x14ac:dyDescent="0.25">
      <c r="A52" s="217" t="s">
        <v>44</v>
      </c>
      <c r="B52" s="1">
        <v>14149.85</v>
      </c>
    </row>
    <row r="53" spans="1:2" x14ac:dyDescent="0.25">
      <c r="A53" t="s">
        <v>45</v>
      </c>
      <c r="B53" s="1">
        <v>753.01</v>
      </c>
    </row>
    <row r="54" spans="1:2" x14ac:dyDescent="0.25">
      <c r="A54" t="s">
        <v>46</v>
      </c>
      <c r="B54" s="1">
        <v>240</v>
      </c>
    </row>
    <row r="55" spans="1:2" x14ac:dyDescent="0.25">
      <c r="A55" t="s">
        <v>47</v>
      </c>
      <c r="B55" s="1">
        <v>0</v>
      </c>
    </row>
    <row r="56" spans="1:2" x14ac:dyDescent="0.25">
      <c r="A56" t="s">
        <v>48</v>
      </c>
      <c r="B56" s="1">
        <v>240</v>
      </c>
    </row>
    <row r="57" spans="1:2" x14ac:dyDescent="0.25">
      <c r="A57" t="s">
        <v>49</v>
      </c>
      <c r="B57" s="1">
        <v>2132093261</v>
      </c>
    </row>
    <row r="58" spans="1:2" x14ac:dyDescent="0.25">
      <c r="A58" t="s">
        <v>50</v>
      </c>
      <c r="B58" s="1">
        <v>1909031152</v>
      </c>
    </row>
    <row r="59" spans="1:2" x14ac:dyDescent="0.25">
      <c r="A59" t="s">
        <v>51</v>
      </c>
      <c r="B59" s="1">
        <v>221442762</v>
      </c>
    </row>
    <row r="60" spans="1:2" x14ac:dyDescent="0.25">
      <c r="A60" t="s">
        <v>52</v>
      </c>
      <c r="B60" s="1">
        <v>1619347</v>
      </c>
    </row>
    <row r="61" spans="1:2" x14ac:dyDescent="0.25">
      <c r="A61" t="s">
        <v>53</v>
      </c>
      <c r="B61" s="1">
        <v>562746726</v>
      </c>
    </row>
    <row r="62" spans="1:2" x14ac:dyDescent="0.25">
      <c r="A62" t="s">
        <v>54</v>
      </c>
      <c r="B62" s="1">
        <v>504162521</v>
      </c>
    </row>
    <row r="63" spans="1:2" x14ac:dyDescent="0.25">
      <c r="A63" t="s">
        <v>55</v>
      </c>
      <c r="B63" s="1">
        <v>58156925</v>
      </c>
    </row>
    <row r="64" spans="1:2" x14ac:dyDescent="0.25">
      <c r="A64" t="s">
        <v>56</v>
      </c>
      <c r="B64" s="1">
        <v>427280</v>
      </c>
    </row>
    <row r="65" spans="1:2" x14ac:dyDescent="0.25">
      <c r="A65" t="s">
        <v>57</v>
      </c>
      <c r="B65" s="1">
        <v>1569346535</v>
      </c>
    </row>
    <row r="66" spans="1:2" x14ac:dyDescent="0.25">
      <c r="A66" t="s">
        <v>58</v>
      </c>
      <c r="B66" s="1">
        <v>1404868632</v>
      </c>
    </row>
    <row r="67" spans="1:2" x14ac:dyDescent="0.25">
      <c r="A67" t="s">
        <v>59</v>
      </c>
      <c r="B67" s="1">
        <v>163285837</v>
      </c>
    </row>
    <row r="68" spans="1:2" x14ac:dyDescent="0.25">
      <c r="A68" t="s">
        <v>60</v>
      </c>
      <c r="B68" s="1">
        <v>1192067</v>
      </c>
    </row>
    <row r="69" spans="1:2" x14ac:dyDescent="0.25">
      <c r="A69" t="s">
        <v>61</v>
      </c>
      <c r="B69" s="1">
        <v>3998580</v>
      </c>
    </row>
    <row r="70" spans="1:2" x14ac:dyDescent="0.25">
      <c r="A70" t="s">
        <v>62</v>
      </c>
      <c r="B70" s="1">
        <v>3559566</v>
      </c>
    </row>
    <row r="71" spans="1:2" x14ac:dyDescent="0.25">
      <c r="A71" t="s">
        <v>63</v>
      </c>
      <c r="B71" s="1">
        <v>434177</v>
      </c>
    </row>
    <row r="72" spans="1:2" x14ac:dyDescent="0.25">
      <c r="A72" t="s">
        <v>64</v>
      </c>
      <c r="B72" s="1">
        <v>4837</v>
      </c>
    </row>
    <row r="73" spans="1:2" x14ac:dyDescent="0.25">
      <c r="A73" t="s">
        <v>65</v>
      </c>
      <c r="B73" s="1">
        <v>3858279</v>
      </c>
    </row>
    <row r="74" spans="1:2" x14ac:dyDescent="0.25">
      <c r="A74" t="s">
        <v>66</v>
      </c>
      <c r="B74" s="1">
        <v>3433414</v>
      </c>
    </row>
    <row r="75" spans="1:2" x14ac:dyDescent="0.25">
      <c r="A75" t="s">
        <v>67</v>
      </c>
      <c r="B75" s="1">
        <v>420346</v>
      </c>
    </row>
    <row r="76" spans="1:2" x14ac:dyDescent="0.25">
      <c r="A76" t="s">
        <v>68</v>
      </c>
      <c r="B76" s="1">
        <v>4519</v>
      </c>
    </row>
    <row r="77" spans="1:2" x14ac:dyDescent="0.25">
      <c r="A77" t="s">
        <v>69</v>
      </c>
      <c r="B77" s="1">
        <v>71224</v>
      </c>
    </row>
    <row r="78" spans="1:2" x14ac:dyDescent="0.25">
      <c r="A78" t="s">
        <v>70</v>
      </c>
      <c r="B78" s="1">
        <v>68661</v>
      </c>
    </row>
    <row r="79" spans="1:2" x14ac:dyDescent="0.25">
      <c r="A79" t="s">
        <v>71</v>
      </c>
      <c r="B79" s="1">
        <v>2562</v>
      </c>
    </row>
    <row r="80" spans="1:2" x14ac:dyDescent="0.25">
      <c r="A80" t="s">
        <v>72</v>
      </c>
      <c r="B80" s="1">
        <v>759513</v>
      </c>
    </row>
    <row r="81" spans="1:2" x14ac:dyDescent="0.25">
      <c r="A81" t="s">
        <v>73</v>
      </c>
      <c r="B81" s="1">
        <v>713288</v>
      </c>
    </row>
    <row r="82" spans="1:2" x14ac:dyDescent="0.25">
      <c r="A82" t="s">
        <v>74</v>
      </c>
      <c r="B82" s="1">
        <v>46225</v>
      </c>
    </row>
    <row r="83" spans="1:2" x14ac:dyDescent="0.25">
      <c r="A83" t="s">
        <v>75</v>
      </c>
      <c r="B83" s="1">
        <v>0</v>
      </c>
    </row>
    <row r="84" spans="1:2" x14ac:dyDescent="0.25">
      <c r="A84" t="s">
        <v>76</v>
      </c>
      <c r="B84" s="1">
        <v>-7500630</v>
      </c>
    </row>
    <row r="85" spans="1:2" x14ac:dyDescent="0.25">
      <c r="A85" t="s">
        <v>77</v>
      </c>
      <c r="B85" s="1">
        <v>-70566</v>
      </c>
    </row>
    <row r="86" spans="1:2" x14ac:dyDescent="0.25">
      <c r="B86" s="216">
        <f>+B49</f>
        <v>2025</v>
      </c>
    </row>
    <row r="87" spans="1:2" x14ac:dyDescent="0.25">
      <c r="A87" t="s">
        <v>78</v>
      </c>
      <c r="B87" s="1">
        <v>616892</v>
      </c>
    </row>
    <row r="88" spans="1:2" x14ac:dyDescent="0.25">
      <c r="A88" t="s">
        <v>79</v>
      </c>
      <c r="B88" s="1">
        <v>609685.46</v>
      </c>
    </row>
    <row r="89" spans="1:2" x14ac:dyDescent="0.25">
      <c r="A89" t="s">
        <v>80</v>
      </c>
      <c r="B89" s="1">
        <v>7206.29</v>
      </c>
    </row>
    <row r="90" spans="1:2" x14ac:dyDescent="0.25">
      <c r="A90" t="s">
        <v>81</v>
      </c>
      <c r="B90" s="1">
        <v>0</v>
      </c>
    </row>
    <row r="91" spans="1:2" x14ac:dyDescent="0.25">
      <c r="A91" t="s">
        <v>82</v>
      </c>
      <c r="B91" s="1">
        <v>359938587</v>
      </c>
    </row>
    <row r="92" spans="1:2" x14ac:dyDescent="0.25">
      <c r="A92" t="s">
        <v>83</v>
      </c>
      <c r="B92" s="1">
        <v>353684044</v>
      </c>
    </row>
    <row r="93" spans="1:2" x14ac:dyDescent="0.25">
      <c r="A93" t="s">
        <v>84</v>
      </c>
      <c r="B93" s="1">
        <v>6254543</v>
      </c>
    </row>
    <row r="94" spans="1:2" x14ac:dyDescent="0.25">
      <c r="A94" t="s">
        <v>85</v>
      </c>
      <c r="B94" s="1">
        <v>0</v>
      </c>
    </row>
    <row r="95" spans="1:2" x14ac:dyDescent="0.25">
      <c r="A95" t="s">
        <v>86</v>
      </c>
      <c r="B95" s="1">
        <v>2471303</v>
      </c>
    </row>
    <row r="96" spans="1:2" x14ac:dyDescent="0.25">
      <c r="A96" t="s">
        <v>87</v>
      </c>
      <c r="B96" s="1">
        <v>2471303</v>
      </c>
    </row>
    <row r="97" spans="1:2" x14ac:dyDescent="0.25">
      <c r="A97" t="s">
        <v>88</v>
      </c>
      <c r="B97" s="1">
        <v>0</v>
      </c>
    </row>
    <row r="98" spans="1:2" x14ac:dyDescent="0.25">
      <c r="A98" t="s">
        <v>89</v>
      </c>
      <c r="B98" s="1">
        <v>16331549</v>
      </c>
    </row>
    <row r="99" spans="1:2" x14ac:dyDescent="0.25">
      <c r="A99" t="s">
        <v>90</v>
      </c>
      <c r="B99" s="1">
        <v>16331549</v>
      </c>
    </row>
    <row r="100" spans="1:2" x14ac:dyDescent="0.25">
      <c r="A100" t="s">
        <v>91</v>
      </c>
      <c r="B100" s="1">
        <v>0</v>
      </c>
    </row>
    <row r="101" spans="1:2" x14ac:dyDescent="0.25">
      <c r="A101" t="s">
        <v>92</v>
      </c>
      <c r="B101" s="1">
        <v>0</v>
      </c>
    </row>
    <row r="102" spans="1:2" x14ac:dyDescent="0.25">
      <c r="A102" t="s">
        <v>93</v>
      </c>
      <c r="B102" s="1">
        <v>2046453</v>
      </c>
    </row>
    <row r="103" spans="1:2" x14ac:dyDescent="0.25">
      <c r="A103" s="218" t="s">
        <v>94</v>
      </c>
      <c r="B103" s="1">
        <v>1992622</v>
      </c>
    </row>
    <row r="104" spans="1:2" x14ac:dyDescent="0.25">
      <c r="A104" t="s">
        <v>95</v>
      </c>
      <c r="B104" s="1">
        <v>53831</v>
      </c>
    </row>
    <row r="105" spans="1:2" x14ac:dyDescent="0.25">
      <c r="A105" t="s">
        <v>96</v>
      </c>
      <c r="B105" s="1">
        <v>0</v>
      </c>
    </row>
    <row r="106" spans="1:2" x14ac:dyDescent="0.25">
      <c r="A106" t="s">
        <v>97</v>
      </c>
      <c r="B106" s="1">
        <v>-441963</v>
      </c>
    </row>
    <row r="107" spans="1:2" x14ac:dyDescent="0.25">
      <c r="A107" t="s">
        <v>98</v>
      </c>
      <c r="B107" s="1">
        <v>0</v>
      </c>
    </row>
    <row r="108" spans="1:2" x14ac:dyDescent="0.25">
      <c r="B108" s="216">
        <f>+B86</f>
        <v>2025</v>
      </c>
    </row>
    <row r="109" spans="1:2" x14ac:dyDescent="0.25">
      <c r="A109" t="s">
        <v>99</v>
      </c>
      <c r="B109" s="1">
        <v>0</v>
      </c>
    </row>
    <row r="110" spans="1:2" x14ac:dyDescent="0.25">
      <c r="A110" t="s">
        <v>100</v>
      </c>
      <c r="B110" s="1">
        <v>0</v>
      </c>
    </row>
    <row r="111" spans="1:2" x14ac:dyDescent="0.25">
      <c r="A111" t="s">
        <v>101</v>
      </c>
      <c r="B111" s="1">
        <v>0</v>
      </c>
    </row>
    <row r="112" spans="1:2" x14ac:dyDescent="0.25">
      <c r="A112" t="s">
        <v>102</v>
      </c>
      <c r="B112" s="1">
        <v>0</v>
      </c>
    </row>
    <row r="113" spans="1:2" x14ac:dyDescent="0.25">
      <c r="A113" t="s">
        <v>103</v>
      </c>
      <c r="B113" s="1">
        <v>0</v>
      </c>
    </row>
    <row r="114" spans="1:2" x14ac:dyDescent="0.25">
      <c r="A114" t="s">
        <v>104</v>
      </c>
      <c r="B114" s="1">
        <v>0</v>
      </c>
    </row>
    <row r="115" spans="1:2" x14ac:dyDescent="0.25">
      <c r="A115" t="s">
        <v>105</v>
      </c>
      <c r="B115" s="1">
        <v>0</v>
      </c>
    </row>
    <row r="116" spans="1:2" x14ac:dyDescent="0.25">
      <c r="A116" t="s">
        <v>106</v>
      </c>
      <c r="B116" s="1">
        <v>0</v>
      </c>
    </row>
    <row r="117" spans="1:2" x14ac:dyDescent="0.25">
      <c r="A117" t="s">
        <v>107</v>
      </c>
      <c r="B117" s="1">
        <v>0</v>
      </c>
    </row>
    <row r="118" spans="1:2" x14ac:dyDescent="0.25">
      <c r="A118" t="s">
        <v>108</v>
      </c>
      <c r="B118" s="1">
        <v>0</v>
      </c>
    </row>
    <row r="119" spans="1:2" x14ac:dyDescent="0.25">
      <c r="A119" t="s">
        <v>109</v>
      </c>
      <c r="B119" s="1">
        <v>0</v>
      </c>
    </row>
    <row r="120" spans="1:2" x14ac:dyDescent="0.25">
      <c r="B120" s="216">
        <f>+B108</f>
        <v>2025</v>
      </c>
    </row>
    <row r="121" spans="1:2" x14ac:dyDescent="0.25">
      <c r="A121" t="s">
        <v>110</v>
      </c>
      <c r="B121" s="1">
        <v>0</v>
      </c>
    </row>
    <row r="122" spans="1:2" x14ac:dyDescent="0.25">
      <c r="A122" t="s">
        <v>111</v>
      </c>
      <c r="B122" s="1">
        <v>0</v>
      </c>
    </row>
    <row r="123" spans="1:2" x14ac:dyDescent="0.25">
      <c r="A123" t="s">
        <v>112</v>
      </c>
      <c r="B123" s="1">
        <v>0</v>
      </c>
    </row>
    <row r="124" spans="1:2" x14ac:dyDescent="0.25">
      <c r="A124" t="s">
        <v>113</v>
      </c>
      <c r="B124" s="1">
        <v>0</v>
      </c>
    </row>
    <row r="125" spans="1:2" x14ac:dyDescent="0.25">
      <c r="A125" t="s">
        <v>114</v>
      </c>
      <c r="B125" s="1">
        <v>0</v>
      </c>
    </row>
    <row r="126" spans="1:2" x14ac:dyDescent="0.25">
      <c r="A126" t="s">
        <v>115</v>
      </c>
      <c r="B126" s="1">
        <v>0</v>
      </c>
    </row>
    <row r="127" spans="1:2" x14ac:dyDescent="0.25">
      <c r="A127" t="s">
        <v>116</v>
      </c>
      <c r="B127" s="1">
        <v>0</v>
      </c>
    </row>
    <row r="128" spans="1:2" x14ac:dyDescent="0.25">
      <c r="A128" t="s">
        <v>117</v>
      </c>
      <c r="B128" s="1">
        <v>0</v>
      </c>
    </row>
    <row r="129" spans="1:2" x14ac:dyDescent="0.25">
      <c r="A129" t="s">
        <v>118</v>
      </c>
      <c r="B129" s="1">
        <v>0</v>
      </c>
    </row>
    <row r="130" spans="1:2" x14ac:dyDescent="0.25">
      <c r="A130" t="s">
        <v>119</v>
      </c>
      <c r="B130" s="1">
        <v>0</v>
      </c>
    </row>
    <row r="131" spans="1:2" x14ac:dyDescent="0.25">
      <c r="A131" t="s">
        <v>120</v>
      </c>
      <c r="B131" s="1">
        <v>0</v>
      </c>
    </row>
    <row r="132" spans="1:2" x14ac:dyDescent="0.25">
      <c r="B132" s="216">
        <f>+B120</f>
        <v>2025</v>
      </c>
    </row>
    <row r="133" spans="1:2" x14ac:dyDescent="0.25">
      <c r="A133" t="s">
        <v>121</v>
      </c>
      <c r="B133" s="1">
        <v>0</v>
      </c>
    </row>
    <row r="134" spans="1:2" x14ac:dyDescent="0.25">
      <c r="A134" t="s">
        <v>122</v>
      </c>
      <c r="B134" s="1">
        <v>0</v>
      </c>
    </row>
    <row r="135" spans="1:2" x14ac:dyDescent="0.25">
      <c r="A135" t="s">
        <v>123</v>
      </c>
      <c r="B135" s="1">
        <v>0</v>
      </c>
    </row>
    <row r="136" spans="1:2" x14ac:dyDescent="0.25">
      <c r="A136" t="s">
        <v>124</v>
      </c>
      <c r="B136" s="1">
        <v>0</v>
      </c>
    </row>
    <row r="137" spans="1:2" x14ac:dyDescent="0.25">
      <c r="A137" t="s">
        <v>125</v>
      </c>
      <c r="B137" s="1">
        <v>0</v>
      </c>
    </row>
    <row r="138" spans="1:2" x14ac:dyDescent="0.25">
      <c r="A138" t="s">
        <v>126</v>
      </c>
      <c r="B138" s="1">
        <v>0</v>
      </c>
    </row>
    <row r="139" spans="1:2" x14ac:dyDescent="0.25">
      <c r="A139" t="s">
        <v>127</v>
      </c>
      <c r="B139" s="1">
        <v>0</v>
      </c>
    </row>
    <row r="140" spans="1:2" x14ac:dyDescent="0.25">
      <c r="A140" t="s">
        <v>128</v>
      </c>
      <c r="B140" s="1">
        <v>0</v>
      </c>
    </row>
    <row r="141" spans="1:2" x14ac:dyDescent="0.25">
      <c r="A141" t="s">
        <v>129</v>
      </c>
      <c r="B141" s="1">
        <v>0</v>
      </c>
    </row>
    <row r="142" spans="1:2" x14ac:dyDescent="0.25">
      <c r="A142" t="s">
        <v>130</v>
      </c>
      <c r="B142" s="1">
        <v>0</v>
      </c>
    </row>
    <row r="143" spans="1:2" x14ac:dyDescent="0.25">
      <c r="A143" t="s">
        <v>131</v>
      </c>
      <c r="B143" s="1">
        <v>0</v>
      </c>
    </row>
    <row r="144" spans="1:2" x14ac:dyDescent="0.25">
      <c r="A144" t="s">
        <v>132</v>
      </c>
      <c r="B144" s="1">
        <v>0</v>
      </c>
    </row>
    <row r="145" spans="1:2" x14ac:dyDescent="0.25">
      <c r="A145" t="s">
        <v>133</v>
      </c>
      <c r="B145" s="1">
        <v>0</v>
      </c>
    </row>
    <row r="146" spans="1:2" x14ac:dyDescent="0.25">
      <c r="A146" t="s">
        <v>134</v>
      </c>
      <c r="B146" s="1">
        <v>0</v>
      </c>
    </row>
    <row r="147" spans="1:2" x14ac:dyDescent="0.25">
      <c r="A147" t="s">
        <v>135</v>
      </c>
      <c r="B147" s="1">
        <v>0</v>
      </c>
    </row>
    <row r="148" spans="1:2" x14ac:dyDescent="0.25">
      <c r="A148" t="s">
        <v>136</v>
      </c>
      <c r="B148" s="1">
        <v>0</v>
      </c>
    </row>
    <row r="149" spans="1:2" x14ac:dyDescent="0.25">
      <c r="A149" t="s">
        <v>137</v>
      </c>
      <c r="B149" s="1">
        <v>0</v>
      </c>
    </row>
    <row r="150" spans="1:2" x14ac:dyDescent="0.25">
      <c r="A150" t="s">
        <v>138</v>
      </c>
      <c r="B150" s="1">
        <v>0</v>
      </c>
    </row>
    <row r="151" spans="1:2" x14ac:dyDescent="0.25">
      <c r="A151" t="s">
        <v>139</v>
      </c>
      <c r="B151" s="1">
        <v>0</v>
      </c>
    </row>
    <row r="152" spans="1:2" x14ac:dyDescent="0.25">
      <c r="B152" s="216">
        <f>+B132</f>
        <v>2025</v>
      </c>
    </row>
    <row r="153" spans="1:2" x14ac:dyDescent="0.25">
      <c r="A153" t="s">
        <v>140</v>
      </c>
      <c r="B153" s="1">
        <v>0</v>
      </c>
    </row>
    <row r="154" spans="1:2" x14ac:dyDescent="0.25">
      <c r="A154" t="s">
        <v>141</v>
      </c>
      <c r="B154" s="1">
        <v>0</v>
      </c>
    </row>
    <row r="155" spans="1:2" x14ac:dyDescent="0.25">
      <c r="A155" t="s">
        <v>142</v>
      </c>
      <c r="B155" s="1">
        <v>0</v>
      </c>
    </row>
    <row r="156" spans="1:2" x14ac:dyDescent="0.25">
      <c r="A156" t="s">
        <v>143</v>
      </c>
      <c r="B156" s="1">
        <v>0</v>
      </c>
    </row>
    <row r="157" spans="1:2" x14ac:dyDescent="0.25">
      <c r="A157" t="s">
        <v>144</v>
      </c>
      <c r="B157" s="1">
        <v>0</v>
      </c>
    </row>
    <row r="158" spans="1:2" x14ac:dyDescent="0.25">
      <c r="A158" t="s">
        <v>145</v>
      </c>
      <c r="B158" s="1">
        <v>0</v>
      </c>
    </row>
    <row r="159" spans="1:2" x14ac:dyDescent="0.25">
      <c r="A159" t="s">
        <v>146</v>
      </c>
      <c r="B159" s="1">
        <v>0</v>
      </c>
    </row>
    <row r="160" spans="1:2" x14ac:dyDescent="0.25">
      <c r="A160" t="s">
        <v>147</v>
      </c>
      <c r="B160" s="1">
        <v>0</v>
      </c>
    </row>
    <row r="161" spans="1:2" x14ac:dyDescent="0.25">
      <c r="A161" t="s">
        <v>148</v>
      </c>
      <c r="B161" s="1">
        <v>0</v>
      </c>
    </row>
    <row r="162" spans="1:2" x14ac:dyDescent="0.25">
      <c r="A162" t="s">
        <v>149</v>
      </c>
      <c r="B162" s="1">
        <v>0</v>
      </c>
    </row>
    <row r="163" spans="1:2" x14ac:dyDescent="0.25">
      <c r="A163" t="s">
        <v>150</v>
      </c>
      <c r="B163" s="1">
        <v>0</v>
      </c>
    </row>
    <row r="164" spans="1:2" x14ac:dyDescent="0.25">
      <c r="B164" s="216">
        <f>+B152</f>
        <v>2025</v>
      </c>
    </row>
    <row r="165" spans="1:2" x14ac:dyDescent="0.25">
      <c r="A165" t="s">
        <v>151</v>
      </c>
      <c r="B165" s="1">
        <v>0</v>
      </c>
    </row>
    <row r="166" spans="1:2" x14ac:dyDescent="0.25">
      <c r="A166" t="s">
        <v>152</v>
      </c>
      <c r="B166" s="1">
        <v>0</v>
      </c>
    </row>
    <row r="167" spans="1:2" x14ac:dyDescent="0.25">
      <c r="A167" t="s">
        <v>153</v>
      </c>
      <c r="B167" s="1">
        <v>0</v>
      </c>
    </row>
    <row r="168" spans="1:2" x14ac:dyDescent="0.25">
      <c r="A168" t="s">
        <v>154</v>
      </c>
      <c r="B168" s="1">
        <v>0</v>
      </c>
    </row>
    <row r="169" spans="1:2" x14ac:dyDescent="0.25">
      <c r="A169" t="s">
        <v>155</v>
      </c>
      <c r="B169" s="1">
        <v>0</v>
      </c>
    </row>
    <row r="170" spans="1:2" x14ac:dyDescent="0.25">
      <c r="A170" t="s">
        <v>156</v>
      </c>
      <c r="B170" s="1">
        <v>0</v>
      </c>
    </row>
    <row r="171" spans="1:2" x14ac:dyDescent="0.25">
      <c r="A171" t="s">
        <v>157</v>
      </c>
      <c r="B171" s="1">
        <v>0</v>
      </c>
    </row>
    <row r="172" spans="1:2" x14ac:dyDescent="0.25">
      <c r="A172" t="s">
        <v>158</v>
      </c>
      <c r="B172" s="1">
        <v>0</v>
      </c>
    </row>
    <row r="173" spans="1:2" x14ac:dyDescent="0.25">
      <c r="A173" t="s">
        <v>159</v>
      </c>
      <c r="B173" s="1">
        <v>0</v>
      </c>
    </row>
    <row r="174" spans="1:2" x14ac:dyDescent="0.25">
      <c r="A174" t="s">
        <v>160</v>
      </c>
      <c r="B174" s="1">
        <v>0</v>
      </c>
    </row>
    <row r="175" spans="1:2" x14ac:dyDescent="0.25">
      <c r="A175" t="s">
        <v>161</v>
      </c>
      <c r="B175" s="1">
        <v>0</v>
      </c>
    </row>
    <row r="176" spans="1:2" x14ac:dyDescent="0.25">
      <c r="A176" t="s">
        <v>162</v>
      </c>
      <c r="B176" s="1">
        <v>0</v>
      </c>
    </row>
    <row r="177" spans="1:2" x14ac:dyDescent="0.25">
      <c r="A177" t="s">
        <v>163</v>
      </c>
      <c r="B177" s="1">
        <v>0</v>
      </c>
    </row>
    <row r="178" spans="1:2" x14ac:dyDescent="0.25">
      <c r="A178" t="s">
        <v>164</v>
      </c>
      <c r="B178" s="1">
        <v>0</v>
      </c>
    </row>
    <row r="179" spans="1:2" x14ac:dyDescent="0.25">
      <c r="A179" t="s">
        <v>165</v>
      </c>
      <c r="B179" s="1">
        <v>0</v>
      </c>
    </row>
    <row r="180" spans="1:2" x14ac:dyDescent="0.25">
      <c r="A180" t="s">
        <v>166</v>
      </c>
      <c r="B180" s="1">
        <v>0</v>
      </c>
    </row>
    <row r="181" spans="1:2" x14ac:dyDescent="0.25">
      <c r="A181" t="s">
        <v>167</v>
      </c>
      <c r="B181" s="1">
        <v>0</v>
      </c>
    </row>
    <row r="182" spans="1:2" x14ac:dyDescent="0.25">
      <c r="A182" t="s">
        <v>168</v>
      </c>
      <c r="B182" s="1">
        <v>0</v>
      </c>
    </row>
    <row r="183" spans="1:2" x14ac:dyDescent="0.25">
      <c r="A183" t="s">
        <v>169</v>
      </c>
      <c r="B183" s="1">
        <v>0</v>
      </c>
    </row>
    <row r="184" spans="1:2" x14ac:dyDescent="0.25">
      <c r="A184" t="s">
        <v>170</v>
      </c>
      <c r="B184" s="1">
        <v>0</v>
      </c>
    </row>
    <row r="185" spans="1:2" x14ac:dyDescent="0.25">
      <c r="A185" t="s">
        <v>171</v>
      </c>
      <c r="B185" s="1">
        <v>0</v>
      </c>
    </row>
    <row r="186" spans="1:2" x14ac:dyDescent="0.25">
      <c r="A186" t="s">
        <v>172</v>
      </c>
      <c r="B186" s="1">
        <v>0</v>
      </c>
    </row>
    <row r="187" spans="1:2" x14ac:dyDescent="0.25">
      <c r="A187" t="s">
        <v>173</v>
      </c>
      <c r="B187" s="1">
        <v>0</v>
      </c>
    </row>
    <row r="188" spans="1:2" x14ac:dyDescent="0.25">
      <c r="B188" s="216">
        <f>+B164</f>
        <v>2025</v>
      </c>
    </row>
    <row r="189" spans="1:2" x14ac:dyDescent="0.25">
      <c r="A189" t="s">
        <v>174</v>
      </c>
      <c r="B189" s="1">
        <v>0</v>
      </c>
    </row>
    <row r="190" spans="1:2" x14ac:dyDescent="0.25">
      <c r="A190" t="s">
        <v>175</v>
      </c>
      <c r="B190" s="1">
        <v>0</v>
      </c>
    </row>
    <row r="191" spans="1:2" x14ac:dyDescent="0.25">
      <c r="A191" t="s">
        <v>176</v>
      </c>
      <c r="B191" s="1">
        <v>0</v>
      </c>
    </row>
    <row r="192" spans="1:2" x14ac:dyDescent="0.25">
      <c r="A192" t="s">
        <v>177</v>
      </c>
      <c r="B192" s="1">
        <v>0</v>
      </c>
    </row>
    <row r="193" spans="1:2" x14ac:dyDescent="0.25">
      <c r="A193" t="s">
        <v>178</v>
      </c>
      <c r="B193" s="1">
        <v>0</v>
      </c>
    </row>
    <row r="194" spans="1:2" x14ac:dyDescent="0.25">
      <c r="A194" t="s">
        <v>179</v>
      </c>
      <c r="B194" s="1">
        <v>0</v>
      </c>
    </row>
    <row r="195" spans="1:2" x14ac:dyDescent="0.25">
      <c r="A195" t="s">
        <v>180</v>
      </c>
      <c r="B195" s="1">
        <v>0</v>
      </c>
    </row>
    <row r="196" spans="1:2" x14ac:dyDescent="0.25">
      <c r="A196" t="s">
        <v>181</v>
      </c>
      <c r="B196" s="1">
        <v>0</v>
      </c>
    </row>
    <row r="197" spans="1:2" x14ac:dyDescent="0.25">
      <c r="A197" t="s">
        <v>182</v>
      </c>
      <c r="B197" s="1">
        <v>0</v>
      </c>
    </row>
    <row r="198" spans="1:2" x14ac:dyDescent="0.25">
      <c r="A198" t="s">
        <v>183</v>
      </c>
      <c r="B198" s="1">
        <v>0</v>
      </c>
    </row>
    <row r="199" spans="1:2" x14ac:dyDescent="0.25">
      <c r="A199" t="s">
        <v>184</v>
      </c>
      <c r="B199" s="1">
        <v>0</v>
      </c>
    </row>
    <row r="200" spans="1:2" x14ac:dyDescent="0.25">
      <c r="A200" t="s">
        <v>185</v>
      </c>
      <c r="B200" s="1">
        <v>0</v>
      </c>
    </row>
    <row r="201" spans="1:2" x14ac:dyDescent="0.25">
      <c r="A201" t="s">
        <v>186</v>
      </c>
      <c r="B201" s="1">
        <v>0</v>
      </c>
    </row>
    <row r="202" spans="1:2" x14ac:dyDescent="0.25">
      <c r="A202" t="s">
        <v>187</v>
      </c>
      <c r="B202" s="1">
        <v>0</v>
      </c>
    </row>
    <row r="203" spans="1:2" x14ac:dyDescent="0.25">
      <c r="A203" t="s">
        <v>188</v>
      </c>
      <c r="B203" s="1">
        <v>0</v>
      </c>
    </row>
    <row r="204" spans="1:2" x14ac:dyDescent="0.25">
      <c r="A204" t="s">
        <v>189</v>
      </c>
      <c r="B204" s="1">
        <v>0</v>
      </c>
    </row>
    <row r="205" spans="1:2" x14ac:dyDescent="0.25">
      <c r="A205" t="s">
        <v>190</v>
      </c>
      <c r="B205" s="1">
        <v>0</v>
      </c>
    </row>
    <row r="206" spans="1:2" x14ac:dyDescent="0.25">
      <c r="A206" t="s">
        <v>191</v>
      </c>
      <c r="B206" s="1">
        <v>0</v>
      </c>
    </row>
    <row r="207" spans="1:2" x14ac:dyDescent="0.25">
      <c r="A207" t="s">
        <v>192</v>
      </c>
      <c r="B207" s="1">
        <v>0</v>
      </c>
    </row>
    <row r="208" spans="1:2" x14ac:dyDescent="0.25">
      <c r="A208" t="s">
        <v>193</v>
      </c>
      <c r="B208" s="1">
        <v>0</v>
      </c>
    </row>
    <row r="209" spans="1:2" x14ac:dyDescent="0.25">
      <c r="A209" t="s">
        <v>194</v>
      </c>
      <c r="B209" s="1">
        <v>0</v>
      </c>
    </row>
    <row r="210" spans="1:2" x14ac:dyDescent="0.25">
      <c r="A210" t="s">
        <v>195</v>
      </c>
      <c r="B210" s="1">
        <v>0</v>
      </c>
    </row>
    <row r="211" spans="1:2" x14ac:dyDescent="0.25">
      <c r="A211" t="s">
        <v>196</v>
      </c>
      <c r="B211" s="1">
        <v>0</v>
      </c>
    </row>
    <row r="212" spans="1:2" x14ac:dyDescent="0.25">
      <c r="A212" t="s">
        <v>197</v>
      </c>
      <c r="B212" s="1">
        <v>0</v>
      </c>
    </row>
    <row r="213" spans="1:2" x14ac:dyDescent="0.25">
      <c r="A213" t="s">
        <v>198</v>
      </c>
      <c r="B213" s="1">
        <v>0</v>
      </c>
    </row>
    <row r="214" spans="1:2" x14ac:dyDescent="0.25">
      <c r="A214" t="s">
        <v>199</v>
      </c>
      <c r="B214" s="1">
        <v>0</v>
      </c>
    </row>
    <row r="215" spans="1:2" x14ac:dyDescent="0.25">
      <c r="A215" t="s">
        <v>200</v>
      </c>
      <c r="B215" s="1">
        <v>0</v>
      </c>
    </row>
    <row r="216" spans="1:2" x14ac:dyDescent="0.25">
      <c r="B216" s="216">
        <f>+B188</f>
        <v>2025</v>
      </c>
    </row>
    <row r="217" spans="1:2" x14ac:dyDescent="0.25">
      <c r="A217" t="s">
        <v>201</v>
      </c>
      <c r="B217" s="1">
        <v>8585.9699999999993</v>
      </c>
    </row>
    <row r="218" spans="1:2" x14ac:dyDescent="0.25">
      <c r="A218" t="s">
        <v>202</v>
      </c>
      <c r="B218" s="1">
        <v>257957869.19</v>
      </c>
    </row>
    <row r="219" spans="1:2" x14ac:dyDescent="0.25">
      <c r="A219" t="s">
        <v>203</v>
      </c>
      <c r="B219" s="1">
        <v>643312.37</v>
      </c>
    </row>
    <row r="220" spans="1:2" x14ac:dyDescent="0.25">
      <c r="A220" t="s">
        <v>204</v>
      </c>
      <c r="B220" s="1">
        <v>119000.51</v>
      </c>
    </row>
    <row r="221" spans="1:2" x14ac:dyDescent="0.25">
      <c r="A221" t="s">
        <v>205</v>
      </c>
      <c r="B221" s="1">
        <v>0</v>
      </c>
    </row>
    <row r="222" spans="1:2" x14ac:dyDescent="0.25">
      <c r="A222" t="s">
        <v>206</v>
      </c>
      <c r="B222" s="1">
        <v>8645931.6999999993</v>
      </c>
    </row>
    <row r="223" spans="1:2" x14ac:dyDescent="0.25">
      <c r="A223" t="s">
        <v>207</v>
      </c>
      <c r="B223" s="1">
        <v>36511132.229999997</v>
      </c>
    </row>
    <row r="224" spans="1:2" x14ac:dyDescent="0.25">
      <c r="B224" s="216">
        <f>+B216</f>
        <v>2025</v>
      </c>
    </row>
    <row r="225" spans="1:2" x14ac:dyDescent="0.25">
      <c r="A225" t="s">
        <v>208</v>
      </c>
      <c r="B225" s="1">
        <v>0</v>
      </c>
    </row>
    <row r="226" spans="1:2" x14ac:dyDescent="0.25">
      <c r="A226" t="s">
        <v>209</v>
      </c>
      <c r="B226" s="1">
        <v>0</v>
      </c>
    </row>
    <row r="227" spans="1:2" x14ac:dyDescent="0.25">
      <c r="A227" t="s">
        <v>210</v>
      </c>
      <c r="B227" s="1">
        <v>0</v>
      </c>
    </row>
    <row r="228" spans="1:2" x14ac:dyDescent="0.25">
      <c r="A228" t="s">
        <v>211</v>
      </c>
      <c r="B228" s="1">
        <v>0</v>
      </c>
    </row>
    <row r="229" spans="1:2" x14ac:dyDescent="0.25">
      <c r="A229" t="s">
        <v>212</v>
      </c>
      <c r="B229" s="1">
        <v>0</v>
      </c>
    </row>
    <row r="230" spans="1:2" x14ac:dyDescent="0.25">
      <c r="A230" t="s">
        <v>213</v>
      </c>
      <c r="B230" s="1">
        <v>0</v>
      </c>
    </row>
    <row r="231" spans="1:2" x14ac:dyDescent="0.25">
      <c r="A231" t="s">
        <v>214</v>
      </c>
      <c r="B231" s="1">
        <v>0</v>
      </c>
    </row>
    <row r="232" spans="1:2" x14ac:dyDescent="0.25">
      <c r="B232" s="216">
        <f>+B224</f>
        <v>2025</v>
      </c>
    </row>
    <row r="233" spans="1:2" x14ac:dyDescent="0.25">
      <c r="A233" t="s">
        <v>215</v>
      </c>
      <c r="B233" s="1">
        <v>13410.6</v>
      </c>
    </row>
    <row r="234" spans="1:2" x14ac:dyDescent="0.25">
      <c r="A234" t="s">
        <v>216</v>
      </c>
      <c r="B234" s="1">
        <v>0</v>
      </c>
    </row>
    <row r="235" spans="1:2" x14ac:dyDescent="0.25">
      <c r="A235" t="s">
        <v>217</v>
      </c>
      <c r="B235" s="1">
        <v>1016146134.0599999</v>
      </c>
    </row>
    <row r="236" spans="1:2" x14ac:dyDescent="0.25">
      <c r="A236" t="s">
        <v>218</v>
      </c>
      <c r="B236" s="1">
        <v>269526764.56999999</v>
      </c>
    </row>
    <row r="237" spans="1:2" x14ac:dyDescent="0.25">
      <c r="A237" t="s">
        <v>219</v>
      </c>
      <c r="B237" s="1">
        <v>746619369.49000001</v>
      </c>
    </row>
    <row r="238" spans="1:2" x14ac:dyDescent="0.25">
      <c r="A238" t="s">
        <v>220</v>
      </c>
      <c r="B238" s="1">
        <v>1888584.92</v>
      </c>
    </row>
    <row r="239" spans="1:2" x14ac:dyDescent="0.25">
      <c r="A239" t="s">
        <v>221</v>
      </c>
      <c r="B239" s="1">
        <v>1780840.11</v>
      </c>
    </row>
    <row r="240" spans="1:2" x14ac:dyDescent="0.25">
      <c r="A240" t="s">
        <v>222</v>
      </c>
      <c r="B240" s="1">
        <v>888138.23</v>
      </c>
    </row>
    <row r="241" spans="1:2" x14ac:dyDescent="0.25">
      <c r="A241" t="s">
        <v>223</v>
      </c>
      <c r="B241" s="1">
        <v>0</v>
      </c>
    </row>
    <row r="242" spans="1:2" x14ac:dyDescent="0.25">
      <c r="A242" t="s">
        <v>224</v>
      </c>
      <c r="B242" s="1">
        <v>27333710.02</v>
      </c>
    </row>
    <row r="243" spans="1:2" x14ac:dyDescent="0.25">
      <c r="A243" t="s">
        <v>225</v>
      </c>
      <c r="B243" s="1">
        <v>109235089.39</v>
      </c>
    </row>
    <row r="244" spans="1:2" x14ac:dyDescent="0.25">
      <c r="B244" s="216">
        <f>+B232</f>
        <v>2025</v>
      </c>
    </row>
    <row r="245" spans="1:2" x14ac:dyDescent="0.25">
      <c r="A245" t="s">
        <v>226</v>
      </c>
      <c r="B245" s="1">
        <v>1453.37</v>
      </c>
    </row>
    <row r="246" spans="1:2" x14ac:dyDescent="0.25">
      <c r="A246" t="s">
        <v>227</v>
      </c>
      <c r="B246" s="1">
        <v>206310952.94</v>
      </c>
    </row>
    <row r="247" spans="1:2" x14ac:dyDescent="0.25">
      <c r="A247" t="s">
        <v>228</v>
      </c>
      <c r="B247" s="1">
        <v>51076578.460000001</v>
      </c>
    </row>
    <row r="248" spans="1:2" x14ac:dyDescent="0.25">
      <c r="A248" t="s">
        <v>229</v>
      </c>
      <c r="B248" s="1">
        <v>155234374.47999999</v>
      </c>
    </row>
    <row r="249" spans="1:2" x14ac:dyDescent="0.25">
      <c r="A249" t="s">
        <v>230</v>
      </c>
      <c r="B249" s="1">
        <v>592305.27</v>
      </c>
    </row>
    <row r="250" spans="1:2" x14ac:dyDescent="0.25">
      <c r="A250" t="s">
        <v>231</v>
      </c>
      <c r="B250" s="1">
        <v>544685.55000000005</v>
      </c>
    </row>
    <row r="251" spans="1:2" x14ac:dyDescent="0.25">
      <c r="A251" t="s">
        <v>232</v>
      </c>
      <c r="B251" s="1">
        <v>0</v>
      </c>
    </row>
    <row r="252" spans="1:2" x14ac:dyDescent="0.25">
      <c r="A252" t="s">
        <v>233</v>
      </c>
      <c r="B252" s="1">
        <v>0</v>
      </c>
    </row>
    <row r="253" spans="1:2" x14ac:dyDescent="0.25">
      <c r="A253" t="s">
        <v>234</v>
      </c>
      <c r="B253" s="1">
        <v>21354005.66</v>
      </c>
    </row>
    <row r="254" spans="1:2" x14ac:dyDescent="0.25">
      <c r="A254" t="s">
        <v>235</v>
      </c>
      <c r="B254" s="1">
        <v>2680704.4</v>
      </c>
    </row>
    <row r="255" spans="1:2" x14ac:dyDescent="0.25">
      <c r="B255" s="216">
        <f>+B244</f>
        <v>2025</v>
      </c>
    </row>
    <row r="256" spans="1:2" x14ac:dyDescent="0.25">
      <c r="A256" t="s">
        <v>236</v>
      </c>
      <c r="B256" s="1">
        <v>0</v>
      </c>
    </row>
    <row r="257" spans="1:2" x14ac:dyDescent="0.25">
      <c r="A257" t="s">
        <v>237</v>
      </c>
      <c r="B257" s="1">
        <v>0</v>
      </c>
    </row>
    <row r="258" spans="1:2" x14ac:dyDescent="0.25">
      <c r="A258" t="s">
        <v>238</v>
      </c>
      <c r="B258" s="1">
        <v>0</v>
      </c>
    </row>
    <row r="259" spans="1:2" x14ac:dyDescent="0.25">
      <c r="A259" t="s">
        <v>239</v>
      </c>
      <c r="B259" s="1">
        <v>0</v>
      </c>
    </row>
    <row r="260" spans="1:2" x14ac:dyDescent="0.25">
      <c r="A260" t="s">
        <v>240</v>
      </c>
      <c r="B260" s="1">
        <v>0</v>
      </c>
    </row>
    <row r="261" spans="1:2" x14ac:dyDescent="0.25">
      <c r="A261" t="s">
        <v>241</v>
      </c>
      <c r="B261" s="1">
        <v>0</v>
      </c>
    </row>
    <row r="262" spans="1:2" x14ac:dyDescent="0.25">
      <c r="A262" t="s">
        <v>242</v>
      </c>
      <c r="B262" s="1">
        <v>0</v>
      </c>
    </row>
    <row r="263" spans="1:2" x14ac:dyDescent="0.25">
      <c r="A263" t="s">
        <v>243</v>
      </c>
      <c r="B263" s="1">
        <v>0</v>
      </c>
    </row>
    <row r="264" spans="1:2" x14ac:dyDescent="0.25">
      <c r="A264" t="s">
        <v>244</v>
      </c>
      <c r="B264" s="1">
        <v>0</v>
      </c>
    </row>
    <row r="265" spans="1:2" x14ac:dyDescent="0.25">
      <c r="A265" t="s">
        <v>245</v>
      </c>
      <c r="B265" s="1">
        <v>0</v>
      </c>
    </row>
    <row r="266" spans="1:2" x14ac:dyDescent="0.25">
      <c r="A266" t="s">
        <v>246</v>
      </c>
      <c r="B266" s="1">
        <v>0</v>
      </c>
    </row>
    <row r="267" spans="1:2" x14ac:dyDescent="0.25">
      <c r="A267" t="s">
        <v>247</v>
      </c>
      <c r="B267" s="1">
        <v>0</v>
      </c>
    </row>
    <row r="268" spans="1:2" x14ac:dyDescent="0.25">
      <c r="B268" s="216">
        <f>+B255</f>
        <v>2025</v>
      </c>
    </row>
    <row r="269" spans="1:2" x14ac:dyDescent="0.25">
      <c r="A269" t="s">
        <v>248</v>
      </c>
      <c r="B269" s="1">
        <v>0</v>
      </c>
    </row>
    <row r="270" spans="1:2" x14ac:dyDescent="0.25">
      <c r="A270" t="s">
        <v>249</v>
      </c>
      <c r="B270" s="1">
        <v>0</v>
      </c>
    </row>
    <row r="271" spans="1:2" x14ac:dyDescent="0.25">
      <c r="A271" t="s">
        <v>250</v>
      </c>
      <c r="B271" s="1">
        <v>0</v>
      </c>
    </row>
    <row r="272" spans="1:2" x14ac:dyDescent="0.25">
      <c r="A272" t="s">
        <v>251</v>
      </c>
      <c r="B272" s="1">
        <v>0</v>
      </c>
    </row>
    <row r="273" spans="1:2" x14ac:dyDescent="0.25">
      <c r="A273" t="s">
        <v>252</v>
      </c>
      <c r="B273" s="1">
        <v>0</v>
      </c>
    </row>
    <row r="274" spans="1:2" x14ac:dyDescent="0.25">
      <c r="A274" t="s">
        <v>253</v>
      </c>
      <c r="B274" s="1">
        <v>0</v>
      </c>
    </row>
    <row r="275" spans="1:2" x14ac:dyDescent="0.25">
      <c r="A275" t="s">
        <v>254</v>
      </c>
      <c r="B275" s="1">
        <v>0</v>
      </c>
    </row>
    <row r="276" spans="1:2" x14ac:dyDescent="0.25">
      <c r="A276" t="s">
        <v>255</v>
      </c>
      <c r="B276" s="1">
        <v>0</v>
      </c>
    </row>
    <row r="277" spans="1:2" x14ac:dyDescent="0.25">
      <c r="A277" t="s">
        <v>256</v>
      </c>
      <c r="B277" s="1">
        <v>0</v>
      </c>
    </row>
    <row r="278" spans="1:2" x14ac:dyDescent="0.25">
      <c r="A278" t="s">
        <v>257</v>
      </c>
      <c r="B278" s="1">
        <v>0</v>
      </c>
    </row>
    <row r="279" spans="1:2" x14ac:dyDescent="0.25">
      <c r="A279" t="s">
        <v>258</v>
      </c>
      <c r="B279" s="1">
        <v>0</v>
      </c>
    </row>
    <row r="280" spans="1:2" x14ac:dyDescent="0.25">
      <c r="A280" t="s">
        <v>259</v>
      </c>
      <c r="B280" s="1">
        <v>0</v>
      </c>
    </row>
    <row r="281" spans="1:2" x14ac:dyDescent="0.25">
      <c r="B281" s="216">
        <f>+B268</f>
        <v>2025</v>
      </c>
    </row>
    <row r="282" spans="1:2" x14ac:dyDescent="0.25">
      <c r="A282" t="s">
        <v>260</v>
      </c>
      <c r="B282" s="1">
        <v>358</v>
      </c>
    </row>
    <row r="283" spans="1:2" x14ac:dyDescent="0.25">
      <c r="A283" t="s">
        <v>261</v>
      </c>
      <c r="B283" s="1">
        <v>16746144.810000001</v>
      </c>
    </row>
    <row r="284" spans="1:2" x14ac:dyDescent="0.25">
      <c r="A284" t="s">
        <v>262</v>
      </c>
      <c r="B284" s="1">
        <v>0</v>
      </c>
    </row>
    <row r="285" spans="1:2" x14ac:dyDescent="0.25">
      <c r="A285" t="s">
        <v>263</v>
      </c>
      <c r="B285" s="1">
        <v>0</v>
      </c>
    </row>
    <row r="286" spans="1:2" x14ac:dyDescent="0.25">
      <c r="A286" t="s">
        <v>264</v>
      </c>
      <c r="B286" s="1">
        <v>13506304</v>
      </c>
    </row>
    <row r="287" spans="1:2" x14ac:dyDescent="0.25">
      <c r="A287" t="s">
        <v>265</v>
      </c>
      <c r="B287" s="1">
        <v>0</v>
      </c>
    </row>
    <row r="288" spans="1:2" x14ac:dyDescent="0.25">
      <c r="B288" s="216">
        <f>+B281</f>
        <v>2025</v>
      </c>
    </row>
    <row r="289" spans="1:2" x14ac:dyDescent="0.25">
      <c r="A289" t="s">
        <v>266</v>
      </c>
      <c r="B289" s="1">
        <v>11496402</v>
      </c>
    </row>
    <row r="290" spans="1:2" x14ac:dyDescent="0.25">
      <c r="A290" t="s">
        <v>267</v>
      </c>
      <c r="B290" s="1">
        <v>2966666</v>
      </c>
    </row>
    <row r="291" spans="1:2" x14ac:dyDescent="0.25">
      <c r="A291" t="s">
        <v>268</v>
      </c>
      <c r="B291" s="1">
        <v>8529736</v>
      </c>
    </row>
    <row r="292" spans="1:2" x14ac:dyDescent="0.25">
      <c r="A292" t="s">
        <v>269</v>
      </c>
      <c r="B292" s="1">
        <v>30267</v>
      </c>
    </row>
    <row r="293" spans="1:2" x14ac:dyDescent="0.25">
      <c r="A293" t="s">
        <v>270</v>
      </c>
      <c r="B293" s="1">
        <v>37120</v>
      </c>
    </row>
    <row r="294" spans="1:2" x14ac:dyDescent="0.25">
      <c r="B294" s="216">
        <f>+B288</f>
        <v>2025</v>
      </c>
    </row>
    <row r="295" spans="1:2" x14ac:dyDescent="0.25">
      <c r="A295" t="s">
        <v>271</v>
      </c>
      <c r="B295" s="1">
        <v>5249743</v>
      </c>
    </row>
    <row r="296" spans="1:2" x14ac:dyDescent="0.25">
      <c r="A296" t="s">
        <v>272</v>
      </c>
      <c r="B296" s="1">
        <v>1452314</v>
      </c>
    </row>
    <row r="297" spans="1:2" x14ac:dyDescent="0.25">
      <c r="A297" t="s">
        <v>273</v>
      </c>
      <c r="B297" s="1">
        <v>3797430</v>
      </c>
    </row>
    <row r="298" spans="1:2" x14ac:dyDescent="0.25">
      <c r="A298" t="s">
        <v>274</v>
      </c>
      <c r="B298" s="1">
        <v>86588.24</v>
      </c>
    </row>
    <row r="299" spans="1:2" x14ac:dyDescent="0.25">
      <c r="A299" t="s">
        <v>275</v>
      </c>
      <c r="B299" s="1">
        <v>38043.1</v>
      </c>
    </row>
    <row r="300" spans="1:2" x14ac:dyDescent="0.25">
      <c r="A300" t="s">
        <v>276</v>
      </c>
      <c r="B300" s="1">
        <v>171208.81</v>
      </c>
    </row>
    <row r="301" spans="1:2" x14ac:dyDescent="0.25">
      <c r="B301" s="216">
        <f>+B294</f>
        <v>2025</v>
      </c>
    </row>
    <row r="302" spans="1:2" x14ac:dyDescent="0.25">
      <c r="A302" t="s">
        <v>277</v>
      </c>
      <c r="B302" s="1">
        <v>2587</v>
      </c>
    </row>
    <row r="303" spans="1:2" x14ac:dyDescent="0.25">
      <c r="A303" t="s">
        <v>278</v>
      </c>
      <c r="B303" s="1">
        <v>527953235.63</v>
      </c>
    </row>
    <row r="304" spans="1:2" x14ac:dyDescent="0.25">
      <c r="A304" t="s">
        <v>279</v>
      </c>
      <c r="B304" s="1">
        <v>0</v>
      </c>
    </row>
    <row r="305" spans="1:2" x14ac:dyDescent="0.25">
      <c r="A305" t="s">
        <v>280</v>
      </c>
      <c r="B305" s="1">
        <v>0</v>
      </c>
    </row>
    <row r="306" spans="1:2" x14ac:dyDescent="0.25">
      <c r="A306" t="s">
        <v>281</v>
      </c>
      <c r="B306" s="1">
        <v>32205802</v>
      </c>
    </row>
    <row r="307" spans="1:2" x14ac:dyDescent="0.25">
      <c r="A307" t="s">
        <v>282</v>
      </c>
      <c r="B307" s="1">
        <v>117949</v>
      </c>
    </row>
    <row r="308" spans="1:2" x14ac:dyDescent="0.25">
      <c r="B308" s="216">
        <f>+B301</f>
        <v>2025</v>
      </c>
    </row>
    <row r="309" spans="1:2" x14ac:dyDescent="0.25">
      <c r="A309" t="s">
        <v>283</v>
      </c>
      <c r="B309" s="1">
        <v>320971051</v>
      </c>
    </row>
    <row r="310" spans="1:2" x14ac:dyDescent="0.25">
      <c r="A310" t="s">
        <v>284</v>
      </c>
      <c r="B310" s="1">
        <v>75916793</v>
      </c>
    </row>
    <row r="311" spans="1:2" x14ac:dyDescent="0.25">
      <c r="A311" t="s">
        <v>285</v>
      </c>
      <c r="B311" s="1">
        <v>245054258</v>
      </c>
    </row>
    <row r="312" spans="1:2" x14ac:dyDescent="0.25">
      <c r="A312" t="s">
        <v>286</v>
      </c>
      <c r="B312" s="1">
        <v>516200</v>
      </c>
    </row>
    <row r="313" spans="1:2" x14ac:dyDescent="0.25">
      <c r="A313" t="s">
        <v>287</v>
      </c>
      <c r="B313" s="1">
        <v>482200</v>
      </c>
    </row>
    <row r="314" spans="1:2" x14ac:dyDescent="0.25">
      <c r="B314" s="216">
        <f>+B308</f>
        <v>2025</v>
      </c>
    </row>
    <row r="315" spans="1:2" x14ac:dyDescent="0.25">
      <c r="A315" t="s">
        <v>288</v>
      </c>
      <c r="B315" s="1">
        <v>206982184</v>
      </c>
    </row>
    <row r="316" spans="1:2" x14ac:dyDescent="0.25">
      <c r="A316" t="s">
        <v>289</v>
      </c>
      <c r="B316" s="1">
        <v>51336976</v>
      </c>
    </row>
    <row r="317" spans="1:2" x14ac:dyDescent="0.25">
      <c r="A317" t="s">
        <v>290</v>
      </c>
      <c r="B317" s="1">
        <v>155645208</v>
      </c>
    </row>
    <row r="318" spans="1:2" x14ac:dyDescent="0.25">
      <c r="A318" t="s">
        <v>291</v>
      </c>
      <c r="B318" s="1">
        <v>1691241.73</v>
      </c>
    </row>
    <row r="319" spans="1:2" x14ac:dyDescent="0.25">
      <c r="A319" t="s">
        <v>292</v>
      </c>
      <c r="B319" s="1">
        <v>355048.34</v>
      </c>
    </row>
    <row r="320" spans="1:2" x14ac:dyDescent="0.25">
      <c r="A320" t="s">
        <v>293</v>
      </c>
      <c r="B320" s="1">
        <v>8856414.7300000004</v>
      </c>
    </row>
    <row r="321" spans="1:2" x14ac:dyDescent="0.25">
      <c r="B321" s="216">
        <f>+B314</f>
        <v>2025</v>
      </c>
    </row>
    <row r="322" spans="1:2" x14ac:dyDescent="0.25">
      <c r="A322" t="s">
        <v>294</v>
      </c>
      <c r="B322" s="1">
        <v>0</v>
      </c>
    </row>
    <row r="323" spans="1:2" x14ac:dyDescent="0.25">
      <c r="A323" t="s">
        <v>295</v>
      </c>
      <c r="B323" s="1">
        <v>86098</v>
      </c>
    </row>
    <row r="324" spans="1:2" x14ac:dyDescent="0.25">
      <c r="A324" t="s">
        <v>296</v>
      </c>
      <c r="B324" s="1">
        <v>90971810.510035306</v>
      </c>
    </row>
    <row r="325" spans="1:2" x14ac:dyDescent="0.25">
      <c r="A325" t="s">
        <v>297</v>
      </c>
      <c r="B325" s="1">
        <v>16099788</v>
      </c>
    </row>
    <row r="326" spans="1:2" x14ac:dyDescent="0.25">
      <c r="A326" t="s">
        <v>298</v>
      </c>
      <c r="B326" s="1">
        <v>654726.75</v>
      </c>
    </row>
    <row r="327" spans="1:2" x14ac:dyDescent="0.25">
      <c r="A327" t="s">
        <v>299</v>
      </c>
      <c r="B327" s="1">
        <v>1200</v>
      </c>
    </row>
    <row r="328" spans="1:2" x14ac:dyDescent="0.25">
      <c r="B328" s="216">
        <f>+B321</f>
        <v>2025</v>
      </c>
    </row>
    <row r="329" spans="1:2" x14ac:dyDescent="0.25">
      <c r="A329" t="s">
        <v>300</v>
      </c>
      <c r="B329" s="1">
        <v>9928699</v>
      </c>
    </row>
    <row r="330" spans="1:2" x14ac:dyDescent="0.25">
      <c r="A330" t="s">
        <v>301</v>
      </c>
      <c r="B330" s="1">
        <v>3309566</v>
      </c>
    </row>
    <row r="331" spans="1:2" x14ac:dyDescent="0.25">
      <c r="A331" t="s">
        <v>302</v>
      </c>
      <c r="B331" s="1">
        <v>52953063</v>
      </c>
    </row>
    <row r="332" spans="1:2" x14ac:dyDescent="0.25">
      <c r="B332" s="216">
        <f>+B328</f>
        <v>2025</v>
      </c>
    </row>
    <row r="333" spans="1:2" x14ac:dyDescent="0.25">
      <c r="A333" t="s">
        <v>303</v>
      </c>
      <c r="B333" s="1">
        <v>0</v>
      </c>
    </row>
    <row r="334" spans="1:2" x14ac:dyDescent="0.25">
      <c r="B334" s="1"/>
    </row>
    <row r="335" spans="1:2" x14ac:dyDescent="0.25">
      <c r="A335" t="s">
        <v>842</v>
      </c>
      <c r="B335" s="216">
        <f>+B332</f>
        <v>2025</v>
      </c>
    </row>
    <row r="336" spans="1:2" x14ac:dyDescent="0.25">
      <c r="A336" t="s">
        <v>828</v>
      </c>
      <c r="B336" s="1">
        <v>0</v>
      </c>
    </row>
    <row r="337" spans="1:2" x14ac:dyDescent="0.25">
      <c r="A337" t="s">
        <v>829</v>
      </c>
      <c r="B337" s="1">
        <v>0</v>
      </c>
    </row>
    <row r="338" spans="1:2" x14ac:dyDescent="0.25">
      <c r="A338" t="s">
        <v>830</v>
      </c>
      <c r="B338" s="1">
        <v>0</v>
      </c>
    </row>
    <row r="339" spans="1:2" x14ac:dyDescent="0.25">
      <c r="A339" t="s">
        <v>834</v>
      </c>
      <c r="B339" s="1">
        <v>0</v>
      </c>
    </row>
    <row r="340" spans="1:2" x14ac:dyDescent="0.25">
      <c r="A340" t="s">
        <v>835</v>
      </c>
      <c r="B340" s="1">
        <v>0</v>
      </c>
    </row>
    <row r="341" spans="1:2" x14ac:dyDescent="0.25">
      <c r="A341" t="s">
        <v>836</v>
      </c>
      <c r="B341" s="1">
        <v>0</v>
      </c>
    </row>
    <row r="342" spans="1:2" x14ac:dyDescent="0.25">
      <c r="A342" t="s">
        <v>831</v>
      </c>
      <c r="B342" s="1">
        <v>0</v>
      </c>
    </row>
    <row r="343" spans="1:2" x14ac:dyDescent="0.25">
      <c r="A343" t="s">
        <v>832</v>
      </c>
      <c r="B343" s="1">
        <v>0</v>
      </c>
    </row>
    <row r="344" spans="1:2" x14ac:dyDescent="0.25">
      <c r="A344" t="s">
        <v>833</v>
      </c>
      <c r="B344" s="1">
        <v>0</v>
      </c>
    </row>
    <row r="345" spans="1:2" x14ac:dyDescent="0.25">
      <c r="A345" t="s">
        <v>837</v>
      </c>
      <c r="B345" s="1">
        <v>0</v>
      </c>
    </row>
    <row r="346" spans="1:2" x14ac:dyDescent="0.25">
      <c r="A346" t="s">
        <v>838</v>
      </c>
      <c r="B346" s="1">
        <v>0</v>
      </c>
    </row>
    <row r="347" spans="1:2" x14ac:dyDescent="0.25">
      <c r="A347" t="s">
        <v>839</v>
      </c>
      <c r="B347" s="1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C0D4-4833-42F4-B11E-F043DB17DC56}">
  <dimension ref="A1:U28"/>
  <sheetViews>
    <sheetView workbookViewId="0">
      <selection sqref="A1:B1"/>
    </sheetView>
  </sheetViews>
  <sheetFormatPr defaultColWidth="9" defaultRowHeight="15" x14ac:dyDescent="0.25"/>
  <cols>
    <col min="1" max="1" width="5" bestFit="1" customWidth="1"/>
    <col min="2" max="2" width="6.85546875" bestFit="1" customWidth="1"/>
    <col min="3" max="3" width="8.42578125" bestFit="1" customWidth="1"/>
    <col min="4" max="4" width="8.7109375" bestFit="1" customWidth="1"/>
    <col min="5" max="5" width="8.85546875" bestFit="1" customWidth="1"/>
    <col min="6" max="6" width="8" bestFit="1" customWidth="1"/>
    <col min="7" max="7" width="8.5703125" bestFit="1" customWidth="1"/>
    <col min="8" max="9" width="8" bestFit="1" customWidth="1"/>
    <col min="10" max="10" width="10.5703125" bestFit="1" customWidth="1"/>
    <col min="11" max="11" width="11" bestFit="1" customWidth="1"/>
    <col min="13" max="15" width="8.85546875" bestFit="1" customWidth="1"/>
    <col min="17" max="17" width="11.5703125" bestFit="1" customWidth="1"/>
    <col min="18" max="18" width="10" bestFit="1" customWidth="1"/>
    <col min="19" max="19" width="11.5703125" bestFit="1" customWidth="1"/>
    <col min="21" max="21" width="10" bestFit="1" customWidth="1"/>
  </cols>
  <sheetData>
    <row r="1" spans="1:21" ht="19.5" thickBot="1" x14ac:dyDescent="0.35">
      <c r="A1" s="564" t="s">
        <v>1576</v>
      </c>
      <c r="B1" s="565"/>
      <c r="C1" s="532"/>
      <c r="D1" s="566" t="s">
        <v>1577</v>
      </c>
      <c r="E1" s="567"/>
      <c r="F1" s="568"/>
      <c r="G1" s="569" t="s">
        <v>1578</v>
      </c>
      <c r="H1" s="570"/>
      <c r="I1" s="571"/>
      <c r="J1" s="222"/>
      <c r="K1" s="533" t="s">
        <v>1449</v>
      </c>
      <c r="L1" s="222"/>
      <c r="M1" s="566" t="s">
        <v>1579</v>
      </c>
      <c r="N1" s="567"/>
      <c r="O1" s="568"/>
      <c r="P1" s="222"/>
      <c r="Q1" s="566" t="s">
        <v>1580</v>
      </c>
      <c r="R1" s="567"/>
      <c r="S1" s="568"/>
      <c r="T1" s="222"/>
      <c r="U1" s="222"/>
    </row>
    <row r="2" spans="1:21" ht="90.75" thickBot="1" x14ac:dyDescent="0.3">
      <c r="A2" s="220" t="s">
        <v>1581</v>
      </c>
      <c r="B2" s="220" t="s">
        <v>1582</v>
      </c>
      <c r="C2" s="532"/>
      <c r="D2" s="534" t="s">
        <v>1583</v>
      </c>
      <c r="E2" s="535" t="s">
        <v>1584</v>
      </c>
      <c r="F2" s="536" t="s">
        <v>1585</v>
      </c>
      <c r="G2" s="537" t="s">
        <v>1586</v>
      </c>
      <c r="H2" s="537" t="s">
        <v>1587</v>
      </c>
      <c r="I2" s="537" t="s">
        <v>1585</v>
      </c>
      <c r="J2" s="538"/>
      <c r="K2" s="538" t="s">
        <v>1588</v>
      </c>
      <c r="L2" s="538"/>
      <c r="M2" s="538" t="s">
        <v>1589</v>
      </c>
      <c r="N2" s="538" t="s">
        <v>1590</v>
      </c>
      <c r="O2" s="538" t="s">
        <v>1591</v>
      </c>
      <c r="P2" s="538"/>
      <c r="Q2" s="538" t="s">
        <v>1592</v>
      </c>
      <c r="R2" s="538" t="s">
        <v>1593</v>
      </c>
      <c r="S2" s="538" t="s">
        <v>1594</v>
      </c>
      <c r="T2" s="538"/>
      <c r="U2" s="538" t="s">
        <v>1595</v>
      </c>
    </row>
    <row r="3" spans="1:21" x14ac:dyDescent="0.25">
      <c r="A3" s="222">
        <v>2025</v>
      </c>
      <c r="B3" s="222">
        <v>1</v>
      </c>
      <c r="C3" s="539" t="s">
        <v>1596</v>
      </c>
      <c r="D3" s="1">
        <v>100</v>
      </c>
      <c r="E3" s="1">
        <v>52104.125</v>
      </c>
      <c r="F3" s="540">
        <v>52204.125</v>
      </c>
      <c r="G3" s="540">
        <v>16181.068211630198</v>
      </c>
      <c r="H3" s="540">
        <v>36023.05678836981</v>
      </c>
      <c r="I3" s="540">
        <v>52204.125</v>
      </c>
      <c r="J3" s="222"/>
      <c r="K3" s="541">
        <v>3.2599999999999997E-2</v>
      </c>
      <c r="L3" s="222"/>
      <c r="M3" s="542">
        <v>527.50282369914441</v>
      </c>
      <c r="N3" s="542">
        <v>1174.3516513008558</v>
      </c>
      <c r="O3" s="542">
        <v>1701.8544750000001</v>
      </c>
      <c r="P3" s="222"/>
      <c r="Q3" s="542">
        <v>259771.39560886662</v>
      </c>
      <c r="R3" s="542">
        <v>184464.72732214181</v>
      </c>
      <c r="S3" s="542">
        <v>444236.12293100852</v>
      </c>
      <c r="T3" s="222"/>
      <c r="U3" s="543">
        <v>445937.97740600852</v>
      </c>
    </row>
    <row r="4" spans="1:21" x14ac:dyDescent="0.25">
      <c r="A4" s="222">
        <v>2025</v>
      </c>
      <c r="B4" s="222">
        <v>2</v>
      </c>
      <c r="C4" s="544" t="s">
        <v>1596</v>
      </c>
      <c r="D4" s="1">
        <v>100</v>
      </c>
      <c r="E4" s="1">
        <v>52550.75</v>
      </c>
      <c r="F4" s="540">
        <v>52650.75</v>
      </c>
      <c r="G4" s="540">
        <v>16319.503049682158</v>
      </c>
      <c r="H4" s="540">
        <v>36331.246950317844</v>
      </c>
      <c r="I4" s="540">
        <v>52650.75</v>
      </c>
      <c r="J4" s="222"/>
      <c r="K4" s="541">
        <v>3.2599999999999997E-2</v>
      </c>
      <c r="L4" s="222"/>
      <c r="M4" s="542">
        <v>532.01579941963826</v>
      </c>
      <c r="N4" s="542">
        <v>1184.3986505803616</v>
      </c>
      <c r="O4" s="542">
        <v>1716.4144499999998</v>
      </c>
      <c r="P4" s="222"/>
      <c r="Q4" s="542">
        <v>259771.39560886662</v>
      </c>
      <c r="R4" s="542">
        <v>184464.72732214181</v>
      </c>
      <c r="S4" s="542">
        <v>444236.12293100852</v>
      </c>
      <c r="T4" s="222"/>
      <c r="U4" s="543">
        <v>445952.5373810085</v>
      </c>
    </row>
    <row r="5" spans="1:21" x14ac:dyDescent="0.25">
      <c r="A5" s="222">
        <v>2025</v>
      </c>
      <c r="B5" s="222">
        <v>3</v>
      </c>
      <c r="C5" s="544" t="s">
        <v>1596</v>
      </c>
      <c r="D5" s="1">
        <v>100</v>
      </c>
      <c r="E5" s="1">
        <v>52997.375</v>
      </c>
      <c r="F5" s="540">
        <v>53097.375</v>
      </c>
      <c r="G5" s="540">
        <v>16457.937887734119</v>
      </c>
      <c r="H5" s="540">
        <v>36639.437112265885</v>
      </c>
      <c r="I5" s="540">
        <v>53097.375</v>
      </c>
      <c r="J5" s="222"/>
      <c r="K5" s="541">
        <v>3.2599999999999997E-2</v>
      </c>
      <c r="L5" s="222"/>
      <c r="M5" s="542">
        <v>536.52877514013221</v>
      </c>
      <c r="N5" s="542">
        <v>1194.4456498598677</v>
      </c>
      <c r="O5" s="542">
        <v>1730.9744249999999</v>
      </c>
      <c r="P5" s="222"/>
      <c r="Q5" s="542">
        <v>259771.39560886662</v>
      </c>
      <c r="R5" s="542">
        <v>184464.72732214181</v>
      </c>
      <c r="S5" s="542">
        <v>444236.12293100852</v>
      </c>
      <c r="T5" s="222"/>
      <c r="U5" s="543">
        <v>445967.09735600854</v>
      </c>
    </row>
    <row r="6" spans="1:21" x14ac:dyDescent="0.25">
      <c r="A6" s="222">
        <v>2025</v>
      </c>
      <c r="B6" s="222">
        <v>4</v>
      </c>
      <c r="C6" s="544" t="s">
        <v>1596</v>
      </c>
      <c r="D6" s="1">
        <v>100</v>
      </c>
      <c r="E6" s="1">
        <v>53444</v>
      </c>
      <c r="F6" s="540">
        <v>53544</v>
      </c>
      <c r="G6" s="540">
        <v>16596.372725786081</v>
      </c>
      <c r="H6" s="540">
        <v>36947.627274213919</v>
      </c>
      <c r="I6" s="540">
        <v>53544</v>
      </c>
      <c r="J6" s="222"/>
      <c r="K6" s="541">
        <v>3.2599999999999997E-2</v>
      </c>
      <c r="L6" s="222"/>
      <c r="M6" s="542">
        <v>541.04175086062617</v>
      </c>
      <c r="N6" s="542">
        <v>1204.4926491393737</v>
      </c>
      <c r="O6" s="542">
        <v>1745.5344</v>
      </c>
      <c r="P6" s="222"/>
      <c r="Q6" s="542">
        <v>259771.39560886662</v>
      </c>
      <c r="R6" s="542">
        <v>184464.72732214181</v>
      </c>
      <c r="S6" s="542">
        <v>444236.12293100852</v>
      </c>
      <c r="T6" s="222"/>
      <c r="U6" s="543">
        <v>445981.65733100852</v>
      </c>
    </row>
    <row r="7" spans="1:21" x14ac:dyDescent="0.25">
      <c r="A7" s="222">
        <v>2025</v>
      </c>
      <c r="B7" s="222">
        <v>5</v>
      </c>
      <c r="C7" s="544" t="s">
        <v>1596</v>
      </c>
      <c r="D7" s="1">
        <v>100</v>
      </c>
      <c r="E7" s="1">
        <v>53890.625</v>
      </c>
      <c r="F7" s="540">
        <v>53990.625</v>
      </c>
      <c r="G7" s="540">
        <v>16734.807563838043</v>
      </c>
      <c r="H7" s="540">
        <v>37255.81743616196</v>
      </c>
      <c r="I7" s="540">
        <v>53990.625</v>
      </c>
      <c r="J7" s="222"/>
      <c r="K7" s="541">
        <v>3.2599999999999997E-2</v>
      </c>
      <c r="L7" s="222"/>
      <c r="M7" s="542">
        <v>545.55472658112012</v>
      </c>
      <c r="N7" s="542">
        <v>1214.5396484188798</v>
      </c>
      <c r="O7" s="542">
        <v>1760.0943749999999</v>
      </c>
      <c r="P7" s="222"/>
      <c r="Q7" s="542">
        <v>259771.39560886662</v>
      </c>
      <c r="R7" s="542">
        <v>184464.72732214181</v>
      </c>
      <c r="S7" s="542">
        <v>444236.12293100852</v>
      </c>
      <c r="T7" s="222"/>
      <c r="U7" s="543">
        <v>445996.2173060085</v>
      </c>
    </row>
    <row r="8" spans="1:21" x14ac:dyDescent="0.25">
      <c r="A8" s="222">
        <v>2025</v>
      </c>
      <c r="B8" s="222">
        <v>6</v>
      </c>
      <c r="C8" s="544" t="s">
        <v>1596</v>
      </c>
      <c r="D8" s="1">
        <v>100</v>
      </c>
      <c r="E8" s="1">
        <v>54337.25</v>
      </c>
      <c r="F8" s="540">
        <v>54437.25</v>
      </c>
      <c r="G8" s="540">
        <v>16873.242401890002</v>
      </c>
      <c r="H8" s="540">
        <v>37564.007598110002</v>
      </c>
      <c r="I8" s="540">
        <v>54437.25</v>
      </c>
      <c r="J8" s="222"/>
      <c r="K8" s="541">
        <v>3.2599999999999997E-2</v>
      </c>
      <c r="L8" s="222"/>
      <c r="M8" s="542">
        <v>550.06770230161396</v>
      </c>
      <c r="N8" s="542">
        <v>1224.5866476983858</v>
      </c>
      <c r="O8" s="542">
        <v>1774.6543499999998</v>
      </c>
      <c r="P8" s="222"/>
      <c r="Q8" s="542">
        <v>259771.39560886662</v>
      </c>
      <c r="R8" s="542">
        <v>184464.72732214181</v>
      </c>
      <c r="S8" s="542">
        <v>444236.12293100852</v>
      </c>
      <c r="T8" s="222"/>
      <c r="U8" s="543">
        <v>446010.77728100854</v>
      </c>
    </row>
    <row r="9" spans="1:21" x14ac:dyDescent="0.25">
      <c r="A9" s="222">
        <v>2025</v>
      </c>
      <c r="B9" s="222">
        <v>7</v>
      </c>
      <c r="C9" s="544" t="s">
        <v>1596</v>
      </c>
      <c r="D9" s="1">
        <v>100</v>
      </c>
      <c r="E9" s="1">
        <v>54783.875</v>
      </c>
      <c r="F9" s="540">
        <v>54883.875</v>
      </c>
      <c r="G9" s="540">
        <v>17011.677239941964</v>
      </c>
      <c r="H9" s="540">
        <v>37872.197760058036</v>
      </c>
      <c r="I9" s="540">
        <v>54883.875</v>
      </c>
      <c r="J9" s="222"/>
      <c r="K9" s="541">
        <v>3.2599999999999997E-2</v>
      </c>
      <c r="L9" s="222"/>
      <c r="M9" s="542">
        <v>554.58067802210803</v>
      </c>
      <c r="N9" s="542">
        <v>1234.6336469778919</v>
      </c>
      <c r="O9" s="542">
        <v>1789.2143249999999</v>
      </c>
      <c r="P9" s="222"/>
      <c r="Q9" s="542">
        <v>259771.39560886662</v>
      </c>
      <c r="R9" s="542">
        <v>184464.72732214181</v>
      </c>
      <c r="S9" s="542">
        <v>444236.12293100852</v>
      </c>
      <c r="T9" s="222"/>
      <c r="U9" s="543">
        <v>446025.33725600853</v>
      </c>
    </row>
    <row r="10" spans="1:21" x14ac:dyDescent="0.25">
      <c r="A10" s="222">
        <v>2025</v>
      </c>
      <c r="B10" s="222">
        <v>8</v>
      </c>
      <c r="C10" s="544" t="s">
        <v>1596</v>
      </c>
      <c r="D10" s="1">
        <v>100</v>
      </c>
      <c r="E10" s="1">
        <v>55230.5</v>
      </c>
      <c r="F10" s="540">
        <v>55330.5</v>
      </c>
      <c r="G10" s="540">
        <v>17150.112077993927</v>
      </c>
      <c r="H10" s="540">
        <v>38180.387922006077</v>
      </c>
      <c r="I10" s="540">
        <v>55330.5</v>
      </c>
      <c r="J10" s="222"/>
      <c r="K10" s="541">
        <v>3.2599999999999997E-2</v>
      </c>
      <c r="L10" s="222"/>
      <c r="M10" s="542">
        <v>559.09365374260199</v>
      </c>
      <c r="N10" s="542">
        <v>1244.6806462573979</v>
      </c>
      <c r="O10" s="542">
        <v>1803.7743</v>
      </c>
      <c r="P10" s="222"/>
      <c r="Q10" s="542">
        <v>259771.39560886662</v>
      </c>
      <c r="R10" s="542">
        <v>184464.72732214181</v>
      </c>
      <c r="S10" s="542">
        <v>444236.12293100852</v>
      </c>
      <c r="T10" s="222"/>
      <c r="U10" s="543">
        <v>446039.89723100851</v>
      </c>
    </row>
    <row r="11" spans="1:21" x14ac:dyDescent="0.25">
      <c r="A11" s="222">
        <v>2025</v>
      </c>
      <c r="B11" s="222">
        <v>9</v>
      </c>
      <c r="C11" s="544" t="s">
        <v>1596</v>
      </c>
      <c r="D11" s="1">
        <v>100</v>
      </c>
      <c r="E11" s="1">
        <v>55677.125</v>
      </c>
      <c r="F11" s="540">
        <v>55777.125</v>
      </c>
      <c r="G11" s="540">
        <v>17288.546916045885</v>
      </c>
      <c r="H11" s="540">
        <v>38488.578083954118</v>
      </c>
      <c r="I11" s="540">
        <v>55777.125</v>
      </c>
      <c r="J11" s="222"/>
      <c r="K11" s="541">
        <v>3.2599999999999997E-2</v>
      </c>
      <c r="L11" s="222"/>
      <c r="M11" s="542">
        <v>563.60662946309583</v>
      </c>
      <c r="N11" s="542">
        <v>1254.7276455369042</v>
      </c>
      <c r="O11" s="542">
        <v>1818.3342750000002</v>
      </c>
      <c r="P11" s="222"/>
      <c r="Q11" s="542">
        <v>259771.39560886662</v>
      </c>
      <c r="R11" s="542">
        <v>184464.72732214181</v>
      </c>
      <c r="S11" s="542">
        <v>444236.12293100852</v>
      </c>
      <c r="T11" s="222"/>
      <c r="U11" s="543">
        <v>446054.45720600849</v>
      </c>
    </row>
    <row r="12" spans="1:21" x14ac:dyDescent="0.25">
      <c r="A12" s="222">
        <v>2025</v>
      </c>
      <c r="B12" s="222">
        <v>10</v>
      </c>
      <c r="C12" s="544" t="s">
        <v>1596</v>
      </c>
      <c r="D12" s="1">
        <v>100</v>
      </c>
      <c r="E12" s="1">
        <v>56123.75</v>
      </c>
      <c r="F12" s="540">
        <v>56223.75</v>
      </c>
      <c r="G12" s="540">
        <v>17426.981754097847</v>
      </c>
      <c r="H12" s="540">
        <v>38796.768245902153</v>
      </c>
      <c r="I12" s="540">
        <v>56223.75</v>
      </c>
      <c r="J12" s="222"/>
      <c r="K12" s="541">
        <v>3.2599999999999997E-2</v>
      </c>
      <c r="L12" s="222"/>
      <c r="M12" s="542">
        <v>568.11960518358978</v>
      </c>
      <c r="N12" s="542">
        <v>1264.77464481641</v>
      </c>
      <c r="O12" s="542">
        <v>1832.8942499999998</v>
      </c>
      <c r="P12" s="222"/>
      <c r="Q12" s="542">
        <v>259771.39560886662</v>
      </c>
      <c r="R12" s="542">
        <v>184464.72732214181</v>
      </c>
      <c r="S12" s="542">
        <v>444236.12293100852</v>
      </c>
      <c r="T12" s="222"/>
      <c r="U12" s="543">
        <v>446069.01718100853</v>
      </c>
    </row>
    <row r="13" spans="1:21" x14ac:dyDescent="0.25">
      <c r="A13" s="222">
        <v>2025</v>
      </c>
      <c r="B13" s="222">
        <v>11</v>
      </c>
      <c r="C13" s="544" t="s">
        <v>1596</v>
      </c>
      <c r="D13" s="1">
        <v>100</v>
      </c>
      <c r="E13" s="1">
        <v>56570.375</v>
      </c>
      <c r="F13" s="540">
        <v>56670.375</v>
      </c>
      <c r="G13" s="540">
        <v>17565.41659214981</v>
      </c>
      <c r="H13" s="540">
        <v>39104.958407850194</v>
      </c>
      <c r="I13" s="540">
        <v>56670.375</v>
      </c>
      <c r="J13" s="222"/>
      <c r="K13" s="541">
        <v>3.2599999999999997E-2</v>
      </c>
      <c r="L13" s="222"/>
      <c r="M13" s="542">
        <v>572.63258090408374</v>
      </c>
      <c r="N13" s="542">
        <v>1274.8216440959161</v>
      </c>
      <c r="O13" s="542">
        <v>1847.454225</v>
      </c>
      <c r="P13" s="222"/>
      <c r="Q13" s="542">
        <v>259771.39560886662</v>
      </c>
      <c r="R13" s="542">
        <v>184464.72732214181</v>
      </c>
      <c r="S13" s="542">
        <v>444236.12293100852</v>
      </c>
      <c r="T13" s="222"/>
      <c r="U13" s="543">
        <v>446083.57715600851</v>
      </c>
    </row>
    <row r="14" spans="1:21" x14ac:dyDescent="0.25">
      <c r="A14" s="545">
        <v>2025</v>
      </c>
      <c r="B14" s="545">
        <v>12</v>
      </c>
      <c r="C14" s="546" t="s">
        <v>1596</v>
      </c>
      <c r="D14" s="547">
        <v>100</v>
      </c>
      <c r="E14" s="547">
        <v>57017</v>
      </c>
      <c r="F14" s="548">
        <v>57117</v>
      </c>
      <c r="G14" s="548">
        <v>17703.851430201768</v>
      </c>
      <c r="H14" s="548">
        <v>39413.148569798235</v>
      </c>
      <c r="I14" s="548">
        <v>57117</v>
      </c>
      <c r="J14" s="545"/>
      <c r="K14" s="549">
        <v>3.2599999999999997E-2</v>
      </c>
      <c r="L14" s="545"/>
      <c r="M14" s="550">
        <v>577.14555662457758</v>
      </c>
      <c r="N14" s="550">
        <v>1284.8686433754224</v>
      </c>
      <c r="O14" s="550">
        <v>1862.0142000000001</v>
      </c>
      <c r="P14" s="545"/>
      <c r="Q14" s="550">
        <v>259771.39560886662</v>
      </c>
      <c r="R14" s="550">
        <v>184464.72732214181</v>
      </c>
      <c r="S14" s="550">
        <v>444236.12293100852</v>
      </c>
      <c r="T14" s="545"/>
      <c r="U14" s="551">
        <v>446098.13713100849</v>
      </c>
    </row>
    <row r="18" spans="10:19" x14ac:dyDescent="0.25">
      <c r="J18" s="322"/>
    </row>
    <row r="19" spans="10:19" x14ac:dyDescent="0.25">
      <c r="J19" s="322"/>
    </row>
    <row r="20" spans="10:19" x14ac:dyDescent="0.25">
      <c r="J20" s="322"/>
      <c r="O20" s="331"/>
      <c r="S20" s="331"/>
    </row>
    <row r="21" spans="10:19" x14ac:dyDescent="0.25">
      <c r="J21" s="322"/>
    </row>
    <row r="22" spans="10:19" x14ac:dyDescent="0.25">
      <c r="J22" s="322"/>
      <c r="Q22" s="331"/>
    </row>
    <row r="23" spans="10:19" x14ac:dyDescent="0.25">
      <c r="J23" s="322"/>
    </row>
    <row r="24" spans="10:19" x14ac:dyDescent="0.25">
      <c r="J24" s="322"/>
    </row>
    <row r="25" spans="10:19" x14ac:dyDescent="0.25">
      <c r="J25" s="322"/>
    </row>
    <row r="26" spans="10:19" x14ac:dyDescent="0.25">
      <c r="J26" s="322"/>
    </row>
    <row r="27" spans="10:19" x14ac:dyDescent="0.25">
      <c r="J27" s="322"/>
    </row>
    <row r="28" spans="10:19" x14ac:dyDescent="0.25">
      <c r="J28" s="322"/>
    </row>
  </sheetData>
  <mergeCells count="5">
    <mergeCell ref="A1:B1"/>
    <mergeCell ref="D1:F1"/>
    <mergeCell ref="G1:I1"/>
    <mergeCell ref="M1:O1"/>
    <mergeCell ref="Q1:S1"/>
  </mergeCells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3A5C-75FD-4AE9-B3DB-29FB007ABE2A}">
  <dimension ref="C2:I12"/>
  <sheetViews>
    <sheetView workbookViewId="0"/>
  </sheetViews>
  <sheetFormatPr defaultRowHeight="15" x14ac:dyDescent="0.25"/>
  <cols>
    <col min="1" max="1" width="43.5703125" bestFit="1" customWidth="1"/>
    <col min="2" max="2" width="12.140625" bestFit="1" customWidth="1"/>
    <col min="3" max="3" width="15.7109375" bestFit="1" customWidth="1"/>
    <col min="4" max="4" width="38.7109375" bestFit="1" customWidth="1"/>
    <col min="5" max="5" width="23.5703125" bestFit="1" customWidth="1"/>
    <col min="6" max="6" width="35.7109375" bestFit="1" customWidth="1"/>
    <col min="8" max="8" width="11" bestFit="1" customWidth="1"/>
  </cols>
  <sheetData>
    <row r="2" spans="3:9" x14ac:dyDescent="0.25">
      <c r="C2" s="216"/>
      <c r="D2" s="216"/>
      <c r="E2" s="216"/>
      <c r="F2" s="216"/>
    </row>
    <row r="3" spans="3:9" x14ac:dyDescent="0.25">
      <c r="C3" s="216" t="s">
        <v>814</v>
      </c>
      <c r="D3" s="216" t="s">
        <v>1598</v>
      </c>
      <c r="E3" s="216" t="s">
        <v>1471</v>
      </c>
      <c r="F3" s="220" t="s">
        <v>1472</v>
      </c>
    </row>
    <row r="4" spans="3:9" x14ac:dyDescent="0.25">
      <c r="C4" t="s">
        <v>815</v>
      </c>
      <c r="D4" s="530">
        <v>1099875971.64063</v>
      </c>
      <c r="E4" s="530"/>
      <c r="F4" s="530">
        <f t="shared" ref="F4:F10" si="0">+D4-E4</f>
        <v>1099875971.64063</v>
      </c>
      <c r="I4" s="531"/>
    </row>
    <row r="5" spans="3:9" x14ac:dyDescent="0.25">
      <c r="C5" t="s">
        <v>816</v>
      </c>
      <c r="D5" s="530">
        <v>99214926.359999999</v>
      </c>
      <c r="F5" s="530">
        <f t="shared" si="0"/>
        <v>99214926.359999999</v>
      </c>
    </row>
    <row r="6" spans="3:9" x14ac:dyDescent="0.25">
      <c r="C6" t="s">
        <v>817</v>
      </c>
      <c r="D6" s="530">
        <v>411077262.85000008</v>
      </c>
      <c r="F6" s="530">
        <f t="shared" si="0"/>
        <v>411077262.85000008</v>
      </c>
    </row>
    <row r="7" spans="3:9" x14ac:dyDescent="0.25">
      <c r="C7" t="s">
        <v>818</v>
      </c>
      <c r="D7" s="530">
        <v>47902932.979999997</v>
      </c>
      <c r="F7" s="530">
        <f t="shared" si="0"/>
        <v>47902932.979999997</v>
      </c>
    </row>
    <row r="8" spans="3:9" x14ac:dyDescent="0.25">
      <c r="C8" t="s">
        <v>819</v>
      </c>
      <c r="D8" s="530">
        <v>30000302.800000001</v>
      </c>
      <c r="F8" s="530">
        <f t="shared" si="0"/>
        <v>30000302.800000001</v>
      </c>
    </row>
    <row r="9" spans="3:9" x14ac:dyDescent="0.25">
      <c r="C9" t="s">
        <v>820</v>
      </c>
      <c r="D9" s="530">
        <v>3573046.9034759998</v>
      </c>
      <c r="F9" s="530">
        <f t="shared" si="0"/>
        <v>3573046.9034759998</v>
      </c>
    </row>
    <row r="10" spans="3:9" x14ac:dyDescent="0.25">
      <c r="C10" t="s">
        <v>821</v>
      </c>
      <c r="D10" s="530">
        <v>82707820.715172112</v>
      </c>
      <c r="F10" s="530">
        <f t="shared" si="0"/>
        <v>82707820.715172112</v>
      </c>
    </row>
    <row r="12" spans="3:9" x14ac:dyDescent="0.25">
      <c r="C12" t="s">
        <v>336</v>
      </c>
      <c r="D12" s="530">
        <f>+SUM(D4:D10)</f>
        <v>1774352264.2492781</v>
      </c>
      <c r="E12" s="530">
        <f t="shared" ref="E12" si="1">+SUM(E4:E10)</f>
        <v>0</v>
      </c>
      <c r="F12" s="530">
        <f>+SUM(F4:F10)</f>
        <v>1774352264.2492781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33D6-EE13-44CD-B65D-71604BA43095}">
  <dimension ref="B1:G9"/>
  <sheetViews>
    <sheetView workbookViewId="0"/>
  </sheetViews>
  <sheetFormatPr defaultRowHeight="15" x14ac:dyDescent="0.25"/>
  <cols>
    <col min="2" max="2" width="22.7109375" bestFit="1" customWidth="1"/>
    <col min="4" max="4" width="24.28515625" bestFit="1" customWidth="1"/>
    <col min="6" max="6" width="23.42578125" customWidth="1"/>
    <col min="7" max="7" width="9.140625" bestFit="1" customWidth="1"/>
  </cols>
  <sheetData>
    <row r="1" spans="2:7" ht="15.75" thickBot="1" x14ac:dyDescent="0.3"/>
    <row r="2" spans="2:7" ht="15.75" thickBot="1" x14ac:dyDescent="0.3">
      <c r="B2" t="s">
        <v>1565</v>
      </c>
      <c r="D2" t="s">
        <v>1564</v>
      </c>
      <c r="F2" s="572" t="s">
        <v>1570</v>
      </c>
      <c r="G2" s="573"/>
    </row>
    <row r="3" spans="2:7" x14ac:dyDescent="0.25">
      <c r="B3" s="223">
        <v>18468.557332080672</v>
      </c>
      <c r="D3" s="223">
        <v>21444.731936121014</v>
      </c>
      <c r="F3" s="238" t="s">
        <v>815</v>
      </c>
      <c r="G3" s="527">
        <v>0.89213924715778925</v>
      </c>
    </row>
    <row r="4" spans="2:7" x14ac:dyDescent="0.25">
      <c r="F4" s="244" t="s">
        <v>816</v>
      </c>
      <c r="G4" s="528">
        <v>8.6462829416315876E-2</v>
      </c>
    </row>
    <row r="5" spans="2:7" x14ac:dyDescent="0.25">
      <c r="F5" s="244" t="s">
        <v>817</v>
      </c>
      <c r="G5" s="528">
        <v>2.114505047599273E-2</v>
      </c>
    </row>
    <row r="6" spans="2:7" x14ac:dyDescent="0.25">
      <c r="F6" s="244" t="s">
        <v>818</v>
      </c>
      <c r="G6" s="528">
        <v>0</v>
      </c>
    </row>
    <row r="7" spans="2:7" x14ac:dyDescent="0.25">
      <c r="F7" s="244" t="s">
        <v>819</v>
      </c>
      <c r="G7" s="528">
        <v>0</v>
      </c>
    </row>
    <row r="8" spans="2:7" x14ac:dyDescent="0.25">
      <c r="F8" s="244" t="s">
        <v>1469</v>
      </c>
      <c r="G8" s="528">
        <v>2.5287294990215673E-4</v>
      </c>
    </row>
    <row r="9" spans="2:7" ht="15.75" thickBot="1" x14ac:dyDescent="0.3">
      <c r="F9" s="241" t="s">
        <v>871</v>
      </c>
      <c r="G9" s="529">
        <v>0</v>
      </c>
    </row>
  </sheetData>
  <mergeCells count="1">
    <mergeCell ref="F2:G2"/>
  </mergeCells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50E4-265A-4A11-B1E6-E0D2311A6122}">
  <sheetPr>
    <pageSetUpPr fitToPage="1"/>
  </sheetPr>
  <dimension ref="A1:Z362"/>
  <sheetViews>
    <sheetView zoomScaleNormal="100" workbookViewId="0"/>
  </sheetViews>
  <sheetFormatPr defaultColWidth="9.140625" defaultRowHeight="12.75" x14ac:dyDescent="0.2"/>
  <cols>
    <col min="1" max="1" width="4.42578125" style="503" customWidth="1"/>
    <col min="2" max="2" width="4.5703125" style="503" customWidth="1"/>
    <col min="3" max="3" width="9.42578125" style="503" customWidth="1"/>
    <col min="4" max="5" width="10.140625" style="503" customWidth="1"/>
    <col min="6" max="6" width="9.7109375" style="503" customWidth="1"/>
    <col min="7" max="7" width="7.42578125" style="503" customWidth="1"/>
    <col min="8" max="8" width="8.7109375" style="503" customWidth="1"/>
    <col min="9" max="9" width="12.28515625" style="503" bestFit="1" customWidth="1"/>
    <col min="10" max="11" width="9.5703125" style="503" customWidth="1"/>
    <col min="12" max="12" width="9.85546875" style="503" customWidth="1"/>
    <col min="13" max="13" width="9.5703125" style="503" customWidth="1"/>
    <col min="14" max="14" width="10.140625" style="503" customWidth="1"/>
    <col min="15" max="15" width="10" style="503" customWidth="1"/>
    <col min="16" max="16" width="9" style="503" customWidth="1"/>
    <col min="17" max="17" width="8.140625" style="503" customWidth="1"/>
    <col min="18" max="18" width="9.85546875" style="503" customWidth="1"/>
    <col min="19" max="19" width="12.28515625" style="503" bestFit="1" customWidth="1"/>
    <col min="20" max="20" width="9.85546875" style="503" bestFit="1" customWidth="1"/>
    <col min="21" max="21" width="9.85546875" style="503" customWidth="1"/>
    <col min="22" max="22" width="11.85546875" style="503" customWidth="1"/>
    <col min="23" max="23" width="10" style="503" customWidth="1"/>
    <col min="24" max="24" width="8.28515625" style="503" customWidth="1"/>
    <col min="25" max="25" width="9.42578125" style="503" bestFit="1" customWidth="1"/>
    <col min="26" max="16384" width="9.140625" style="503"/>
  </cols>
  <sheetData>
    <row r="1" spans="1:26" ht="13.5" thickBot="1" x14ac:dyDescent="0.25">
      <c r="A1" s="396" t="s">
        <v>943</v>
      </c>
      <c r="B1" s="396"/>
      <c r="C1" s="396"/>
      <c r="D1" s="396"/>
      <c r="E1" s="396"/>
      <c r="F1" s="396"/>
      <c r="G1" s="396"/>
      <c r="H1" s="396" t="s">
        <v>944</v>
      </c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492" t="s">
        <v>945</v>
      </c>
      <c r="Z1" s="504"/>
    </row>
    <row r="2" spans="1:26" x14ac:dyDescent="0.2">
      <c r="A2" s="395" t="s">
        <v>307</v>
      </c>
      <c r="B2" s="395"/>
      <c r="C2" s="395"/>
      <c r="D2" s="395"/>
      <c r="E2" s="395"/>
      <c r="F2" s="395" t="s">
        <v>946</v>
      </c>
      <c r="G2" s="395"/>
      <c r="H2" s="395" t="s">
        <v>947</v>
      </c>
      <c r="I2" s="395"/>
      <c r="J2" s="395"/>
      <c r="K2" s="395"/>
      <c r="L2" s="395"/>
      <c r="M2" s="397"/>
      <c r="N2" s="397"/>
      <c r="O2" s="395"/>
      <c r="P2" s="397"/>
      <c r="Q2" s="397"/>
      <c r="R2" s="397"/>
      <c r="S2" s="397"/>
      <c r="T2" s="397"/>
      <c r="V2" s="397" t="s">
        <v>847</v>
      </c>
      <c r="W2" s="395"/>
      <c r="X2" s="395"/>
      <c r="Y2" s="398"/>
    </row>
    <row r="3" spans="1:26" x14ac:dyDescent="0.2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9"/>
      <c r="N3" s="398"/>
      <c r="O3" s="395"/>
      <c r="P3" s="395"/>
      <c r="Q3" s="395"/>
      <c r="R3" s="395"/>
      <c r="S3" s="395"/>
      <c r="T3" s="395"/>
      <c r="V3" s="399" t="s">
        <v>919</v>
      </c>
      <c r="W3" s="398" t="s">
        <v>920</v>
      </c>
      <c r="X3" s="395"/>
      <c r="Y3" s="399"/>
    </row>
    <row r="4" spans="1:26" x14ac:dyDescent="0.2">
      <c r="A4" s="395" t="s">
        <v>310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9"/>
      <c r="N4" s="398"/>
      <c r="O4" s="399"/>
      <c r="P4" s="395"/>
      <c r="Q4" s="395"/>
      <c r="R4" s="395"/>
      <c r="S4" s="395"/>
      <c r="T4" s="395"/>
      <c r="U4" s="395"/>
      <c r="W4" s="398" t="s">
        <v>937</v>
      </c>
      <c r="X4" s="395"/>
      <c r="Y4" s="399"/>
    </row>
    <row r="5" spans="1:26" x14ac:dyDescent="0.2">
      <c r="A5" s="395"/>
      <c r="B5" s="395"/>
      <c r="C5" s="395"/>
      <c r="D5" s="395"/>
      <c r="E5" s="395"/>
      <c r="F5" s="395"/>
      <c r="G5" s="575" t="s">
        <v>948</v>
      </c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395"/>
      <c r="S5" s="395"/>
      <c r="T5" s="395"/>
      <c r="U5" s="395"/>
      <c r="W5" s="398" t="s">
        <v>938</v>
      </c>
      <c r="X5" s="395"/>
      <c r="Y5" s="399"/>
    </row>
    <row r="6" spans="1:26" ht="13.5" thickBot="1" x14ac:dyDescent="0.25">
      <c r="A6" s="396" t="s">
        <v>1642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400"/>
      <c r="N6" s="396"/>
      <c r="O6" s="396"/>
      <c r="P6" s="396"/>
      <c r="Q6" s="396"/>
      <c r="R6" s="396"/>
      <c r="S6" s="396"/>
      <c r="T6" s="396"/>
      <c r="U6" s="396"/>
      <c r="V6" s="504"/>
      <c r="W6" s="396" t="s">
        <v>311</v>
      </c>
      <c r="X6" s="396"/>
      <c r="Y6" s="396"/>
      <c r="Z6" s="504"/>
    </row>
    <row r="7" spans="1:26" x14ac:dyDescent="0.2">
      <c r="A7" s="395"/>
      <c r="B7" s="577" t="s">
        <v>949</v>
      </c>
      <c r="C7" s="577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521"/>
    </row>
    <row r="8" spans="1:26" x14ac:dyDescent="0.2">
      <c r="B8" s="574" t="s">
        <v>815</v>
      </c>
      <c r="C8" s="574"/>
      <c r="D8" s="576" t="s">
        <v>950</v>
      </c>
      <c r="E8" s="576"/>
      <c r="F8" s="576"/>
      <c r="G8" s="576"/>
      <c r="H8" s="576"/>
      <c r="I8" s="576"/>
      <c r="J8" s="576"/>
      <c r="K8" s="576"/>
      <c r="L8" s="576"/>
      <c r="M8" s="576"/>
      <c r="N8" s="576" t="s">
        <v>951</v>
      </c>
      <c r="O8" s="576"/>
      <c r="P8" s="576"/>
      <c r="Q8" s="576"/>
      <c r="R8" s="576"/>
      <c r="S8" s="576"/>
      <c r="T8" s="576"/>
      <c r="U8" s="576"/>
      <c r="W8" s="576" t="s">
        <v>952</v>
      </c>
      <c r="X8" s="576"/>
      <c r="Y8" s="576" t="s">
        <v>953</v>
      </c>
      <c r="Z8" s="576"/>
    </row>
    <row r="9" spans="1:26" x14ac:dyDescent="0.2">
      <c r="A9" s="395"/>
      <c r="B9" s="402" t="s">
        <v>848</v>
      </c>
      <c r="C9" s="402" t="s">
        <v>849</v>
      </c>
      <c r="D9" s="505" t="s">
        <v>850</v>
      </c>
      <c r="E9" s="402" t="s">
        <v>851</v>
      </c>
      <c r="F9" s="402" t="s">
        <v>954</v>
      </c>
      <c r="G9" s="401" t="s">
        <v>955</v>
      </c>
      <c r="H9" s="401" t="s">
        <v>956</v>
      </c>
      <c r="I9" s="401" t="s">
        <v>957</v>
      </c>
      <c r="J9" s="401" t="s">
        <v>958</v>
      </c>
      <c r="K9" s="506" t="s">
        <v>959</v>
      </c>
      <c r="L9" s="506" t="s">
        <v>960</v>
      </c>
      <c r="M9" s="507" t="s">
        <v>961</v>
      </c>
      <c r="N9" s="401" t="s">
        <v>962</v>
      </c>
      <c r="O9" s="401" t="s">
        <v>963</v>
      </c>
      <c r="P9" s="401" t="s">
        <v>964</v>
      </c>
      <c r="Q9" s="401" t="s">
        <v>965</v>
      </c>
      <c r="R9" s="401" t="s">
        <v>966</v>
      </c>
      <c r="S9" s="401" t="s">
        <v>967</v>
      </c>
      <c r="T9" s="401" t="s">
        <v>968</v>
      </c>
      <c r="U9" s="506" t="s">
        <v>969</v>
      </c>
      <c r="V9" s="507" t="s">
        <v>970</v>
      </c>
      <c r="W9" s="507" t="s">
        <v>971</v>
      </c>
      <c r="X9" s="401" t="s">
        <v>972</v>
      </c>
      <c r="Y9" s="401" t="s">
        <v>1020</v>
      </c>
      <c r="Z9" s="401" t="s">
        <v>1027</v>
      </c>
    </row>
    <row r="10" spans="1:26" x14ac:dyDescent="0.2">
      <c r="A10" s="395" t="s">
        <v>314</v>
      </c>
      <c r="B10" s="402" t="s">
        <v>973</v>
      </c>
      <c r="C10" s="402"/>
      <c r="D10" s="508" t="s">
        <v>974</v>
      </c>
      <c r="E10" s="402" t="s">
        <v>975</v>
      </c>
      <c r="F10" s="402" t="s">
        <v>976</v>
      </c>
      <c r="G10" s="401" t="s">
        <v>977</v>
      </c>
      <c r="H10" s="402" t="s">
        <v>978</v>
      </c>
      <c r="I10" s="402" t="s">
        <v>1693</v>
      </c>
      <c r="J10" s="402" t="s">
        <v>979</v>
      </c>
      <c r="K10" s="402" t="s">
        <v>1690</v>
      </c>
      <c r="L10" s="402" t="s">
        <v>980</v>
      </c>
      <c r="M10" s="509" t="s">
        <v>718</v>
      </c>
      <c r="N10" s="402" t="s">
        <v>974</v>
      </c>
      <c r="O10" s="402" t="s">
        <v>975</v>
      </c>
      <c r="P10" s="401" t="s">
        <v>976</v>
      </c>
      <c r="Q10" s="401" t="s">
        <v>977</v>
      </c>
      <c r="R10" s="402" t="s">
        <v>978</v>
      </c>
      <c r="S10" s="402" t="s">
        <v>1693</v>
      </c>
      <c r="T10" s="402" t="s">
        <v>979</v>
      </c>
      <c r="U10" s="402" t="s">
        <v>980</v>
      </c>
      <c r="V10" s="509" t="s">
        <v>718</v>
      </c>
      <c r="W10" s="401" t="s">
        <v>981</v>
      </c>
      <c r="X10" s="509" t="s">
        <v>982</v>
      </c>
      <c r="Y10" s="402" t="s">
        <v>983</v>
      </c>
      <c r="Z10" s="402" t="s">
        <v>984</v>
      </c>
    </row>
    <row r="11" spans="1:26" ht="13.5" thickBot="1" x14ac:dyDescent="0.25">
      <c r="A11" s="396" t="s">
        <v>320</v>
      </c>
      <c r="B11" s="510" t="s">
        <v>985</v>
      </c>
      <c r="C11" s="80" t="s">
        <v>986</v>
      </c>
      <c r="D11" s="81" t="s">
        <v>987</v>
      </c>
      <c r="E11" s="80" t="s">
        <v>988</v>
      </c>
      <c r="F11" s="80" t="s">
        <v>988</v>
      </c>
      <c r="G11" s="403" t="s">
        <v>988</v>
      </c>
      <c r="H11" s="80" t="s">
        <v>988</v>
      </c>
      <c r="I11" s="80" t="s">
        <v>1694</v>
      </c>
      <c r="J11" s="80" t="s">
        <v>988</v>
      </c>
      <c r="K11" s="80" t="s">
        <v>1691</v>
      </c>
      <c r="L11" s="80" t="s">
        <v>988</v>
      </c>
      <c r="M11" s="82"/>
      <c r="N11" s="403" t="s">
        <v>987</v>
      </c>
      <c r="O11" s="403" t="s">
        <v>988</v>
      </c>
      <c r="P11" s="403" t="s">
        <v>988</v>
      </c>
      <c r="Q11" s="403" t="s">
        <v>988</v>
      </c>
      <c r="R11" s="80" t="s">
        <v>988</v>
      </c>
      <c r="S11" s="80" t="s">
        <v>1694</v>
      </c>
      <c r="T11" s="80" t="s">
        <v>988</v>
      </c>
      <c r="U11" s="80" t="s">
        <v>988</v>
      </c>
      <c r="V11" s="82"/>
      <c r="W11" s="80" t="s">
        <v>1695</v>
      </c>
      <c r="X11" s="82" t="s">
        <v>1696</v>
      </c>
      <c r="Y11" s="400" t="s">
        <v>1697</v>
      </c>
      <c r="Z11" s="400" t="s">
        <v>1698</v>
      </c>
    </row>
    <row r="12" spans="1:26" x14ac:dyDescent="0.2">
      <c r="A12" s="395">
        <v>1</v>
      </c>
      <c r="B12" s="494">
        <v>0</v>
      </c>
      <c r="C12" s="68">
        <v>0</v>
      </c>
      <c r="D12" s="83">
        <f>IF($C12&gt;1000,($C12-1000)*$F$40/100+1000*$F$39/100+$F$36,$C12*$F$39/100+$F$36)</f>
        <v>21.299999999999997</v>
      </c>
      <c r="E12" s="84">
        <f>IF($C12&gt;1000,($C12-1000)*$F$43/100+1000*$F$42/100,$C12*$F$42/100)</f>
        <v>0</v>
      </c>
      <c r="F12" s="84">
        <f>+$C12*$F$44/100</f>
        <v>0</v>
      </c>
      <c r="G12" s="84">
        <f>+$C12*$F$45/100</f>
        <v>0</v>
      </c>
      <c r="H12" s="84">
        <f>$C12*$F$47/100</f>
        <v>0</v>
      </c>
      <c r="I12" s="84">
        <f>$C12*$F$46/100</f>
        <v>0</v>
      </c>
      <c r="J12" s="84">
        <f>$C12*$F$48/100</f>
        <v>0</v>
      </c>
      <c r="K12" s="84">
        <f>+C12*$F$49/100</f>
        <v>0</v>
      </c>
      <c r="L12" s="84">
        <f>+SUM(D12:K12)*0.025641</f>
        <v>0.54615329999999995</v>
      </c>
      <c r="M12" s="84">
        <f>SUM(D12:L12)</f>
        <v>21.846153299999997</v>
      </c>
      <c r="N12" s="85">
        <f>IF($C12&gt;1000,($C12-1000)*$I$40/100+1000*$I$39/100+$I$36,$C12*$I$39/100+$I$36)</f>
        <v>32.1</v>
      </c>
      <c r="O12" s="84">
        <f>IF($C12&gt;1000,($C12-1000)*$I$43/100+1000*$I$42/100,$C12*$I$42/100)</f>
        <v>0</v>
      </c>
      <c r="P12" s="84">
        <f>+$C12*$I$44/100</f>
        <v>0</v>
      </c>
      <c r="Q12" s="84">
        <f>+$C12*$I$45/100</f>
        <v>0</v>
      </c>
      <c r="R12" s="84">
        <f>$C12*$I$47/100</f>
        <v>0</v>
      </c>
      <c r="S12" s="84">
        <f>$C12*$I$46/100</f>
        <v>0</v>
      </c>
      <c r="T12" s="84">
        <f>$C12*$I$48/100</f>
        <v>0</v>
      </c>
      <c r="U12" s="84">
        <f>+SUM(N12:T12)*0.025641</f>
        <v>0.82307610000000009</v>
      </c>
      <c r="V12" s="84">
        <f>SUM(N12:U12)</f>
        <v>32.923076100000003</v>
      </c>
      <c r="W12" s="85">
        <f>+V12-M12</f>
        <v>11.076922800000006</v>
      </c>
      <c r="X12" s="86">
        <f>+W12/M12</f>
        <v>0.50704225352112708</v>
      </c>
      <c r="Y12" s="87">
        <v>0</v>
      </c>
      <c r="Z12" s="88">
        <v>0</v>
      </c>
    </row>
    <row r="13" spans="1:26" x14ac:dyDescent="0.2">
      <c r="A13" s="395">
        <v>2</v>
      </c>
      <c r="B13" s="494"/>
      <c r="C13" s="68"/>
      <c r="D13" s="83"/>
      <c r="E13" s="84"/>
      <c r="F13" s="84"/>
      <c r="G13" s="84"/>
      <c r="H13" s="84"/>
      <c r="I13" s="84"/>
      <c r="J13" s="84"/>
      <c r="K13" s="84"/>
      <c r="L13" s="84"/>
      <c r="M13" s="84"/>
      <c r="N13" s="83"/>
      <c r="O13" s="84"/>
      <c r="P13" s="84"/>
      <c r="Q13" s="84"/>
      <c r="R13" s="84"/>
      <c r="S13" s="84"/>
      <c r="T13" s="84"/>
      <c r="U13" s="84"/>
      <c r="V13" s="84"/>
      <c r="W13" s="83"/>
      <c r="X13" s="86"/>
      <c r="Y13" s="89"/>
      <c r="Z13" s="88"/>
    </row>
    <row r="14" spans="1:26" x14ac:dyDescent="0.2">
      <c r="A14" s="395">
        <v>3</v>
      </c>
      <c r="B14" s="494">
        <v>0</v>
      </c>
      <c r="C14" s="68">
        <v>100</v>
      </c>
      <c r="D14" s="83">
        <f>IF(C14&gt;1000,(C14-1000)*$F$40/100+1000*$F$39/100+$F$36,C14*$F$39/100+$F$36)</f>
        <v>27.949999999999996</v>
      </c>
      <c r="E14" s="84">
        <f>IF($C14&gt;1000,($C14-1000)*$F$43/100+1000*$F$42/100,$C14*$F$42/100)</f>
        <v>3.536</v>
      </c>
      <c r="F14" s="84">
        <f>+$C14*$F$44/100</f>
        <v>0.215</v>
      </c>
      <c r="G14" s="84">
        <f>+$C14*$F$45/100</f>
        <v>6.2E-2</v>
      </c>
      <c r="H14" s="84">
        <f>$C14*$F$47/100</f>
        <v>8.900000000000001E-2</v>
      </c>
      <c r="I14" s="84">
        <f>$C14*$F$46/100</f>
        <v>0.43</v>
      </c>
      <c r="J14" s="84">
        <f>$C14*$F$48/100</f>
        <v>0.65799999999999992</v>
      </c>
      <c r="K14" s="84">
        <f>+C14*$F$49/100</f>
        <v>0.21899999999999997</v>
      </c>
      <c r="L14" s="84">
        <f>+SUM(D14:K14)*0.025641</f>
        <v>0.850229919</v>
      </c>
      <c r="M14" s="84">
        <f>SUM(D14:L14)</f>
        <v>34.009229918999999</v>
      </c>
      <c r="N14" s="83">
        <f>IF($C14&gt;1000,($C14-1000)*$I$40/100+1000*$I$39/100+$I$36,$C14*$I$39/100+$I$36)</f>
        <v>39.591000000000001</v>
      </c>
      <c r="O14" s="84">
        <f>IF($C14&gt;1000,($C14-1000)*$I$43/100+1000*$I$42/100,$C14*$I$42/100)</f>
        <v>3.536</v>
      </c>
      <c r="P14" s="84">
        <f>+$C14*$I$44/100</f>
        <v>0.215</v>
      </c>
      <c r="Q14" s="84">
        <f>+$C14*$I$45/100</f>
        <v>6.2E-2</v>
      </c>
      <c r="R14" s="84">
        <f>$C14*$I$47/100</f>
        <v>8.900000000000001E-2</v>
      </c>
      <c r="S14" s="84">
        <f>$C14*$I$46/100</f>
        <v>0.43</v>
      </c>
      <c r="T14" s="84">
        <f>$C14*$I$48/100</f>
        <v>0.65799999999999992</v>
      </c>
      <c r="U14" s="84">
        <f>+SUM(N14:T14)*0.025641</f>
        <v>1.1431014210000001</v>
      </c>
      <c r="V14" s="84">
        <f>SUM(N14:U14)</f>
        <v>45.724101421</v>
      </c>
      <c r="W14" s="83">
        <f>+V14-M14</f>
        <v>11.714871502000001</v>
      </c>
      <c r="X14" s="86">
        <f>+W14/M14</f>
        <v>0.34446153382188854</v>
      </c>
      <c r="Y14" s="90">
        <f>+M14/C14*100</f>
        <v>34.009229918999999</v>
      </c>
      <c r="Z14" s="91">
        <f>+V14/C14*100</f>
        <v>45.724101421</v>
      </c>
    </row>
    <row r="15" spans="1:26" x14ac:dyDescent="0.2">
      <c r="A15" s="395">
        <v>4</v>
      </c>
      <c r="B15" s="494"/>
      <c r="C15" s="68"/>
      <c r="D15" s="83"/>
      <c r="E15" s="84"/>
      <c r="F15" s="84"/>
      <c r="G15" s="84"/>
      <c r="H15" s="84"/>
      <c r="I15" s="84"/>
      <c r="J15" s="84"/>
      <c r="K15" s="84"/>
      <c r="L15" s="84"/>
      <c r="M15" s="84"/>
      <c r="N15" s="83"/>
      <c r="O15" s="84"/>
      <c r="P15" s="84"/>
      <c r="Q15" s="84"/>
      <c r="R15" s="84"/>
      <c r="S15" s="84"/>
      <c r="T15" s="84"/>
      <c r="U15" s="84"/>
      <c r="V15" s="84"/>
      <c r="W15" s="83"/>
      <c r="X15" s="86"/>
      <c r="Y15" s="90"/>
      <c r="Z15" s="91"/>
    </row>
    <row r="16" spans="1:26" x14ac:dyDescent="0.2">
      <c r="A16" s="395">
        <v>5</v>
      </c>
      <c r="B16" s="494">
        <v>0</v>
      </c>
      <c r="C16" s="68">
        <v>250</v>
      </c>
      <c r="D16" s="83">
        <f>IF(C16&gt;1000,(C16-1000)*$F$40/100+1000*$F$39/100+$F$36,C16*$F$39/100+$F$36)</f>
        <v>37.924999999999997</v>
      </c>
      <c r="E16" s="84">
        <f>IF($C16&gt;1000,($C16-1000)*$F$43/100+1000*$F$42/100,$C16*$F$42/100)</f>
        <v>8.8400000000000016</v>
      </c>
      <c r="F16" s="84">
        <f>+$C16*$F$44/100</f>
        <v>0.53749999999999998</v>
      </c>
      <c r="G16" s="84">
        <f>+$C16*$F$45/100</f>
        <v>0.155</v>
      </c>
      <c r="H16" s="84">
        <f>$C16*$F$47/100</f>
        <v>0.2225</v>
      </c>
      <c r="I16" s="84">
        <f>$C16*$F$46/100</f>
        <v>1.075</v>
      </c>
      <c r="J16" s="84">
        <f>$C16*$F$48/100</f>
        <v>1.645</v>
      </c>
      <c r="K16" s="84">
        <f>+C16*$F$49/100</f>
        <v>0.54749999999999999</v>
      </c>
      <c r="L16" s="84">
        <f>+SUM(D16:K16)*0.025641</f>
        <v>1.3063448475000001</v>
      </c>
      <c r="M16" s="84">
        <f>SUM(D16:L16)</f>
        <v>52.253844847500005</v>
      </c>
      <c r="N16" s="83">
        <f>IF($C16&gt;1000,($C16-1000)*$I$40/100+1000*$I$39/100+$I$36,$C16*$I$39/100+$I$36)</f>
        <v>50.827500000000001</v>
      </c>
      <c r="O16" s="84">
        <f>IF($C16&gt;1000,($C16-1000)*$I$43/100+1000*$I$42/100,$C16*$I$42/100)</f>
        <v>8.8400000000000016</v>
      </c>
      <c r="P16" s="84">
        <f>+$C16*$I$44/100</f>
        <v>0.53749999999999998</v>
      </c>
      <c r="Q16" s="84">
        <f>+$C16*$I$45/100</f>
        <v>0.155</v>
      </c>
      <c r="R16" s="84">
        <f>$C16*$I$47/100</f>
        <v>0.2225</v>
      </c>
      <c r="S16" s="84">
        <f>$C16*$I$46/100</f>
        <v>1.075</v>
      </c>
      <c r="T16" s="84">
        <f>$C16*$I$48/100</f>
        <v>1.645</v>
      </c>
      <c r="U16" s="84">
        <f>+SUM(N16:T16)*0.025641</f>
        <v>1.6231394025000003</v>
      </c>
      <c r="V16" s="84">
        <f>SUM(N16:U16)</f>
        <v>64.925639402500011</v>
      </c>
      <c r="W16" s="83">
        <f>+V16-M16</f>
        <v>12.671794555000005</v>
      </c>
      <c r="X16" s="86">
        <f>+W16/M16</f>
        <v>0.24250453898621138</v>
      </c>
      <c r="Y16" s="90">
        <f>+M16/C16*100</f>
        <v>20.901537939000004</v>
      </c>
      <c r="Z16" s="91">
        <f>+V16/C16*100</f>
        <v>25.970255761000004</v>
      </c>
    </row>
    <row r="17" spans="1:26" x14ac:dyDescent="0.2">
      <c r="A17" s="395">
        <v>6</v>
      </c>
      <c r="B17" s="494"/>
      <c r="C17" s="68"/>
      <c r="D17" s="83"/>
      <c r="E17" s="84"/>
      <c r="F17" s="84"/>
      <c r="G17" s="84"/>
      <c r="H17" s="84"/>
      <c r="I17" s="84"/>
      <c r="J17" s="84"/>
      <c r="K17" s="84"/>
      <c r="L17" s="84"/>
      <c r="M17" s="84"/>
      <c r="N17" s="83"/>
      <c r="O17" s="84"/>
      <c r="P17" s="84"/>
      <c r="Q17" s="84"/>
      <c r="R17" s="84"/>
      <c r="S17" s="84"/>
      <c r="T17" s="84"/>
      <c r="U17" s="84"/>
      <c r="V17" s="84"/>
      <c r="W17" s="83"/>
      <c r="X17" s="86"/>
      <c r="Y17" s="90"/>
      <c r="Z17" s="91"/>
    </row>
    <row r="18" spans="1:26" x14ac:dyDescent="0.2">
      <c r="A18" s="395">
        <v>7</v>
      </c>
      <c r="B18" s="494">
        <v>0</v>
      </c>
      <c r="C18" s="68">
        <v>500</v>
      </c>
      <c r="D18" s="83">
        <f>IF(C18&gt;1000,(C18-1000)*$F$40/100+1000*$F$39/100+$F$36,C18*$F$39/100+$F$36)</f>
        <v>54.55</v>
      </c>
      <c r="E18" s="84">
        <f>IF($C18&gt;1000,($C18-1000)*$F$43/100+1000*$F$42/100,$C18*$F$42/100)</f>
        <v>17.680000000000003</v>
      </c>
      <c r="F18" s="84">
        <f>+$C18*$F$44/100</f>
        <v>1.075</v>
      </c>
      <c r="G18" s="84">
        <f>+$C18*$F$45/100</f>
        <v>0.31</v>
      </c>
      <c r="H18" s="84">
        <f>$C18*$F$47/100</f>
        <v>0.44500000000000001</v>
      </c>
      <c r="I18" s="84">
        <f>$C18*$F$46/100</f>
        <v>2.15</v>
      </c>
      <c r="J18" s="84">
        <f>$C18*$F$48/100</f>
        <v>3.29</v>
      </c>
      <c r="K18" s="84">
        <f>+C18*$F$49/100</f>
        <v>1.095</v>
      </c>
      <c r="L18" s="84">
        <f>+SUM(D18:K18)*0.025641</f>
        <v>2.0665363950000004</v>
      </c>
      <c r="M18" s="84">
        <f>SUM(D18:L18)</f>
        <v>82.661536395000013</v>
      </c>
      <c r="N18" s="83">
        <f>IF($C18&gt;1000,($C18-1000)*$I$40/100+1000*$I$39/100+$I$36,$C18*$I$39/100+$I$36)</f>
        <v>69.555000000000007</v>
      </c>
      <c r="O18" s="84">
        <f>IF($C18&gt;1000,($C18-1000)*$I$43/100+1000*$I$42/100,$C18*$I$42/100)</f>
        <v>17.680000000000003</v>
      </c>
      <c r="P18" s="84">
        <f>+$C18*$I$44/100</f>
        <v>1.075</v>
      </c>
      <c r="Q18" s="84">
        <f>+$C18*$I$45/100</f>
        <v>0.31</v>
      </c>
      <c r="R18" s="84">
        <f>$C18*$I$47/100</f>
        <v>0.44500000000000001</v>
      </c>
      <c r="S18" s="84">
        <f>$C18*$I$46/100</f>
        <v>2.15</v>
      </c>
      <c r="T18" s="84">
        <f>$C18*$I$48/100</f>
        <v>3.29</v>
      </c>
      <c r="U18" s="84">
        <f>+SUM(N18:T18)*0.025641</f>
        <v>2.4232027050000005</v>
      </c>
      <c r="V18" s="84">
        <f>SUM(N18:U18)</f>
        <v>96.928202705000018</v>
      </c>
      <c r="W18" s="83">
        <f>+V18-M18</f>
        <v>14.266666310000005</v>
      </c>
      <c r="X18" s="86">
        <f>+W18/M18</f>
        <v>0.1725913518208326</v>
      </c>
      <c r="Y18" s="90">
        <f>+M18/C18*100</f>
        <v>16.532307279000001</v>
      </c>
      <c r="Z18" s="91">
        <f>+V18/C18*100</f>
        <v>19.385640541000004</v>
      </c>
    </row>
    <row r="19" spans="1:26" x14ac:dyDescent="0.2">
      <c r="A19" s="395">
        <v>8</v>
      </c>
      <c r="B19" s="494"/>
      <c r="C19" s="68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3"/>
      <c r="O19" s="84"/>
      <c r="P19" s="84"/>
      <c r="Q19" s="84"/>
      <c r="R19" s="84"/>
      <c r="S19" s="84"/>
      <c r="T19" s="84"/>
      <c r="U19" s="84"/>
      <c r="V19" s="84"/>
      <c r="W19" s="83"/>
      <c r="X19" s="86"/>
      <c r="Y19" s="90"/>
      <c r="Z19" s="91"/>
    </row>
    <row r="20" spans="1:26" x14ac:dyDescent="0.2">
      <c r="A20" s="395">
        <v>9</v>
      </c>
      <c r="B20" s="494">
        <v>0</v>
      </c>
      <c r="C20" s="68">
        <v>750</v>
      </c>
      <c r="D20" s="83">
        <f>IF(C20&gt;1000,(C20-1000)*$F$40/100+1000*$F$39/100+$F$36,C20*$F$39/100+$F$36)</f>
        <v>71.174999999999997</v>
      </c>
      <c r="E20" s="84">
        <f>IF($C20&gt;1000,($C20-1000)*$F$43/100+1000*$F$42/100,$C20*$F$42/100)</f>
        <v>26.520000000000003</v>
      </c>
      <c r="F20" s="84">
        <f>+$C20*$F$44/100</f>
        <v>1.6125</v>
      </c>
      <c r="G20" s="84">
        <f>+$C20*$F$45/100</f>
        <v>0.46500000000000002</v>
      </c>
      <c r="H20" s="84">
        <f>$C20*$F$47/100</f>
        <v>0.66749999999999998</v>
      </c>
      <c r="I20" s="84">
        <f>$C20*$F$46/100</f>
        <v>3.2250000000000001</v>
      </c>
      <c r="J20" s="84">
        <f>$C20*$F$48/100</f>
        <v>4.9349999999999996</v>
      </c>
      <c r="K20" s="84">
        <f>+C20*$F$49/100</f>
        <v>1.6425000000000001</v>
      </c>
      <c r="L20" s="84">
        <f>+SUM(D20:K20)*0.025641</f>
        <v>2.8267279424999998</v>
      </c>
      <c r="M20" s="84">
        <f>SUM(D20:L20)</f>
        <v>113.06922794249999</v>
      </c>
      <c r="N20" s="83">
        <f>IF($C20&gt;1000,($C20-1000)*$I$40/100+1000*$I$39/100+$I$36,$C20*$I$39/100+$I$36)</f>
        <v>88.282499999999999</v>
      </c>
      <c r="O20" s="84">
        <f>IF($C20&gt;1000,($C20-1000)*$I$43/100+1000*$I$42/100,$C20*$I$42/100)</f>
        <v>26.520000000000003</v>
      </c>
      <c r="P20" s="84">
        <f>+$C20*$I$44/100</f>
        <v>1.6125</v>
      </c>
      <c r="Q20" s="84">
        <f>+$C20*$I$45/100</f>
        <v>0.46500000000000002</v>
      </c>
      <c r="R20" s="84">
        <f>$C20*$I$47/100</f>
        <v>0.66749999999999998</v>
      </c>
      <c r="S20" s="84">
        <f>$C20*$I$46/100</f>
        <v>3.2250000000000001</v>
      </c>
      <c r="T20" s="84">
        <f>$C20*$I$48/100</f>
        <v>4.9349999999999996</v>
      </c>
      <c r="U20" s="84">
        <f>+SUM(N20:T20)*0.025641</f>
        <v>3.2232660075000004</v>
      </c>
      <c r="V20" s="84">
        <f>SUM(N20:U20)</f>
        <v>128.93076600750001</v>
      </c>
      <c r="W20" s="83">
        <f>+V20-M20</f>
        <v>15.861538065000019</v>
      </c>
      <c r="X20" s="86">
        <f>+W20/M20</f>
        <v>0.14028165181304869</v>
      </c>
      <c r="Y20" s="90">
        <f>+M20/C20*100</f>
        <v>15.075897058999999</v>
      </c>
      <c r="Z20" s="91">
        <f>+V20/C20*100</f>
        <v>17.190768801000001</v>
      </c>
    </row>
    <row r="21" spans="1:26" x14ac:dyDescent="0.2">
      <c r="A21" s="395">
        <v>10</v>
      </c>
      <c r="B21" s="494"/>
      <c r="C21" s="68"/>
      <c r="D21" s="83"/>
      <c r="E21" s="84"/>
      <c r="F21" s="84"/>
      <c r="G21" s="84"/>
      <c r="H21" s="84"/>
      <c r="I21" s="84"/>
      <c r="J21" s="84"/>
      <c r="K21" s="84"/>
      <c r="L21" s="84"/>
      <c r="M21" s="84"/>
      <c r="N21" s="83"/>
      <c r="O21" s="84"/>
      <c r="P21" s="84"/>
      <c r="Q21" s="84"/>
      <c r="R21" s="84"/>
      <c r="S21" s="84"/>
      <c r="T21" s="84"/>
      <c r="U21" s="84"/>
      <c r="V21" s="84"/>
      <c r="W21" s="83"/>
      <c r="X21" s="86"/>
      <c r="Y21" s="90"/>
      <c r="Z21" s="91"/>
    </row>
    <row r="22" spans="1:26" x14ac:dyDescent="0.2">
      <c r="A22" s="395">
        <v>11</v>
      </c>
      <c r="B22" s="494">
        <v>0</v>
      </c>
      <c r="C22" s="68">
        <v>1000</v>
      </c>
      <c r="D22" s="83">
        <f>IF(C22&gt;1000,(C22-1000)*$F$40/100+1000*$F$39/100+$F$36,C22*$F$39/100+$F$36)</f>
        <v>87.8</v>
      </c>
      <c r="E22" s="84">
        <f>IF($C22&gt;1000,($C22-1000)*$F$43/100+1000*$F$42/100,$C22*$F$42/100)</f>
        <v>35.360000000000007</v>
      </c>
      <c r="F22" s="84">
        <f>+$C22*$F$44/100</f>
        <v>2.15</v>
      </c>
      <c r="G22" s="84">
        <f>+$C22*$F$45/100</f>
        <v>0.62</v>
      </c>
      <c r="H22" s="84">
        <f>$C22*$F$47/100</f>
        <v>0.89</v>
      </c>
      <c r="I22" s="84">
        <f>$C22*$F$46/100</f>
        <v>4.3</v>
      </c>
      <c r="J22" s="84">
        <f>$C22*$F$48/100</f>
        <v>6.58</v>
      </c>
      <c r="K22" s="84">
        <f>+C22*$F$49/100</f>
        <v>2.19</v>
      </c>
      <c r="L22" s="84">
        <f>+SUM(D22:K22)*0.025641</f>
        <v>3.5869194900000005</v>
      </c>
      <c r="M22" s="84">
        <f>SUM(D22:L22)</f>
        <v>143.47691949000003</v>
      </c>
      <c r="N22" s="83">
        <f>IF($C22&gt;1000,($C22-1000)*$I$40/100+1000*$I$39/100+$I$36,$C22*$I$39/100+$I$36)</f>
        <v>107.01000000000002</v>
      </c>
      <c r="O22" s="84">
        <f>IF($C22&gt;1000,($C22-1000)*$I$43/100+1000*$I$42/100,$C22*$I$42/100)</f>
        <v>35.360000000000007</v>
      </c>
      <c r="P22" s="84">
        <f>+$C22*$I$44/100</f>
        <v>2.15</v>
      </c>
      <c r="Q22" s="84">
        <f>+$C22*$I$45/100</f>
        <v>0.62</v>
      </c>
      <c r="R22" s="84">
        <f>$C22*$I$47/100</f>
        <v>0.89</v>
      </c>
      <c r="S22" s="84">
        <f>$C22*$I$46/100</f>
        <v>4.3</v>
      </c>
      <c r="T22" s="84">
        <f>$C22*$I$48/100</f>
        <v>6.58</v>
      </c>
      <c r="U22" s="84">
        <f>+SUM(N22:T22)*0.025641</f>
        <v>4.0233293100000012</v>
      </c>
      <c r="V22" s="84">
        <f>SUM(N22:U22)</f>
        <v>160.93332931000006</v>
      </c>
      <c r="W22" s="83">
        <f>+V22-M22</f>
        <v>17.456409820000033</v>
      </c>
      <c r="X22" s="86">
        <f>+W22/M22</f>
        <v>0.12166702409035692</v>
      </c>
      <c r="Y22" s="90">
        <f>+M22/C22*100</f>
        <v>14.347691949000001</v>
      </c>
      <c r="Z22" s="91">
        <f>+V22/C22*100</f>
        <v>16.093332931000006</v>
      </c>
    </row>
    <row r="23" spans="1:26" x14ac:dyDescent="0.2">
      <c r="A23" s="395">
        <v>12</v>
      </c>
      <c r="B23" s="494"/>
      <c r="C23" s="68"/>
      <c r="D23" s="83"/>
      <c r="E23" s="84"/>
      <c r="F23" s="84"/>
      <c r="G23" s="84"/>
      <c r="H23" s="84"/>
      <c r="I23" s="84"/>
      <c r="J23" s="84"/>
      <c r="K23" s="84"/>
      <c r="L23" s="84"/>
      <c r="M23" s="84"/>
      <c r="N23" s="83"/>
      <c r="O23" s="84"/>
      <c r="P23" s="84"/>
      <c r="Q23" s="84"/>
      <c r="R23" s="84"/>
      <c r="S23" s="84"/>
      <c r="T23" s="84"/>
      <c r="U23" s="84"/>
      <c r="V23" s="84"/>
      <c r="W23" s="83"/>
      <c r="X23" s="86"/>
      <c r="Y23" s="90"/>
      <c r="Z23" s="91"/>
    </row>
    <row r="24" spans="1:26" x14ac:dyDescent="0.2">
      <c r="A24" s="395">
        <v>13</v>
      </c>
      <c r="B24" s="494">
        <v>0</v>
      </c>
      <c r="C24" s="68">
        <v>1250</v>
      </c>
      <c r="D24" s="83">
        <f>IF(C24&gt;1000,(C24-1000)*$F$40/100+1000*$F$39/100+$F$36,C24*$F$39/100+$F$36)</f>
        <v>107.30499999999999</v>
      </c>
      <c r="E24" s="84">
        <f>IF($C24&gt;1000,($C24-1000)*$F$43/100+1000*$F$42/100,$C24*$F$42/100)</f>
        <v>46.7</v>
      </c>
      <c r="F24" s="84">
        <f>+$C24*$F$44/100</f>
        <v>2.6875</v>
      </c>
      <c r="G24" s="84">
        <f>+$C24*$F$45/100</f>
        <v>0.77500000000000002</v>
      </c>
      <c r="H24" s="84">
        <f>$C24*$F$47/100</f>
        <v>1.1125</v>
      </c>
      <c r="I24" s="84">
        <f>$C24*$F$46/100</f>
        <v>5.375</v>
      </c>
      <c r="J24" s="84">
        <f>$C24*$F$48/100</f>
        <v>8.2249999999999996</v>
      </c>
      <c r="K24" s="84">
        <f>+C24*$F$49/100</f>
        <v>2.7374999999999998</v>
      </c>
      <c r="L24" s="84">
        <f>+SUM(D24:K24)*0.025641</f>
        <v>4.4850596175000002</v>
      </c>
      <c r="M24" s="84">
        <f>SUM(D24:L24)</f>
        <v>179.40255961750003</v>
      </c>
      <c r="N24" s="83">
        <f>IF($C24&gt;1000,($C24-1000)*$I$40/100+1000*$I$39/100+$I$36,$C24*$I$39/100+$I$36)</f>
        <v>128.23750000000001</v>
      </c>
      <c r="O24" s="84">
        <f>IF($C24&gt;1000,($C24-1000)*$I$43/100+1000*$I$42/100,$C24*$I$42/100)</f>
        <v>46.7</v>
      </c>
      <c r="P24" s="84">
        <f>+$C24*$I$44/100</f>
        <v>2.6875</v>
      </c>
      <c r="Q24" s="84">
        <f>+$C24*$I$45/100</f>
        <v>0.77500000000000002</v>
      </c>
      <c r="R24" s="84">
        <f>$C24*$I$47/100</f>
        <v>1.1125</v>
      </c>
      <c r="S24" s="84">
        <f>$C24*$I$46/100</f>
        <v>5.375</v>
      </c>
      <c r="T24" s="84">
        <f>$C24*$I$48/100</f>
        <v>8.2249999999999996</v>
      </c>
      <c r="U24" s="84">
        <f>+SUM(N24:T24)*0.025641</f>
        <v>4.9515976125000005</v>
      </c>
      <c r="V24" s="84">
        <f>SUM(N24:U24)</f>
        <v>198.06409761250001</v>
      </c>
      <c r="W24" s="83">
        <f>+V24-M24</f>
        <v>18.661537994999975</v>
      </c>
      <c r="X24" s="86">
        <f>+W24/M24</f>
        <v>0.10402046679148726</v>
      </c>
      <c r="Y24" s="90">
        <f>+M24/C24*100</f>
        <v>14.352204769400004</v>
      </c>
      <c r="Z24" s="91">
        <f>+V24/C24*100</f>
        <v>15.845127809000001</v>
      </c>
    </row>
    <row r="25" spans="1:26" x14ac:dyDescent="0.2">
      <c r="A25" s="395">
        <v>14</v>
      </c>
      <c r="B25" s="494"/>
      <c r="C25" s="68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3"/>
      <c r="O25" s="84"/>
      <c r="P25" s="84"/>
      <c r="Q25" s="84"/>
      <c r="R25" s="84"/>
      <c r="S25" s="84"/>
      <c r="T25" s="84"/>
      <c r="U25" s="84"/>
      <c r="V25" s="84"/>
      <c r="W25" s="83"/>
      <c r="X25" s="86"/>
      <c r="Y25" s="90"/>
      <c r="Z25" s="91"/>
    </row>
    <row r="26" spans="1:26" x14ac:dyDescent="0.2">
      <c r="A26" s="395">
        <v>15</v>
      </c>
      <c r="B26" s="494">
        <v>0</v>
      </c>
      <c r="C26" s="68">
        <v>1500</v>
      </c>
      <c r="D26" s="83">
        <f>IF(C26&gt;1000,(C26-1000)*$F$40/100+1000*$F$39/100+$F$36,C26*$F$39/100+$F$36)</f>
        <v>126.81</v>
      </c>
      <c r="E26" s="84">
        <f>IF($C26&gt;1000,($C26-1000)*$F$43/100+1000*$F$42/100,$C26*$F$42/100)</f>
        <v>58.040000000000006</v>
      </c>
      <c r="F26" s="84">
        <f>+$C26*$F$44/100</f>
        <v>3.2250000000000001</v>
      </c>
      <c r="G26" s="84">
        <f>+$C26*$F$45/100</f>
        <v>0.93</v>
      </c>
      <c r="H26" s="84">
        <f>$C26*$F$47/100</f>
        <v>1.335</v>
      </c>
      <c r="I26" s="84">
        <f>$C26*$F$46/100</f>
        <v>6.45</v>
      </c>
      <c r="J26" s="84">
        <f>$C26*$F$48/100</f>
        <v>9.8699999999999992</v>
      </c>
      <c r="K26" s="84">
        <f>+C26*$F$49/100</f>
        <v>3.2850000000000001</v>
      </c>
      <c r="L26" s="84">
        <f>+SUM(D26:K26)*0.025641</f>
        <v>5.3831997450000006</v>
      </c>
      <c r="M26" s="84">
        <f>SUM(D26:L26)</f>
        <v>215.32819974500003</v>
      </c>
      <c r="N26" s="83">
        <f>IF($C26&gt;1000,($C26-1000)*$I$40/100+1000*$I$39/100+$I$36,$C26*$I$39/100+$I$36)</f>
        <v>149.465</v>
      </c>
      <c r="O26" s="84">
        <f>IF($C26&gt;1000,($C26-1000)*$I$43/100+1000*$I$42/100,$C26*$I$42/100)</f>
        <v>58.040000000000006</v>
      </c>
      <c r="P26" s="84">
        <f>+$C26*$I$44/100</f>
        <v>3.2250000000000001</v>
      </c>
      <c r="Q26" s="84">
        <f>+$C26*$I$45/100</f>
        <v>0.93</v>
      </c>
      <c r="R26" s="84">
        <f>$C26*$I$47/100</f>
        <v>1.335</v>
      </c>
      <c r="S26" s="84">
        <f>$C26*$I$46/100</f>
        <v>6.45</v>
      </c>
      <c r="T26" s="84">
        <f>$C26*$I$48/100</f>
        <v>9.8699999999999992</v>
      </c>
      <c r="U26" s="84">
        <f>+SUM(N26:T26)*0.025641</f>
        <v>5.8798659149999999</v>
      </c>
      <c r="V26" s="84">
        <f>SUM(N26:U26)</f>
        <v>235.19486591500001</v>
      </c>
      <c r="W26" s="83">
        <f>+V26-M26</f>
        <v>19.866666169999974</v>
      </c>
      <c r="X26" s="86">
        <f>+W26/M26</f>
        <v>9.2262259163114008E-2</v>
      </c>
      <c r="Y26" s="90">
        <f>+M26/C26*100</f>
        <v>14.355213316333334</v>
      </c>
      <c r="Z26" s="91">
        <f>+V26/C26*100</f>
        <v>15.679657727666669</v>
      </c>
    </row>
    <row r="27" spans="1:26" x14ac:dyDescent="0.2">
      <c r="A27" s="395">
        <v>16</v>
      </c>
      <c r="B27" s="494"/>
      <c r="C27" s="68"/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3"/>
      <c r="O27" s="84"/>
      <c r="P27" s="84"/>
      <c r="Q27" s="84"/>
      <c r="R27" s="84"/>
      <c r="S27" s="84"/>
      <c r="T27" s="84"/>
      <c r="U27" s="84"/>
      <c r="V27" s="84"/>
      <c r="W27" s="83"/>
      <c r="X27" s="86"/>
      <c r="Y27" s="90"/>
      <c r="Z27" s="91"/>
    </row>
    <row r="28" spans="1:26" x14ac:dyDescent="0.2">
      <c r="A28" s="395">
        <v>17</v>
      </c>
      <c r="B28" s="494">
        <v>0</v>
      </c>
      <c r="C28" s="68">
        <v>2000</v>
      </c>
      <c r="D28" s="83">
        <f>IF(C28&gt;1000,(C28-1000)*$F$40/100+1000*$F$39/100+$F$36,C28*$F$39/100+$F$36)</f>
        <v>165.82</v>
      </c>
      <c r="E28" s="84">
        <f>IF($C28&gt;1000,($C28-1000)*$F$43/100+1000*$F$42/100,$C28*$F$42/100)</f>
        <v>80.72</v>
      </c>
      <c r="F28" s="84">
        <f>+$C28*$F$44/100</f>
        <v>4.3</v>
      </c>
      <c r="G28" s="84">
        <f>+$C28*$F$45/100</f>
        <v>1.24</v>
      </c>
      <c r="H28" s="84">
        <f>$C28*$F$47/100</f>
        <v>1.78</v>
      </c>
      <c r="I28" s="84">
        <f>$C28*$F$46/100</f>
        <v>8.6</v>
      </c>
      <c r="J28" s="84">
        <f>$C28*$F$48/100</f>
        <v>13.16</v>
      </c>
      <c r="K28" s="84">
        <f>+C28*$F$49/100</f>
        <v>4.38</v>
      </c>
      <c r="L28" s="84">
        <f>+SUM(D28:K28)*0.025641</f>
        <v>7.1794800000000016</v>
      </c>
      <c r="M28" s="84">
        <f>SUM(D28:L28)</f>
        <v>287.17948000000007</v>
      </c>
      <c r="N28" s="83">
        <f>IF($C28&gt;1000,($C28-1000)*$I$40/100+1000*$I$39/100+$I$36,$C28*$I$39/100+$I$36)</f>
        <v>191.92</v>
      </c>
      <c r="O28" s="84">
        <f>IF($C28&gt;1000,($C28-1000)*$I$43/100+1000*$I$42/100,$C28*$I$42/100)</f>
        <v>80.72</v>
      </c>
      <c r="P28" s="84">
        <f>+$C28*$I$44/100</f>
        <v>4.3</v>
      </c>
      <c r="Q28" s="84">
        <f>+$C28*$I$45/100</f>
        <v>1.24</v>
      </c>
      <c r="R28" s="84">
        <f>$C28*$I$47/100</f>
        <v>1.78</v>
      </c>
      <c r="S28" s="84">
        <f>$C28*$I$46/100</f>
        <v>8.6</v>
      </c>
      <c r="T28" s="84">
        <f>$C28*$I$48/100</f>
        <v>13.16</v>
      </c>
      <c r="U28" s="84">
        <f>+SUM(N28:T28)*0.025641</f>
        <v>7.7364025200000013</v>
      </c>
      <c r="V28" s="84">
        <f>SUM(N28:U28)</f>
        <v>309.45640252000004</v>
      </c>
      <c r="W28" s="83">
        <f>+V28-M28</f>
        <v>22.276922519999971</v>
      </c>
      <c r="X28" s="86">
        <f>+W28/M28</f>
        <v>7.7571428571428458E-2</v>
      </c>
      <c r="Y28" s="90">
        <f>+M28/C28*100</f>
        <v>14.358974000000002</v>
      </c>
      <c r="Z28" s="91">
        <f>+V28/C28*100</f>
        <v>15.472820126000004</v>
      </c>
    </row>
    <row r="29" spans="1:26" x14ac:dyDescent="0.2">
      <c r="A29" s="395">
        <v>18</v>
      </c>
      <c r="B29" s="494"/>
      <c r="C29" s="68"/>
      <c r="D29" s="83"/>
      <c r="E29" s="84"/>
      <c r="F29" s="84"/>
      <c r="G29" s="84"/>
      <c r="H29" s="84"/>
      <c r="I29" s="84"/>
      <c r="J29" s="84"/>
      <c r="K29" s="84"/>
      <c r="L29" s="84"/>
      <c r="M29" s="84"/>
      <c r="N29" s="83"/>
      <c r="O29" s="84"/>
      <c r="P29" s="84"/>
      <c r="Q29" s="84"/>
      <c r="R29" s="84"/>
      <c r="S29" s="84"/>
      <c r="T29" s="84"/>
      <c r="U29" s="84"/>
      <c r="V29" s="84"/>
      <c r="W29" s="83"/>
      <c r="X29" s="86"/>
      <c r="Y29" s="90"/>
      <c r="Z29" s="91"/>
    </row>
    <row r="30" spans="1:26" x14ac:dyDescent="0.2">
      <c r="A30" s="395">
        <v>19</v>
      </c>
      <c r="B30" s="494">
        <v>0</v>
      </c>
      <c r="C30" s="68">
        <v>3000</v>
      </c>
      <c r="D30" s="83">
        <f>IF(C30&gt;1000,(C30-1000)*$F$40/100+1000*$F$39/100+$F$36,C30*$F$39/100+$F$36)</f>
        <v>243.84000000000003</v>
      </c>
      <c r="E30" s="84">
        <f>IF($C30&gt;1000,($C30-1000)*$F$43/100+1000*$F$42/100,$C30*$F$42/100)</f>
        <v>126.08000000000001</v>
      </c>
      <c r="F30" s="84">
        <f>+$C30*$F$44/100</f>
        <v>6.45</v>
      </c>
      <c r="G30" s="84">
        <f>+$C30*$F$45/100</f>
        <v>1.86</v>
      </c>
      <c r="H30" s="84">
        <f>$C30*$F$47/100</f>
        <v>2.67</v>
      </c>
      <c r="I30" s="84">
        <f>$C30*$F$46/100</f>
        <v>12.9</v>
      </c>
      <c r="J30" s="84">
        <f>$C30*$F$48/100</f>
        <v>19.739999999999998</v>
      </c>
      <c r="K30" s="84">
        <f>+C30*$F$49/100</f>
        <v>6.57</v>
      </c>
      <c r="L30" s="84">
        <f>+SUM(D30:K30)*0.025641</f>
        <v>10.772040510000002</v>
      </c>
      <c r="M30" s="84">
        <f>SUM(D30:L30)</f>
        <v>430.88204051000008</v>
      </c>
      <c r="N30" s="83">
        <f>IF($C30&gt;1000,($C30-1000)*$I$40/100+1000*$I$39/100+$I$36,$C30*$I$39/100+$I$36)</f>
        <v>276.83000000000004</v>
      </c>
      <c r="O30" s="84">
        <f>IF($C30&gt;1000,($C30-1000)*$I$43/100+1000*$I$42/100,$C30*$I$42/100)</f>
        <v>126.08000000000001</v>
      </c>
      <c r="P30" s="84">
        <f>+$C30*$I$44/100</f>
        <v>6.45</v>
      </c>
      <c r="Q30" s="84">
        <f>+$C30*$I$45/100</f>
        <v>1.86</v>
      </c>
      <c r="R30" s="84">
        <f>$C30*$I$47/100</f>
        <v>2.67</v>
      </c>
      <c r="S30" s="84">
        <f>$C30*$I$46/100</f>
        <v>12.9</v>
      </c>
      <c r="T30" s="84">
        <f>$C30*$I$48/100</f>
        <v>19.739999999999998</v>
      </c>
      <c r="U30" s="84">
        <f>+SUM(N30:T30)*0.025641</f>
        <v>11.449475730000003</v>
      </c>
      <c r="V30" s="84">
        <f>SUM(N30:U30)</f>
        <v>457.9794757300001</v>
      </c>
      <c r="W30" s="83">
        <f>+V30-M30</f>
        <v>27.097435220000023</v>
      </c>
      <c r="X30" s="86">
        <f>+W30/M30</f>
        <v>6.2888291161838611E-2</v>
      </c>
      <c r="Y30" s="90">
        <f>+M30/C30*100</f>
        <v>14.36273468366667</v>
      </c>
      <c r="Z30" s="91">
        <f>+V30/C30*100</f>
        <v>15.265982524333339</v>
      </c>
    </row>
    <row r="31" spans="1:26" x14ac:dyDescent="0.2">
      <c r="A31" s="395">
        <v>20</v>
      </c>
      <c r="B31" s="494"/>
      <c r="C31" s="68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3"/>
      <c r="O31" s="84"/>
      <c r="P31" s="84"/>
      <c r="Q31" s="84"/>
      <c r="R31" s="84"/>
      <c r="S31" s="84"/>
      <c r="T31" s="84"/>
      <c r="U31" s="84"/>
      <c r="V31" s="84"/>
      <c r="W31" s="83"/>
      <c r="X31" s="86"/>
      <c r="Y31" s="90"/>
      <c r="Z31" s="91"/>
    </row>
    <row r="32" spans="1:26" x14ac:dyDescent="0.2">
      <c r="A32" s="395">
        <v>21</v>
      </c>
      <c r="B32" s="494">
        <v>0</v>
      </c>
      <c r="C32" s="68">
        <v>5000</v>
      </c>
      <c r="D32" s="83">
        <f>IF(C32&gt;1000,(C32-1000)*$F$40/100+1000*$F$39/100+$F$36,C32*$F$39/100+$F$36)</f>
        <v>399.88000000000005</v>
      </c>
      <c r="E32" s="84">
        <f>IF($C32&gt;1000,($C32-1000)*$F$43/100+1000*$F$42/100,$C32*$F$42/100)</f>
        <v>216.8</v>
      </c>
      <c r="F32" s="84">
        <f>+$C32*$F$44/100</f>
        <v>10.75</v>
      </c>
      <c r="G32" s="84">
        <f>+$C32*$F$45/100</f>
        <v>3.1</v>
      </c>
      <c r="H32" s="84">
        <f>$C32*$F$47/100</f>
        <v>4.45</v>
      </c>
      <c r="I32" s="84">
        <f>$C32*$F$46/100</f>
        <v>21.5</v>
      </c>
      <c r="J32" s="84">
        <f>$C32*$F$48/100</f>
        <v>32.9</v>
      </c>
      <c r="K32" s="84">
        <f>+C32*$F$49/100</f>
        <v>10.95</v>
      </c>
      <c r="L32" s="84">
        <f>+SUM(D32:K32)*0.025641</f>
        <v>17.957161530000004</v>
      </c>
      <c r="M32" s="84">
        <f>SUM(D32:L32)</f>
        <v>718.28716153000016</v>
      </c>
      <c r="N32" s="83">
        <f>IF($C32&gt;1000,($C32-1000)*$I$40/100+1000*$I$39/100+$I$36,$C32*$I$39/100+$I$36)</f>
        <v>446.65000000000003</v>
      </c>
      <c r="O32" s="84">
        <f>IF($C32&gt;1000,($C32-1000)*$I$43/100+1000*$I$42/100,$C32*$I$42/100)</f>
        <v>216.8</v>
      </c>
      <c r="P32" s="84">
        <f>+$C32*$I$44/100</f>
        <v>10.75</v>
      </c>
      <c r="Q32" s="84">
        <f>+$C32*$I$45/100</f>
        <v>3.1</v>
      </c>
      <c r="R32" s="84">
        <f>$C32*$I$47/100</f>
        <v>4.45</v>
      </c>
      <c r="S32" s="84">
        <f>$C32*$I$46/100</f>
        <v>21.5</v>
      </c>
      <c r="T32" s="84">
        <f>$C32*$I$48/100</f>
        <v>32.9</v>
      </c>
      <c r="U32" s="84">
        <f>+SUM(N32:T32)*0.025641</f>
        <v>18.875622150000002</v>
      </c>
      <c r="V32" s="84">
        <f>SUM(N32:U32)</f>
        <v>755.02562215000012</v>
      </c>
      <c r="W32" s="83">
        <f>+V32-M32</f>
        <v>36.738460619999955</v>
      </c>
      <c r="X32" s="86">
        <f>+W32/M32</f>
        <v>5.1147316265189195E-2</v>
      </c>
      <c r="Y32" s="90">
        <f>+M32/C32*100</f>
        <v>14.365743230600003</v>
      </c>
      <c r="Z32" s="91">
        <f>+V32/C32*100</f>
        <v>15.100512443000003</v>
      </c>
    </row>
    <row r="33" spans="1:25" x14ac:dyDescent="0.2">
      <c r="A33" s="395">
        <v>22</v>
      </c>
      <c r="B33" s="494"/>
      <c r="C33" s="68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6"/>
      <c r="X33" s="91"/>
      <c r="Y33" s="91"/>
    </row>
    <row r="34" spans="1:25" x14ac:dyDescent="0.2">
      <c r="A34" s="395">
        <v>23</v>
      </c>
      <c r="B34" s="494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x14ac:dyDescent="0.2">
      <c r="A35" s="395">
        <v>24</v>
      </c>
      <c r="B35" s="494"/>
      <c r="C35" s="402"/>
      <c r="D35" s="402"/>
      <c r="E35" s="402"/>
      <c r="F35" s="574" t="s">
        <v>983</v>
      </c>
      <c r="G35" s="574"/>
      <c r="I35" s="574" t="s">
        <v>989</v>
      </c>
      <c r="J35" s="574"/>
      <c r="K35" s="402"/>
      <c r="N35" s="395"/>
      <c r="P35" s="68"/>
      <c r="Q35" s="68"/>
      <c r="R35" s="68"/>
      <c r="S35" s="68"/>
      <c r="T35" s="68"/>
      <c r="U35" s="68"/>
      <c r="V35" s="68"/>
      <c r="W35" s="68"/>
      <c r="X35" s="68"/>
      <c r="Y35" s="68"/>
    </row>
    <row r="36" spans="1:25" x14ac:dyDescent="0.2">
      <c r="A36" s="395">
        <v>25</v>
      </c>
      <c r="B36" s="494"/>
      <c r="C36" s="398" t="s">
        <v>990</v>
      </c>
      <c r="D36" s="402"/>
      <c r="E36" s="402"/>
      <c r="F36" s="515">
        <f>+'2025 RS Rate Class E-13c'!J19*30</f>
        <v>21.299999999999997</v>
      </c>
      <c r="G36" s="398" t="s">
        <v>991</v>
      </c>
      <c r="H36" s="402"/>
      <c r="I36" s="515">
        <f>ROUND(+'2025 RS Rate Class E-13c'!Q19,2)*30</f>
        <v>32.1</v>
      </c>
      <c r="J36" s="398" t="s">
        <v>991</v>
      </c>
      <c r="K36" s="398"/>
      <c r="P36" s="68"/>
      <c r="Q36" s="68"/>
      <c r="R36" s="68"/>
      <c r="S36" s="68"/>
      <c r="T36" s="68"/>
      <c r="U36" s="68"/>
      <c r="V36" s="68"/>
      <c r="W36" s="68"/>
      <c r="X36" s="68"/>
      <c r="Y36" s="68"/>
    </row>
    <row r="37" spans="1:25" x14ac:dyDescent="0.2">
      <c r="A37" s="395">
        <v>26</v>
      </c>
      <c r="B37" s="494"/>
      <c r="C37" s="398" t="s">
        <v>992</v>
      </c>
      <c r="D37" s="402"/>
      <c r="E37" s="402"/>
      <c r="F37" s="515">
        <v>0</v>
      </c>
      <c r="G37" s="398" t="s">
        <v>1018</v>
      </c>
      <c r="H37" s="402"/>
      <c r="I37" s="92">
        <v>0</v>
      </c>
      <c r="J37" s="398" t="s">
        <v>1018</v>
      </c>
      <c r="K37" s="398"/>
      <c r="P37" s="68"/>
      <c r="Q37" s="68"/>
      <c r="R37" s="68"/>
      <c r="S37" s="88"/>
      <c r="T37" s="93"/>
      <c r="U37" s="68"/>
      <c r="V37" s="68"/>
      <c r="W37" s="68"/>
      <c r="X37" s="68"/>
      <c r="Y37" s="68"/>
    </row>
    <row r="38" spans="1:25" x14ac:dyDescent="0.2">
      <c r="A38" s="395">
        <v>27</v>
      </c>
      <c r="B38" s="494"/>
      <c r="C38" s="398" t="s">
        <v>993</v>
      </c>
      <c r="D38" s="402"/>
      <c r="E38" s="402"/>
      <c r="F38" s="515"/>
      <c r="H38" s="402"/>
      <c r="I38" s="516"/>
      <c r="P38" s="68"/>
      <c r="Q38" s="68"/>
      <c r="R38" s="68"/>
      <c r="S38" s="68"/>
      <c r="T38" s="68"/>
      <c r="U38" s="68"/>
      <c r="V38" s="68"/>
      <c r="W38" s="68"/>
      <c r="X38" s="68"/>
      <c r="Y38" s="68"/>
    </row>
    <row r="39" spans="1:25" x14ac:dyDescent="0.2">
      <c r="A39" s="395">
        <v>28</v>
      </c>
      <c r="B39" s="494"/>
      <c r="C39" s="517" t="s">
        <v>994</v>
      </c>
      <c r="F39" s="516">
        <f>+'2025 RS Rate Class E-13c'!J27*100</f>
        <v>6.65</v>
      </c>
      <c r="G39" s="398" t="s">
        <v>1019</v>
      </c>
      <c r="I39" s="408">
        <f>ROUND(+'2025 RS Rate Class E-13c'!Q27,5)*100</f>
        <v>7.4910000000000005</v>
      </c>
      <c r="J39" s="398" t="s">
        <v>1019</v>
      </c>
      <c r="K39" s="398"/>
      <c r="P39" s="68"/>
      <c r="Q39" s="68"/>
      <c r="R39" s="68"/>
      <c r="S39" s="68"/>
      <c r="T39" s="68"/>
      <c r="U39" s="94"/>
      <c r="V39" s="68"/>
      <c r="W39" s="68"/>
      <c r="X39" s="68"/>
      <c r="Y39" s="68"/>
    </row>
    <row r="40" spans="1:25" x14ac:dyDescent="0.2">
      <c r="A40" s="395">
        <v>29</v>
      </c>
      <c r="B40" s="494"/>
      <c r="C40" s="517" t="s">
        <v>995</v>
      </c>
      <c r="F40" s="516">
        <f>+'2025 RS Rate Class E-13c'!J28*100</f>
        <v>7.8020000000000005</v>
      </c>
      <c r="G40" s="398" t="s">
        <v>1019</v>
      </c>
      <c r="I40" s="408">
        <f>ROUND(+'2025 RS Rate Class E-13c'!Q28*100,3)</f>
        <v>8.4909999999999997</v>
      </c>
      <c r="J40" s="398" t="s">
        <v>1019</v>
      </c>
      <c r="K40" s="398"/>
      <c r="P40" s="68"/>
      <c r="Q40" s="68"/>
      <c r="R40" s="68"/>
      <c r="S40" s="68"/>
      <c r="T40" s="68"/>
      <c r="U40" s="68"/>
      <c r="V40" s="68"/>
      <c r="W40" s="68"/>
      <c r="X40" s="68"/>
      <c r="Y40" s="68"/>
    </row>
    <row r="41" spans="1:25" x14ac:dyDescent="0.2">
      <c r="A41" s="395">
        <v>30</v>
      </c>
      <c r="B41" s="494"/>
      <c r="C41" s="398" t="s">
        <v>996</v>
      </c>
      <c r="D41" s="402"/>
      <c r="E41" s="402"/>
      <c r="F41" s="516"/>
      <c r="G41" s="398"/>
      <c r="H41" s="402"/>
      <c r="I41" s="402"/>
      <c r="J41" s="398"/>
      <c r="K41" s="398"/>
      <c r="P41" s="68"/>
      <c r="Q41" s="68"/>
      <c r="R41" s="68"/>
      <c r="S41" s="68"/>
      <c r="T41" s="68"/>
      <c r="U41" s="68"/>
      <c r="V41" s="68"/>
      <c r="W41" s="68"/>
      <c r="X41" s="68"/>
      <c r="Y41" s="68"/>
    </row>
    <row r="42" spans="1:25" x14ac:dyDescent="0.2">
      <c r="A42" s="395">
        <v>31</v>
      </c>
      <c r="B42" s="494"/>
      <c r="C42" s="517" t="s">
        <v>994</v>
      </c>
      <c r="F42" s="516">
        <v>3.5360000000000005</v>
      </c>
      <c r="G42" s="398" t="s">
        <v>1019</v>
      </c>
      <c r="H42" s="402"/>
      <c r="I42" s="516">
        <f>+F42</f>
        <v>3.5360000000000005</v>
      </c>
      <c r="J42" s="398" t="s">
        <v>1019</v>
      </c>
      <c r="K42" s="39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 x14ac:dyDescent="0.2">
      <c r="A43" s="395">
        <v>32</v>
      </c>
      <c r="B43" s="494"/>
      <c r="C43" s="517" t="s">
        <v>995</v>
      </c>
      <c r="F43" s="516">
        <v>4.5359999999999996</v>
      </c>
      <c r="G43" s="398" t="s">
        <v>1019</v>
      </c>
      <c r="H43" s="402"/>
      <c r="I43" s="516">
        <f t="shared" ref="I43:I48" si="0">+F43</f>
        <v>4.5359999999999996</v>
      </c>
      <c r="J43" s="398" t="s">
        <v>1019</v>
      </c>
      <c r="K43" s="39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x14ac:dyDescent="0.2">
      <c r="A44" s="395">
        <v>33</v>
      </c>
      <c r="B44" s="494"/>
      <c r="C44" s="398" t="s">
        <v>997</v>
      </c>
      <c r="D44" s="402"/>
      <c r="E44" s="402"/>
      <c r="F44" s="516">
        <v>0.215</v>
      </c>
      <c r="G44" s="398" t="s">
        <v>1019</v>
      </c>
      <c r="H44" s="402"/>
      <c r="I44" s="516">
        <f t="shared" si="0"/>
        <v>0.215</v>
      </c>
      <c r="J44" s="398" t="s">
        <v>1019</v>
      </c>
      <c r="K44" s="39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x14ac:dyDescent="0.2">
      <c r="A45" s="395">
        <v>34</v>
      </c>
      <c r="B45" s="494"/>
      <c r="C45" s="398" t="s">
        <v>998</v>
      </c>
      <c r="D45" s="402"/>
      <c r="E45" s="402"/>
      <c r="F45" s="516">
        <v>6.2E-2</v>
      </c>
      <c r="G45" s="398" t="s">
        <v>1019</v>
      </c>
      <c r="I45" s="516">
        <f t="shared" si="0"/>
        <v>6.2E-2</v>
      </c>
      <c r="J45" s="398" t="s">
        <v>1019</v>
      </c>
      <c r="K45" s="398"/>
      <c r="P45" s="68"/>
      <c r="Q45" s="68"/>
      <c r="R45" s="68"/>
      <c r="S45" s="68"/>
      <c r="T45" s="68"/>
      <c r="U45" s="68"/>
      <c r="V45" s="68"/>
      <c r="W45" s="68"/>
      <c r="X45" s="68"/>
      <c r="Y45" s="68"/>
    </row>
    <row r="46" spans="1:25" x14ac:dyDescent="0.2">
      <c r="A46" s="395">
        <v>35</v>
      </c>
      <c r="B46" s="494"/>
      <c r="C46" s="398" t="s">
        <v>999</v>
      </c>
      <c r="D46" s="402"/>
      <c r="E46" s="402"/>
      <c r="F46" s="516">
        <v>0.43</v>
      </c>
      <c r="G46" s="398" t="s">
        <v>1019</v>
      </c>
      <c r="I46" s="516">
        <f t="shared" si="0"/>
        <v>0.43</v>
      </c>
      <c r="J46" s="398" t="s">
        <v>1019</v>
      </c>
      <c r="K46" s="398"/>
      <c r="P46" s="68"/>
      <c r="Q46" s="68"/>
      <c r="R46" s="68"/>
      <c r="S46" s="68"/>
      <c r="T46" s="68"/>
      <c r="U46" s="68"/>
      <c r="V46" s="68"/>
      <c r="W46" s="68"/>
      <c r="X46" s="68"/>
      <c r="Y46" s="68"/>
    </row>
    <row r="47" spans="1:25" x14ac:dyDescent="0.2">
      <c r="A47" s="395">
        <v>36</v>
      </c>
      <c r="B47" s="395"/>
      <c r="C47" s="398" t="s">
        <v>1000</v>
      </c>
      <c r="D47" s="402"/>
      <c r="E47" s="402"/>
      <c r="F47" s="516">
        <v>8.8999999999999996E-2</v>
      </c>
      <c r="G47" s="398" t="s">
        <v>1019</v>
      </c>
      <c r="H47" s="405"/>
      <c r="I47" s="516">
        <f t="shared" si="0"/>
        <v>8.8999999999999996E-2</v>
      </c>
      <c r="J47" s="398" t="s">
        <v>1019</v>
      </c>
      <c r="K47" s="398"/>
      <c r="P47" s="405"/>
      <c r="Q47" s="405"/>
      <c r="R47" s="405"/>
      <c r="S47" s="405"/>
      <c r="T47" s="405"/>
      <c r="U47" s="405"/>
      <c r="V47" s="405"/>
      <c r="W47" s="405"/>
      <c r="X47" s="405"/>
      <c r="Y47" s="405"/>
    </row>
    <row r="48" spans="1:25" x14ac:dyDescent="0.2">
      <c r="A48" s="395">
        <v>37</v>
      </c>
      <c r="B48" s="395"/>
      <c r="C48" s="398" t="s">
        <v>1001</v>
      </c>
      <c r="F48" s="516">
        <v>0.65800000000000003</v>
      </c>
      <c r="G48" s="398" t="s">
        <v>1019</v>
      </c>
      <c r="H48" s="405"/>
      <c r="I48" s="516">
        <f t="shared" si="0"/>
        <v>0.65800000000000003</v>
      </c>
      <c r="J48" s="398" t="s">
        <v>1019</v>
      </c>
      <c r="K48" s="398"/>
      <c r="P48" s="405"/>
      <c r="Q48" s="405"/>
      <c r="R48" s="405"/>
      <c r="S48" s="405"/>
      <c r="T48" s="405"/>
      <c r="U48" s="405"/>
      <c r="V48" s="405"/>
      <c r="W48" s="405"/>
      <c r="X48" s="405"/>
      <c r="Y48" s="405"/>
    </row>
    <row r="49" spans="1:26" x14ac:dyDescent="0.2">
      <c r="A49" s="395">
        <v>38</v>
      </c>
      <c r="B49" s="395"/>
      <c r="C49" s="68" t="s">
        <v>1692</v>
      </c>
      <c r="E49" s="395"/>
      <c r="F49" s="516">
        <v>0.219</v>
      </c>
      <c r="G49" s="398" t="s">
        <v>1019</v>
      </c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  <c r="V49" s="405"/>
      <c r="W49" s="405"/>
      <c r="X49" s="405"/>
      <c r="Y49" s="405"/>
    </row>
    <row r="50" spans="1:26" x14ac:dyDescent="0.2">
      <c r="A50" s="395">
        <v>39</v>
      </c>
      <c r="B50" s="395"/>
      <c r="C50" s="68" t="s">
        <v>1017</v>
      </c>
      <c r="E50" s="39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5"/>
      <c r="Q50" s="405"/>
      <c r="R50" s="405"/>
      <c r="S50" s="405"/>
      <c r="T50" s="405"/>
      <c r="U50" s="405"/>
      <c r="V50" s="405"/>
      <c r="W50" s="405"/>
      <c r="X50" s="405"/>
      <c r="Y50" s="405"/>
    </row>
    <row r="51" spans="1:26" ht="13.5" thickBot="1" x14ac:dyDescent="0.25">
      <c r="A51" s="395">
        <v>42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  <c r="O51" s="396"/>
      <c r="P51" s="396"/>
      <c r="Q51" s="396"/>
      <c r="R51" s="396"/>
      <c r="S51" s="396"/>
      <c r="T51" s="396"/>
      <c r="U51" s="396"/>
      <c r="V51" s="396"/>
      <c r="W51" s="396"/>
      <c r="X51" s="396"/>
      <c r="Y51" s="396"/>
      <c r="Z51" s="504"/>
    </row>
    <row r="52" spans="1:26" x14ac:dyDescent="0.2">
      <c r="A52" s="395" t="s">
        <v>1002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 t="s">
        <v>1003</v>
      </c>
      <c r="X52" s="395"/>
      <c r="Y52" s="395"/>
    </row>
    <row r="53" spans="1:26" ht="13.5" thickBot="1" x14ac:dyDescent="0.25">
      <c r="A53" s="396" t="s">
        <v>943</v>
      </c>
      <c r="B53" s="396"/>
      <c r="C53" s="396"/>
      <c r="D53" s="396"/>
      <c r="E53" s="396"/>
      <c r="F53" s="396"/>
      <c r="G53" s="396"/>
      <c r="H53" s="396" t="s">
        <v>944</v>
      </c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 t="s">
        <v>1004</v>
      </c>
      <c r="Z53" s="504"/>
    </row>
    <row r="54" spans="1:26" x14ac:dyDescent="0.2">
      <c r="A54" s="395" t="s">
        <v>307</v>
      </c>
      <c r="B54" s="395"/>
      <c r="C54" s="395"/>
      <c r="D54" s="395"/>
      <c r="E54" s="395"/>
      <c r="F54" s="395" t="s">
        <v>946</v>
      </c>
      <c r="G54" s="395"/>
      <c r="H54" s="395" t="s">
        <v>947</v>
      </c>
      <c r="I54" s="395"/>
      <c r="J54" s="395"/>
      <c r="K54" s="395"/>
      <c r="L54" s="395"/>
      <c r="M54" s="397"/>
      <c r="N54" s="397"/>
      <c r="O54" s="395"/>
      <c r="P54" s="397"/>
      <c r="Q54" s="397"/>
      <c r="R54" s="397"/>
      <c r="S54" s="397"/>
      <c r="T54" s="397"/>
      <c r="U54" s="397"/>
      <c r="V54" s="397" t="s">
        <v>847</v>
      </c>
      <c r="W54" s="395"/>
      <c r="X54" s="395"/>
      <c r="Y54" s="398"/>
    </row>
    <row r="55" spans="1:26" x14ac:dyDescent="0.2">
      <c r="A55" s="395"/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9"/>
      <c r="N55" s="398"/>
      <c r="O55" s="395"/>
      <c r="P55" s="395"/>
      <c r="Q55" s="395"/>
      <c r="R55" s="395"/>
      <c r="S55" s="395"/>
      <c r="T55" s="395"/>
      <c r="U55" s="399"/>
      <c r="V55" s="399" t="s">
        <v>919</v>
      </c>
      <c r="W55" s="398" t="s">
        <v>920</v>
      </c>
      <c r="X55" s="395"/>
      <c r="Y55" s="399"/>
    </row>
    <row r="56" spans="1:26" x14ac:dyDescent="0.2">
      <c r="A56" s="395" t="s">
        <v>310</v>
      </c>
      <c r="B56" s="395"/>
      <c r="C56" s="395"/>
      <c r="D56" s="395"/>
      <c r="E56" s="395"/>
      <c r="F56" s="395"/>
      <c r="G56" s="395"/>
      <c r="H56" s="395"/>
      <c r="I56" s="395"/>
      <c r="J56" s="395"/>
      <c r="K56" s="395"/>
      <c r="L56" s="395"/>
      <c r="M56" s="399"/>
      <c r="N56" s="398"/>
      <c r="O56" s="399"/>
      <c r="P56" s="395"/>
      <c r="Q56" s="395"/>
      <c r="R56" s="395"/>
      <c r="S56" s="395"/>
      <c r="T56" s="395"/>
      <c r="U56" s="395"/>
      <c r="V56" s="398"/>
      <c r="W56" s="398" t="s">
        <v>937</v>
      </c>
      <c r="X56" s="395"/>
      <c r="Y56" s="399"/>
    </row>
    <row r="57" spans="1:26" x14ac:dyDescent="0.2">
      <c r="A57" s="395"/>
      <c r="B57" s="395"/>
      <c r="C57" s="395"/>
      <c r="D57" s="395"/>
      <c r="E57" s="395"/>
      <c r="F57" s="395"/>
      <c r="G57" s="575" t="s">
        <v>1005</v>
      </c>
      <c r="H57" s="575"/>
      <c r="I57" s="575"/>
      <c r="J57" s="575"/>
      <c r="K57" s="575"/>
      <c r="L57" s="575"/>
      <c r="M57" s="575"/>
      <c r="N57" s="575"/>
      <c r="O57" s="575"/>
      <c r="P57" s="575"/>
      <c r="Q57" s="575"/>
      <c r="R57" s="395"/>
      <c r="S57" s="395"/>
      <c r="T57" s="395"/>
      <c r="U57" s="395"/>
      <c r="V57" s="399"/>
      <c r="W57" s="398" t="s">
        <v>938</v>
      </c>
      <c r="X57" s="395"/>
      <c r="Y57" s="399"/>
    </row>
    <row r="58" spans="1:26" ht="13.5" thickBot="1" x14ac:dyDescent="0.25">
      <c r="A58" s="396" t="s">
        <v>1021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400"/>
      <c r="N58" s="396"/>
      <c r="O58" s="396"/>
      <c r="P58" s="396"/>
      <c r="Q58" s="396"/>
      <c r="R58" s="396"/>
      <c r="S58" s="396"/>
      <c r="T58" s="396"/>
      <c r="U58" s="396"/>
      <c r="V58" s="396"/>
      <c r="W58" s="396" t="s">
        <v>311</v>
      </c>
      <c r="X58" s="396"/>
      <c r="Y58" s="396"/>
      <c r="Z58" s="504"/>
    </row>
    <row r="59" spans="1:26" x14ac:dyDescent="0.2">
      <c r="A59" s="395"/>
      <c r="B59" s="577" t="s">
        <v>949</v>
      </c>
      <c r="C59" s="577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</row>
    <row r="60" spans="1:26" x14ac:dyDescent="0.2">
      <c r="A60" s="395"/>
      <c r="B60" s="574" t="s">
        <v>816</v>
      </c>
      <c r="C60" s="574"/>
      <c r="D60" s="576" t="s">
        <v>950</v>
      </c>
      <c r="E60" s="576"/>
      <c r="F60" s="576"/>
      <c r="G60" s="576"/>
      <c r="H60" s="576"/>
      <c r="I60" s="576"/>
      <c r="J60" s="576"/>
      <c r="K60" s="576"/>
      <c r="L60" s="576"/>
      <c r="M60" s="576"/>
      <c r="N60" s="576" t="s">
        <v>951</v>
      </c>
      <c r="O60" s="576"/>
      <c r="P60" s="576"/>
      <c r="Q60" s="576"/>
      <c r="R60" s="576"/>
      <c r="S60" s="576"/>
      <c r="T60" s="576"/>
      <c r="U60" s="576"/>
      <c r="W60" s="576" t="s">
        <v>952</v>
      </c>
      <c r="X60" s="576"/>
      <c r="Y60" s="576" t="s">
        <v>953</v>
      </c>
      <c r="Z60" s="576"/>
    </row>
    <row r="61" spans="1:26" x14ac:dyDescent="0.2">
      <c r="A61" s="395"/>
      <c r="B61" s="402" t="s">
        <v>848</v>
      </c>
      <c r="C61" s="402" t="s">
        <v>849</v>
      </c>
      <c r="D61" s="505" t="s">
        <v>850</v>
      </c>
      <c r="E61" s="402" t="s">
        <v>851</v>
      </c>
      <c r="F61" s="402" t="s">
        <v>954</v>
      </c>
      <c r="G61" s="401" t="s">
        <v>955</v>
      </c>
      <c r="H61" s="401" t="s">
        <v>956</v>
      </c>
      <c r="I61" s="401" t="s">
        <v>957</v>
      </c>
      <c r="J61" s="401" t="s">
        <v>958</v>
      </c>
      <c r="K61" s="506" t="s">
        <v>959</v>
      </c>
      <c r="L61" s="506" t="s">
        <v>960</v>
      </c>
      <c r="M61" s="507" t="s">
        <v>961</v>
      </c>
      <c r="N61" s="401" t="s">
        <v>962</v>
      </c>
      <c r="O61" s="401" t="s">
        <v>963</v>
      </c>
      <c r="P61" s="401" t="s">
        <v>964</v>
      </c>
      <c r="Q61" s="401" t="s">
        <v>965</v>
      </c>
      <c r="R61" s="401" t="s">
        <v>966</v>
      </c>
      <c r="S61" s="401" t="s">
        <v>967</v>
      </c>
      <c r="T61" s="401" t="s">
        <v>968</v>
      </c>
      <c r="U61" s="506" t="s">
        <v>969</v>
      </c>
      <c r="V61" s="507" t="s">
        <v>970</v>
      </c>
      <c r="W61" s="507" t="s">
        <v>971</v>
      </c>
      <c r="X61" s="401" t="s">
        <v>972</v>
      </c>
      <c r="Y61" s="401" t="s">
        <v>1020</v>
      </c>
      <c r="Z61" s="401" t="s">
        <v>1027</v>
      </c>
    </row>
    <row r="62" spans="1:26" x14ac:dyDescent="0.2">
      <c r="A62" s="395" t="s">
        <v>314</v>
      </c>
      <c r="B62" s="402" t="s">
        <v>973</v>
      </c>
      <c r="C62" s="402"/>
      <c r="D62" s="508" t="s">
        <v>974</v>
      </c>
      <c r="E62" s="402" t="s">
        <v>975</v>
      </c>
      <c r="F62" s="402" t="s">
        <v>976</v>
      </c>
      <c r="G62" s="401" t="s">
        <v>977</v>
      </c>
      <c r="H62" s="402" t="s">
        <v>978</v>
      </c>
      <c r="I62" s="402" t="s">
        <v>1693</v>
      </c>
      <c r="J62" s="402" t="s">
        <v>979</v>
      </c>
      <c r="K62" s="402" t="s">
        <v>1690</v>
      </c>
      <c r="L62" s="402" t="s">
        <v>980</v>
      </c>
      <c r="M62" s="509" t="s">
        <v>718</v>
      </c>
      <c r="N62" s="402" t="s">
        <v>974</v>
      </c>
      <c r="O62" s="402" t="s">
        <v>975</v>
      </c>
      <c r="P62" s="401" t="s">
        <v>976</v>
      </c>
      <c r="Q62" s="401" t="s">
        <v>977</v>
      </c>
      <c r="R62" s="402" t="s">
        <v>978</v>
      </c>
      <c r="S62" s="402" t="s">
        <v>1693</v>
      </c>
      <c r="T62" s="402" t="s">
        <v>979</v>
      </c>
      <c r="U62" s="402" t="s">
        <v>980</v>
      </c>
      <c r="V62" s="509" t="s">
        <v>718</v>
      </c>
      <c r="W62" s="401" t="s">
        <v>981</v>
      </c>
      <c r="X62" s="509" t="s">
        <v>982</v>
      </c>
      <c r="Y62" s="402" t="s">
        <v>983</v>
      </c>
      <c r="Z62" s="402" t="s">
        <v>984</v>
      </c>
    </row>
    <row r="63" spans="1:26" ht="13.5" thickBot="1" x14ac:dyDescent="0.25">
      <c r="A63" s="396" t="s">
        <v>320</v>
      </c>
      <c r="B63" s="510" t="s">
        <v>985</v>
      </c>
      <c r="C63" s="80" t="s">
        <v>986</v>
      </c>
      <c r="D63" s="81" t="s">
        <v>987</v>
      </c>
      <c r="E63" s="80" t="s">
        <v>988</v>
      </c>
      <c r="F63" s="80" t="s">
        <v>988</v>
      </c>
      <c r="G63" s="403" t="s">
        <v>988</v>
      </c>
      <c r="H63" s="80" t="s">
        <v>988</v>
      </c>
      <c r="I63" s="80" t="s">
        <v>1694</v>
      </c>
      <c r="J63" s="80" t="s">
        <v>988</v>
      </c>
      <c r="K63" s="80" t="s">
        <v>1691</v>
      </c>
      <c r="L63" s="80" t="s">
        <v>988</v>
      </c>
      <c r="M63" s="82"/>
      <c r="N63" s="403" t="s">
        <v>987</v>
      </c>
      <c r="O63" s="403" t="s">
        <v>988</v>
      </c>
      <c r="P63" s="403" t="s">
        <v>988</v>
      </c>
      <c r="Q63" s="403" t="s">
        <v>988</v>
      </c>
      <c r="R63" s="80" t="s">
        <v>988</v>
      </c>
      <c r="S63" s="80" t="s">
        <v>1694</v>
      </c>
      <c r="T63" s="80" t="s">
        <v>988</v>
      </c>
      <c r="U63" s="80" t="s">
        <v>988</v>
      </c>
      <c r="V63" s="82"/>
      <c r="W63" s="80" t="s">
        <v>1695</v>
      </c>
      <c r="X63" s="82" t="s">
        <v>1696</v>
      </c>
      <c r="Y63" s="400" t="s">
        <v>1697</v>
      </c>
      <c r="Z63" s="400" t="s">
        <v>1698</v>
      </c>
    </row>
    <row r="64" spans="1:26" x14ac:dyDescent="0.2">
      <c r="A64" s="395">
        <v>1</v>
      </c>
      <c r="B64" s="494">
        <v>0</v>
      </c>
      <c r="C64" s="68">
        <v>0</v>
      </c>
      <c r="D64" s="85">
        <f>+$F$90+C64*$F$92/100</f>
        <v>22.5</v>
      </c>
      <c r="E64" s="84">
        <f>+C64*$F$93/100</f>
        <v>0</v>
      </c>
      <c r="F64" s="84">
        <f>+C64*$F$94/100</f>
        <v>0</v>
      </c>
      <c r="G64" s="84">
        <f>+C64*$F$95/100</f>
        <v>0</v>
      </c>
      <c r="H64" s="84">
        <f>+C64*$F$97/100</f>
        <v>0</v>
      </c>
      <c r="I64" s="84">
        <f>+$C64*$F$96/100</f>
        <v>0</v>
      </c>
      <c r="J64" s="84">
        <f>+$C64*$F$98/100</f>
        <v>0</v>
      </c>
      <c r="K64" s="84">
        <f>+$C64*$F$99/100</f>
        <v>0</v>
      </c>
      <c r="L64" s="84">
        <f>+SUM(D64:K64)*0.025641</f>
        <v>0.5769225</v>
      </c>
      <c r="M64" s="84">
        <f>SUM(D64:L64)</f>
        <v>23.076922499999998</v>
      </c>
      <c r="N64" s="85">
        <f>(+$C64*$I$92)/100+$I$90</f>
        <v>38.1</v>
      </c>
      <c r="O64" s="84">
        <f>+$I$93*$C64/100</f>
        <v>0</v>
      </c>
      <c r="P64" s="84">
        <f>+$C64*$I$94/100</f>
        <v>0</v>
      </c>
      <c r="Q64" s="84">
        <f>+$C64*$I$95/100</f>
        <v>0</v>
      </c>
      <c r="R64" s="84">
        <f>+$C64*$I$97/100</f>
        <v>0</v>
      </c>
      <c r="S64" s="84">
        <f>+$C64*$I$96/100</f>
        <v>0</v>
      </c>
      <c r="T64" s="84">
        <f>+$C64*$I$98/100</f>
        <v>0</v>
      </c>
      <c r="U64" s="84">
        <f>+SUM(N64:T64)*0.025641</f>
        <v>0.97692210000000002</v>
      </c>
      <c r="V64" s="84">
        <f>SUM(N64:U64)</f>
        <v>39.076922100000004</v>
      </c>
      <c r="W64" s="85">
        <f>+V64-M64</f>
        <v>15.999999600000006</v>
      </c>
      <c r="X64" s="86">
        <f>+W64/M64</f>
        <v>0.69333333333333369</v>
      </c>
      <c r="Y64" s="87">
        <v>0</v>
      </c>
      <c r="Z64" s="88">
        <v>0</v>
      </c>
    </row>
    <row r="65" spans="1:26" x14ac:dyDescent="0.2">
      <c r="A65" s="395">
        <v>2</v>
      </c>
      <c r="B65" s="494"/>
      <c r="C65" s="68"/>
      <c r="D65" s="83"/>
      <c r="E65" s="84"/>
      <c r="F65" s="84"/>
      <c r="G65" s="84"/>
      <c r="H65" s="84"/>
      <c r="I65" s="84"/>
      <c r="J65" s="84"/>
      <c r="K65" s="84"/>
      <c r="L65" s="84"/>
      <c r="M65" s="84"/>
      <c r="N65" s="83"/>
      <c r="O65" s="84"/>
      <c r="P65" s="84"/>
      <c r="Q65" s="84"/>
      <c r="R65" s="84"/>
      <c r="S65" s="84"/>
      <c r="T65" s="84"/>
      <c r="U65" s="84"/>
      <c r="V65" s="84"/>
      <c r="W65" s="83"/>
      <c r="X65" s="86"/>
      <c r="Y65" s="89"/>
      <c r="Z65" s="88"/>
    </row>
    <row r="66" spans="1:26" x14ac:dyDescent="0.2">
      <c r="A66" s="395">
        <v>3</v>
      </c>
      <c r="B66" s="494">
        <v>0</v>
      </c>
      <c r="C66" s="68">
        <v>100</v>
      </c>
      <c r="D66" s="83">
        <f>+$F$90+C66*$F$92/100</f>
        <v>30.361999999999998</v>
      </c>
      <c r="E66" s="84">
        <f>+C66*$F$93/100</f>
        <v>3.843</v>
      </c>
      <c r="F66" s="84">
        <f>+C66*$F$94/100</f>
        <v>0.192</v>
      </c>
      <c r="G66" s="84">
        <f>+C66*$F$95/100</f>
        <v>5.4000000000000006E-2</v>
      </c>
      <c r="H66" s="84">
        <f>+C66*$F$97/100</f>
        <v>8.4000000000000005E-2</v>
      </c>
      <c r="I66" s="84">
        <f>+$C66*$F$96/100</f>
        <v>0.42700000000000005</v>
      </c>
      <c r="J66" s="84">
        <f>+$C66*$F$98/100</f>
        <v>0.77500000000000002</v>
      </c>
      <c r="K66" s="84">
        <f>+$C66*$F$99/100</f>
        <v>0.22500000000000001</v>
      </c>
      <c r="L66" s="84">
        <f>+SUM(D66:K66)*0.025641</f>
        <v>0.92210164200000011</v>
      </c>
      <c r="M66" s="84">
        <f>SUM(D66:L66)</f>
        <v>36.884101642000005</v>
      </c>
      <c r="N66" s="83">
        <f>(+C66*$I$92)/100+$I$90</f>
        <v>44.905999999999999</v>
      </c>
      <c r="O66" s="84">
        <f>+$I$93*$C66/100</f>
        <v>3.843</v>
      </c>
      <c r="P66" s="84">
        <f>+$C66*$I$94/100</f>
        <v>0.192</v>
      </c>
      <c r="Q66" s="84">
        <f>+$C66*$I$95/100</f>
        <v>5.4000000000000006E-2</v>
      </c>
      <c r="R66" s="84">
        <f>+$C66*$I$97/100</f>
        <v>8.4000000000000005E-2</v>
      </c>
      <c r="S66" s="84">
        <f>+$C66*$I$96/100</f>
        <v>0.42700000000000005</v>
      </c>
      <c r="T66" s="84">
        <f>+$C66*$I$98/100</f>
        <v>0.77500000000000002</v>
      </c>
      <c r="U66" s="84">
        <f>+SUM(N66:T66)*0.025641</f>
        <v>1.2892551210000001</v>
      </c>
      <c r="V66" s="84">
        <f>SUM(N66:U66)</f>
        <v>51.570255121000002</v>
      </c>
      <c r="W66" s="83">
        <f>+V66-M66</f>
        <v>14.686153478999998</v>
      </c>
      <c r="X66" s="86">
        <f>+W66/M66</f>
        <v>0.39817029086257705</v>
      </c>
      <c r="Y66" s="90">
        <f>+M66/C66*100</f>
        <v>36.884101642000005</v>
      </c>
      <c r="Z66" s="91">
        <f>+V66/C66*100</f>
        <v>51.570255120999995</v>
      </c>
    </row>
    <row r="67" spans="1:26" x14ac:dyDescent="0.2">
      <c r="A67" s="395">
        <v>4</v>
      </c>
      <c r="B67" s="494"/>
      <c r="C67" s="68"/>
      <c r="D67" s="83"/>
      <c r="E67" s="84"/>
      <c r="F67" s="84"/>
      <c r="G67" s="84"/>
      <c r="H67" s="84"/>
      <c r="I67" s="84"/>
      <c r="J67" s="84"/>
      <c r="K67" s="84"/>
      <c r="L67" s="84"/>
      <c r="M67" s="84"/>
      <c r="N67" s="83"/>
      <c r="O67" s="84"/>
      <c r="P67" s="84"/>
      <c r="Q67" s="84"/>
      <c r="R67" s="84"/>
      <c r="S67" s="84"/>
      <c r="T67" s="84"/>
      <c r="U67" s="84"/>
      <c r="V67" s="84"/>
      <c r="W67" s="83"/>
      <c r="X67" s="86"/>
      <c r="Y67" s="89"/>
      <c r="Z67" s="88"/>
    </row>
    <row r="68" spans="1:26" x14ac:dyDescent="0.2">
      <c r="A68" s="395">
        <v>5</v>
      </c>
      <c r="B68" s="494">
        <v>0</v>
      </c>
      <c r="C68" s="68">
        <v>250</v>
      </c>
      <c r="D68" s="83">
        <f>+$F$90+C68*$F$92/100</f>
        <v>42.155000000000001</v>
      </c>
      <c r="E68" s="84">
        <f>+C68*$F$93/100</f>
        <v>9.6074999999999999</v>
      </c>
      <c r="F68" s="84">
        <f>+C68*$F$94/100</f>
        <v>0.48</v>
      </c>
      <c r="G68" s="84">
        <f>+C68*$F$95/100</f>
        <v>0.13500000000000001</v>
      </c>
      <c r="H68" s="84">
        <f>+C68*$F$97/100</f>
        <v>0.21</v>
      </c>
      <c r="I68" s="84">
        <f>+$C68*$F$96/100</f>
        <v>1.0675000000000001</v>
      </c>
      <c r="J68" s="84">
        <f>+$C68*$F$98/100</f>
        <v>1.9375</v>
      </c>
      <c r="K68" s="84">
        <f>+$C68*$F$99/100</f>
        <v>0.5625</v>
      </c>
      <c r="L68" s="84">
        <f>+SUM(D68:K68)*0.025641</f>
        <v>1.439870355</v>
      </c>
      <c r="M68" s="84">
        <f>SUM(D68:L68)</f>
        <v>57.594870354999998</v>
      </c>
      <c r="N68" s="83">
        <f>(+C68*$I$92)/100+$I$90</f>
        <v>55.114999999999995</v>
      </c>
      <c r="O68" s="84">
        <f>+$I$93*$C68/100</f>
        <v>9.6074999999999999</v>
      </c>
      <c r="P68" s="84">
        <f>+$C68*$I$94/100</f>
        <v>0.48</v>
      </c>
      <c r="Q68" s="84">
        <f>+$C68*$I$95/100</f>
        <v>0.13500000000000001</v>
      </c>
      <c r="R68" s="84">
        <f>+$C68*$I$97/100</f>
        <v>0.21</v>
      </c>
      <c r="S68" s="84">
        <f>+$C68*$I$96/100</f>
        <v>1.0675000000000001</v>
      </c>
      <c r="T68" s="84">
        <f>+$C68*$I$98/100</f>
        <v>1.9375</v>
      </c>
      <c r="U68" s="84">
        <f>+SUM(N68:T68)*0.025641</f>
        <v>1.7577546524999998</v>
      </c>
      <c r="V68" s="84">
        <f>SUM(N68:U68)</f>
        <v>70.310254652499992</v>
      </c>
      <c r="W68" s="83">
        <f>+V68-M68</f>
        <v>12.715384297499995</v>
      </c>
      <c r="X68" s="86">
        <f>+W68/M68</f>
        <v>0.22077286083162667</v>
      </c>
      <c r="Y68" s="90">
        <f>+M68/C68*100</f>
        <v>23.037948142000001</v>
      </c>
      <c r="Z68" s="91">
        <f>+V68/C68*100</f>
        <v>28.124101860999996</v>
      </c>
    </row>
    <row r="69" spans="1:26" x14ac:dyDescent="0.2">
      <c r="A69" s="395">
        <v>6</v>
      </c>
      <c r="B69" s="494"/>
      <c r="C69" s="68"/>
      <c r="D69" s="83"/>
      <c r="E69" s="84"/>
      <c r="F69" s="84"/>
      <c r="G69" s="84"/>
      <c r="H69" s="84"/>
      <c r="I69" s="84"/>
      <c r="J69" s="84"/>
      <c r="K69" s="84"/>
      <c r="L69" s="84"/>
      <c r="M69" s="84"/>
      <c r="N69" s="83"/>
      <c r="O69" s="84"/>
      <c r="P69" s="84"/>
      <c r="Q69" s="84"/>
      <c r="R69" s="84"/>
      <c r="S69" s="84"/>
      <c r="T69" s="84"/>
      <c r="U69" s="84"/>
      <c r="V69" s="84"/>
      <c r="W69" s="83"/>
      <c r="X69" s="86"/>
      <c r="Y69" s="89"/>
      <c r="Z69" s="88"/>
    </row>
    <row r="70" spans="1:26" x14ac:dyDescent="0.2">
      <c r="A70" s="395">
        <v>7</v>
      </c>
      <c r="B70" s="494">
        <v>0</v>
      </c>
      <c r="C70" s="68">
        <v>500</v>
      </c>
      <c r="D70" s="83">
        <f>+$F$90+C70*$F$92/100</f>
        <v>61.809999999999995</v>
      </c>
      <c r="E70" s="84">
        <f>+C70*$F$93/100</f>
        <v>19.215</v>
      </c>
      <c r="F70" s="84">
        <f>+C70*$F$94/100</f>
        <v>0.96</v>
      </c>
      <c r="G70" s="84">
        <f>+C70*$F$95/100</f>
        <v>0.27</v>
      </c>
      <c r="H70" s="84">
        <f>+C70*$F$97/100</f>
        <v>0.42</v>
      </c>
      <c r="I70" s="84">
        <f>+$C70*$F$96/100</f>
        <v>2.1350000000000002</v>
      </c>
      <c r="J70" s="84">
        <f>+$C70*$F$98/100</f>
        <v>3.875</v>
      </c>
      <c r="K70" s="84">
        <f>+$C70*$F$99/100</f>
        <v>1.125</v>
      </c>
      <c r="L70" s="84">
        <f>+SUM(D70:K70)*0.025641</f>
        <v>2.3028182099999999</v>
      </c>
      <c r="M70" s="84">
        <f>SUM(D70:L70)</f>
        <v>92.112818209999986</v>
      </c>
      <c r="N70" s="83">
        <f>(+C70*$I$92)/100+$I$90</f>
        <v>72.13</v>
      </c>
      <c r="O70" s="84">
        <f>+$I$93*$C70/100</f>
        <v>19.215</v>
      </c>
      <c r="P70" s="84">
        <f>+$C70*$I$94/100</f>
        <v>0.96</v>
      </c>
      <c r="Q70" s="84">
        <f>+$C70*$I$95/100</f>
        <v>0.27</v>
      </c>
      <c r="R70" s="84">
        <f>+$C70*$I$97/100</f>
        <v>0.42</v>
      </c>
      <c r="S70" s="84">
        <f>+$C70*$I$96/100</f>
        <v>2.1350000000000002</v>
      </c>
      <c r="T70" s="84">
        <f>+$C70*$I$98/100</f>
        <v>3.875</v>
      </c>
      <c r="U70" s="84">
        <f>+SUM(N70:T70)*0.025641</f>
        <v>2.5385872049999998</v>
      </c>
      <c r="V70" s="84">
        <f>SUM(N70:U70)</f>
        <v>101.54358720499999</v>
      </c>
      <c r="W70" s="83">
        <f>+V70-M70</f>
        <v>9.4307689950000082</v>
      </c>
      <c r="X70" s="86">
        <f>+W70/M70</f>
        <v>0.10238280815054013</v>
      </c>
      <c r="Y70" s="90">
        <f>+M70/C70*100</f>
        <v>18.422563641999997</v>
      </c>
      <c r="Z70" s="91">
        <f>+V70/C70*100</f>
        <v>20.308717440999999</v>
      </c>
    </row>
    <row r="71" spans="1:26" x14ac:dyDescent="0.2">
      <c r="A71" s="395">
        <v>8</v>
      </c>
      <c r="B71" s="494"/>
      <c r="C71" s="68"/>
      <c r="D71" s="83"/>
      <c r="E71" s="84"/>
      <c r="F71" s="84"/>
      <c r="G71" s="84"/>
      <c r="H71" s="84"/>
      <c r="I71" s="84"/>
      <c r="J71" s="84"/>
      <c r="K71" s="84"/>
      <c r="L71" s="84"/>
      <c r="M71" s="84"/>
      <c r="N71" s="83"/>
      <c r="O71" s="84"/>
      <c r="P71" s="84"/>
      <c r="Q71" s="84"/>
      <c r="R71" s="84"/>
      <c r="S71" s="84"/>
      <c r="T71" s="84"/>
      <c r="U71" s="84"/>
      <c r="V71" s="84"/>
      <c r="W71" s="83"/>
      <c r="X71" s="86"/>
      <c r="Y71" s="89"/>
      <c r="Z71" s="88"/>
    </row>
    <row r="72" spans="1:26" x14ac:dyDescent="0.2">
      <c r="A72" s="395">
        <v>9</v>
      </c>
      <c r="B72" s="494">
        <v>0</v>
      </c>
      <c r="C72" s="68">
        <v>750</v>
      </c>
      <c r="D72" s="83">
        <f>+$F$90+C72*$F$92/100</f>
        <v>81.464999999999989</v>
      </c>
      <c r="E72" s="84">
        <f>+C72*$F$93/100</f>
        <v>28.822500000000002</v>
      </c>
      <c r="F72" s="84">
        <f>+C72*$F$94/100</f>
        <v>1.44</v>
      </c>
      <c r="G72" s="84">
        <f>+C72*$F$95/100</f>
        <v>0.40500000000000003</v>
      </c>
      <c r="H72" s="84">
        <f>+C72*$F$97/100</f>
        <v>0.63000000000000012</v>
      </c>
      <c r="I72" s="84">
        <f>+$C72*$F$96/100</f>
        <v>3.2025000000000006</v>
      </c>
      <c r="J72" s="84">
        <f>+$C72*$F$98/100</f>
        <v>5.8125</v>
      </c>
      <c r="K72" s="84">
        <f>+$C72*$F$99/100</f>
        <v>1.6875</v>
      </c>
      <c r="L72" s="84">
        <f>+SUM(D72:K72)*0.025641</f>
        <v>3.1657660649999997</v>
      </c>
      <c r="M72" s="84">
        <f>SUM(D72:L72)</f>
        <v>126.63076606499999</v>
      </c>
      <c r="N72" s="83">
        <f>(+C72*$I$92)/100+$I$90</f>
        <v>89.144999999999982</v>
      </c>
      <c r="O72" s="84">
        <f>+$I$93*$C72/100</f>
        <v>28.822500000000002</v>
      </c>
      <c r="P72" s="84">
        <f>+$C72*$I$94/100</f>
        <v>1.44</v>
      </c>
      <c r="Q72" s="84">
        <f>+$C72*$I$95/100</f>
        <v>0.40500000000000003</v>
      </c>
      <c r="R72" s="84">
        <f>+$C72*$I$97/100</f>
        <v>0.63000000000000012</v>
      </c>
      <c r="S72" s="84">
        <f>+$C72*$I$96/100</f>
        <v>3.2025000000000006</v>
      </c>
      <c r="T72" s="84">
        <f>+$C72*$I$98/100</f>
        <v>5.8125</v>
      </c>
      <c r="U72" s="84">
        <f>+SUM(N72:T72)*0.025641</f>
        <v>3.3194197574999995</v>
      </c>
      <c r="V72" s="84">
        <f>SUM(N72:U72)</f>
        <v>132.77691975749997</v>
      </c>
      <c r="W72" s="83">
        <f>+V72-M72</f>
        <v>6.1461536924999791</v>
      </c>
      <c r="X72" s="86">
        <f>+W72/M72</f>
        <v>4.8536022354513264E-2</v>
      </c>
      <c r="Y72" s="90">
        <f>+M72/C72*100</f>
        <v>16.884102142</v>
      </c>
      <c r="Z72" s="91">
        <f>+V72/C72*100</f>
        <v>17.703589300999994</v>
      </c>
    </row>
    <row r="73" spans="1:26" x14ac:dyDescent="0.2">
      <c r="A73" s="395">
        <v>10</v>
      </c>
      <c r="B73" s="494"/>
      <c r="C73" s="68"/>
      <c r="D73" s="83"/>
      <c r="E73" s="84"/>
      <c r="F73" s="84"/>
      <c r="G73" s="84"/>
      <c r="H73" s="84"/>
      <c r="I73" s="84"/>
      <c r="J73" s="84"/>
      <c r="K73" s="84"/>
      <c r="L73" s="84"/>
      <c r="M73" s="84"/>
      <c r="N73" s="83"/>
      <c r="O73" s="84"/>
      <c r="P73" s="84"/>
      <c r="Q73" s="84"/>
      <c r="R73" s="84"/>
      <c r="S73" s="84"/>
      <c r="T73" s="84"/>
      <c r="U73" s="84"/>
      <c r="V73" s="84"/>
      <c r="W73" s="83"/>
      <c r="X73" s="86"/>
      <c r="Y73" s="89"/>
      <c r="Z73" s="88"/>
    </row>
    <row r="74" spans="1:26" x14ac:dyDescent="0.2">
      <c r="A74" s="395">
        <v>11</v>
      </c>
      <c r="B74" s="494">
        <v>0</v>
      </c>
      <c r="C74" s="68">
        <v>1000</v>
      </c>
      <c r="D74" s="83">
        <f>+$F$90+C74*$F$92/100</f>
        <v>101.11999999999999</v>
      </c>
      <c r="E74" s="84">
        <f>+C74*$F$93/100</f>
        <v>38.43</v>
      </c>
      <c r="F74" s="84">
        <f>+C74*$F$94/100</f>
        <v>1.92</v>
      </c>
      <c r="G74" s="84">
        <f>+C74*$F$95/100</f>
        <v>0.54</v>
      </c>
      <c r="H74" s="84">
        <f>+C74*$F$97/100</f>
        <v>0.84</v>
      </c>
      <c r="I74" s="84">
        <f>+$C74*$F$96/100</f>
        <v>4.2700000000000005</v>
      </c>
      <c r="J74" s="84">
        <f>+$C74*$F$98/100</f>
        <v>7.75</v>
      </c>
      <c r="K74" s="84">
        <f>+$C74*$F$99/100</f>
        <v>2.25</v>
      </c>
      <c r="L74" s="84">
        <f>+SUM(D74:K74)*0.025641</f>
        <v>4.0287139199999995</v>
      </c>
      <c r="M74" s="84">
        <f>SUM(D74:L74)</f>
        <v>161.14871391999998</v>
      </c>
      <c r="N74" s="83">
        <f>(+C74*$I$92)/100+$I$90</f>
        <v>106.16</v>
      </c>
      <c r="O74" s="84">
        <f>+$I$93*$C74/100</f>
        <v>38.43</v>
      </c>
      <c r="P74" s="84">
        <f>+$C74*$I$94/100</f>
        <v>1.92</v>
      </c>
      <c r="Q74" s="84">
        <f>+$C74*$I$95/100</f>
        <v>0.54</v>
      </c>
      <c r="R74" s="84">
        <f>+$C74*$I$97/100</f>
        <v>0.84</v>
      </c>
      <c r="S74" s="84">
        <f>+$C74*$I$96/100</f>
        <v>4.2700000000000005</v>
      </c>
      <c r="T74" s="84">
        <f>+$C74*$I$98/100</f>
        <v>7.75</v>
      </c>
      <c r="U74" s="84">
        <f>+SUM(N74:T74)*0.025641</f>
        <v>4.1002523100000001</v>
      </c>
      <c r="V74" s="84">
        <f>SUM(N74:U74)</f>
        <v>164.01025231</v>
      </c>
      <c r="W74" s="83">
        <f>+V74-M74</f>
        <v>2.8615383900000211</v>
      </c>
      <c r="X74" s="86">
        <f>+W74/M74</f>
        <v>1.7757128309572434E-2</v>
      </c>
      <c r="Y74" s="90">
        <f>+M74/C74*100</f>
        <v>16.114871391999998</v>
      </c>
      <c r="Z74" s="91">
        <f>+V74/C74*100</f>
        <v>16.401025230999998</v>
      </c>
    </row>
    <row r="75" spans="1:26" x14ac:dyDescent="0.2">
      <c r="A75" s="395">
        <v>12</v>
      </c>
      <c r="B75" s="494"/>
      <c r="C75" s="68"/>
      <c r="D75" s="83"/>
      <c r="E75" s="84"/>
      <c r="F75" s="84"/>
      <c r="G75" s="84"/>
      <c r="H75" s="84"/>
      <c r="I75" s="84"/>
      <c r="J75" s="84"/>
      <c r="K75" s="84"/>
      <c r="L75" s="84"/>
      <c r="M75" s="84"/>
      <c r="N75" s="83"/>
      <c r="O75" s="84"/>
      <c r="P75" s="84"/>
      <c r="Q75" s="84"/>
      <c r="R75" s="84"/>
      <c r="S75" s="84"/>
      <c r="T75" s="84"/>
      <c r="U75" s="84"/>
      <c r="V75" s="84"/>
      <c r="W75" s="83"/>
      <c r="X75" s="86"/>
      <c r="Y75" s="89"/>
      <c r="Z75" s="88"/>
    </row>
    <row r="76" spans="1:26" x14ac:dyDescent="0.2">
      <c r="A76" s="395">
        <v>13</v>
      </c>
      <c r="B76" s="494">
        <v>0</v>
      </c>
      <c r="C76" s="68">
        <v>1250</v>
      </c>
      <c r="D76" s="83">
        <f>+$F$90+C76*$F$92/100</f>
        <v>120.77499999999998</v>
      </c>
      <c r="E76" s="84">
        <f>+C76*$F$93/100</f>
        <v>48.037500000000001</v>
      </c>
      <c r="F76" s="84">
        <f>+C76*$F$94/100</f>
        <v>2.4</v>
      </c>
      <c r="G76" s="84">
        <f>+C76*$F$95/100</f>
        <v>0.67500000000000004</v>
      </c>
      <c r="H76" s="84">
        <f>+C76*$F$97/100</f>
        <v>1.05</v>
      </c>
      <c r="I76" s="84">
        <f>+$C76*$F$96/100</f>
        <v>5.3375000000000012</v>
      </c>
      <c r="J76" s="84">
        <f>+$C76*$F$98/100</f>
        <v>9.6875</v>
      </c>
      <c r="K76" s="84">
        <f>+$C76*$F$99/100</f>
        <v>2.8125</v>
      </c>
      <c r="L76" s="84">
        <f>+SUM(D76:K76)*0.025641</f>
        <v>4.8916617750000002</v>
      </c>
      <c r="M76" s="84">
        <f>SUM(D76:L76)</f>
        <v>195.66666177499999</v>
      </c>
      <c r="N76" s="83">
        <f>(+C76*$I$92)/100+$I$90</f>
        <v>123.17499999999998</v>
      </c>
      <c r="O76" s="84">
        <f>+$I$93*$C76/100</f>
        <v>48.037500000000001</v>
      </c>
      <c r="P76" s="84">
        <f>+$C76*$I$94/100</f>
        <v>2.4</v>
      </c>
      <c r="Q76" s="84">
        <f>+$C76*$I$95/100</f>
        <v>0.67500000000000004</v>
      </c>
      <c r="R76" s="84">
        <f>+$C76*$I$97/100</f>
        <v>1.05</v>
      </c>
      <c r="S76" s="84">
        <f>+$C76*$I$96/100</f>
        <v>5.3375000000000012</v>
      </c>
      <c r="T76" s="84">
        <f>+$C76*$I$98/100</f>
        <v>9.6875</v>
      </c>
      <c r="U76" s="84">
        <f>+SUM(N76:T76)*0.025641</f>
        <v>4.8810848625000007</v>
      </c>
      <c r="V76" s="84">
        <f>SUM(N76:U76)</f>
        <v>195.2435848625</v>
      </c>
      <c r="W76" s="83">
        <f>+V76-M76</f>
        <v>-0.4230769124999938</v>
      </c>
      <c r="X76" s="86">
        <f>+W76/M76</f>
        <v>-2.1622329969859465E-3</v>
      </c>
      <c r="Y76" s="90">
        <f>+M76/C76*100</f>
        <v>15.653332942</v>
      </c>
      <c r="Z76" s="91">
        <f>+V76/C76*100</f>
        <v>15.619486789</v>
      </c>
    </row>
    <row r="77" spans="1:26" x14ac:dyDescent="0.2">
      <c r="A77" s="395">
        <v>14</v>
      </c>
      <c r="B77" s="494"/>
      <c r="C77" s="68"/>
      <c r="D77" s="83"/>
      <c r="E77" s="84"/>
      <c r="F77" s="84"/>
      <c r="G77" s="84"/>
      <c r="H77" s="84"/>
      <c r="I77" s="84"/>
      <c r="J77" s="84"/>
      <c r="K77" s="84"/>
      <c r="L77" s="84"/>
      <c r="M77" s="84"/>
      <c r="N77" s="83"/>
      <c r="O77" s="84"/>
      <c r="P77" s="84"/>
      <c r="Q77" s="84"/>
      <c r="R77" s="84"/>
      <c r="S77" s="84"/>
      <c r="T77" s="84"/>
      <c r="U77" s="84"/>
      <c r="V77" s="84"/>
      <c r="W77" s="83"/>
      <c r="X77" s="86"/>
      <c r="Y77" s="89"/>
      <c r="Z77" s="88"/>
    </row>
    <row r="78" spans="1:26" x14ac:dyDescent="0.2">
      <c r="A78" s="395">
        <v>15</v>
      </c>
      <c r="B78" s="494">
        <v>0</v>
      </c>
      <c r="C78" s="68">
        <v>1500</v>
      </c>
      <c r="D78" s="83">
        <f>+$F$90+C78*$F$92/100</f>
        <v>140.42999999999998</v>
      </c>
      <c r="E78" s="84">
        <f>+C78*$F$93/100</f>
        <v>57.645000000000003</v>
      </c>
      <c r="F78" s="84">
        <f>+C78*$F$94/100</f>
        <v>2.88</v>
      </c>
      <c r="G78" s="84">
        <f>+C78*$F$95/100</f>
        <v>0.81</v>
      </c>
      <c r="H78" s="84">
        <f>+C78*$F$97/100</f>
        <v>1.2600000000000002</v>
      </c>
      <c r="I78" s="84">
        <f>+$C78*$F$96/100</f>
        <v>6.4050000000000011</v>
      </c>
      <c r="J78" s="84">
        <f>+$C78*$F$98/100</f>
        <v>11.625</v>
      </c>
      <c r="K78" s="84">
        <f>+$C78*$F$99/100</f>
        <v>3.375</v>
      </c>
      <c r="L78" s="84">
        <f>+SUM(D78:K78)*0.025641</f>
        <v>5.7546096299999991</v>
      </c>
      <c r="M78" s="84">
        <f>SUM(D78:L78)</f>
        <v>230.18460962999998</v>
      </c>
      <c r="N78" s="83">
        <f>(+C78*$I$92)/100+$I$90</f>
        <v>140.18999999999997</v>
      </c>
      <c r="O78" s="84">
        <f>+$I$93*$C78/100</f>
        <v>57.645000000000003</v>
      </c>
      <c r="P78" s="84">
        <f>+$C78*$I$94/100</f>
        <v>2.88</v>
      </c>
      <c r="Q78" s="84">
        <f>+$C78*$I$95/100</f>
        <v>0.81</v>
      </c>
      <c r="R78" s="84">
        <f>+$C78*$I$97/100</f>
        <v>1.2600000000000002</v>
      </c>
      <c r="S78" s="84">
        <f>+$C78*$I$96/100</f>
        <v>6.4050000000000011</v>
      </c>
      <c r="T78" s="84">
        <f>+$C78*$I$98/100</f>
        <v>11.625</v>
      </c>
      <c r="U78" s="84">
        <f>+SUM(N78:T78)*0.025641</f>
        <v>5.6619174149999996</v>
      </c>
      <c r="V78" s="84">
        <f>SUM(N78:U78)</f>
        <v>226.47691741499997</v>
      </c>
      <c r="W78" s="83">
        <f>+V78-M78</f>
        <v>-3.7076922150000087</v>
      </c>
      <c r="X78" s="86">
        <f>+W78/M78</f>
        <v>-1.6107472263066473E-2</v>
      </c>
      <c r="Y78" s="90">
        <f>+M78/C78*100</f>
        <v>15.345640641999999</v>
      </c>
      <c r="Z78" s="91">
        <f>+V78/C78*100</f>
        <v>15.098461160999999</v>
      </c>
    </row>
    <row r="79" spans="1:26" x14ac:dyDescent="0.2">
      <c r="A79" s="395">
        <v>16</v>
      </c>
      <c r="B79" s="494"/>
      <c r="C79" s="68"/>
      <c r="D79" s="83"/>
      <c r="E79" s="84"/>
      <c r="F79" s="84"/>
      <c r="G79" s="84"/>
      <c r="H79" s="84"/>
      <c r="I79" s="84"/>
      <c r="J79" s="84"/>
      <c r="K79" s="84"/>
      <c r="L79" s="84"/>
      <c r="M79" s="84"/>
      <c r="N79" s="83"/>
      <c r="O79" s="84"/>
      <c r="P79" s="84"/>
      <c r="Q79" s="84"/>
      <c r="R79" s="84"/>
      <c r="S79" s="84"/>
      <c r="T79" s="84"/>
      <c r="U79" s="84"/>
      <c r="V79" s="84"/>
      <c r="W79" s="83"/>
      <c r="X79" s="86"/>
      <c r="Y79" s="89"/>
      <c r="Z79" s="88"/>
    </row>
    <row r="80" spans="1:26" x14ac:dyDescent="0.2">
      <c r="A80" s="395">
        <v>17</v>
      </c>
      <c r="B80" s="494">
        <v>0</v>
      </c>
      <c r="C80" s="68">
        <v>2000</v>
      </c>
      <c r="D80" s="83">
        <f>+$F$90+C80*$F$92/100</f>
        <v>179.73999999999998</v>
      </c>
      <c r="E80" s="84">
        <f>+C80*$F$93/100</f>
        <v>76.86</v>
      </c>
      <c r="F80" s="84">
        <f>+C80*$F$94/100</f>
        <v>3.84</v>
      </c>
      <c r="G80" s="84">
        <f>+C80*$F$95/100</f>
        <v>1.08</v>
      </c>
      <c r="H80" s="84">
        <f>+C80*$F$97/100</f>
        <v>1.68</v>
      </c>
      <c r="I80" s="84">
        <f>+$C80*$F$96/100</f>
        <v>8.5400000000000009</v>
      </c>
      <c r="J80" s="84">
        <f>+$C80*$F$98/100</f>
        <v>15.5</v>
      </c>
      <c r="K80" s="84">
        <f>+$C80*$F$99/100</f>
        <v>4.5</v>
      </c>
      <c r="L80" s="84">
        <f>+SUM(D80:K80)*0.025641</f>
        <v>7.4805053399999988</v>
      </c>
      <c r="M80" s="84">
        <f>SUM(D80:L80)</f>
        <v>299.22050533999993</v>
      </c>
      <c r="N80" s="83">
        <f>(+C80*$I$92)/100+$I$90</f>
        <v>174.21999999999997</v>
      </c>
      <c r="O80" s="84">
        <f>+$I$93*$C80/100</f>
        <v>76.86</v>
      </c>
      <c r="P80" s="84">
        <f>+$C80*$I$94/100</f>
        <v>3.84</v>
      </c>
      <c r="Q80" s="84">
        <f>+$C80*$I$95/100</f>
        <v>1.08</v>
      </c>
      <c r="R80" s="84">
        <f>+$C80*$I$97/100</f>
        <v>1.68</v>
      </c>
      <c r="S80" s="84">
        <f>+$C80*$I$96/100</f>
        <v>8.5400000000000009</v>
      </c>
      <c r="T80" s="84">
        <f>+$C80*$I$98/100</f>
        <v>15.5</v>
      </c>
      <c r="U80" s="84">
        <f>+SUM(N80:T80)*0.025641</f>
        <v>7.2235825200000008</v>
      </c>
      <c r="V80" s="84">
        <f>SUM(N80:U80)</f>
        <v>288.94358252000001</v>
      </c>
      <c r="W80" s="83">
        <f>+V80-M80</f>
        <v>-10.276922819999925</v>
      </c>
      <c r="X80" s="86">
        <f>+W80/M80</f>
        <v>-3.4345650236511718E-2</v>
      </c>
      <c r="Y80" s="90">
        <f>+M80/C80*100</f>
        <v>14.961025266999997</v>
      </c>
      <c r="Z80" s="91">
        <f>+V80/C80*100</f>
        <v>14.447179126000002</v>
      </c>
    </row>
    <row r="81" spans="1:26" x14ac:dyDescent="0.2">
      <c r="A81" s="395">
        <v>18</v>
      </c>
      <c r="B81" s="494"/>
      <c r="C81" s="68"/>
      <c r="D81" s="83"/>
      <c r="E81" s="84"/>
      <c r="F81" s="84"/>
      <c r="G81" s="84"/>
      <c r="H81" s="84"/>
      <c r="I81" s="84"/>
      <c r="J81" s="84"/>
      <c r="K81" s="84"/>
      <c r="L81" s="84"/>
      <c r="M81" s="84"/>
      <c r="N81" s="83"/>
      <c r="O81" s="84"/>
      <c r="P81" s="84"/>
      <c r="Q81" s="84"/>
      <c r="R81" s="84"/>
      <c r="S81" s="84"/>
      <c r="T81" s="84"/>
      <c r="U81" s="84"/>
      <c r="V81" s="84"/>
      <c r="W81" s="83"/>
      <c r="X81" s="86"/>
      <c r="Y81" s="89"/>
      <c r="Z81" s="88"/>
    </row>
    <row r="82" spans="1:26" x14ac:dyDescent="0.2">
      <c r="A82" s="395">
        <v>19</v>
      </c>
      <c r="B82" s="494">
        <v>0</v>
      </c>
      <c r="C82" s="68">
        <v>3000</v>
      </c>
      <c r="D82" s="83">
        <f>+$F$90+C82*$F$92/100</f>
        <v>258.35999999999996</v>
      </c>
      <c r="E82" s="84">
        <f>+C82*$F$93/100</f>
        <v>115.29</v>
      </c>
      <c r="F82" s="84">
        <f>+C82*$F$94/100</f>
        <v>5.76</v>
      </c>
      <c r="G82" s="84">
        <f>+C82*$F$95/100</f>
        <v>1.62</v>
      </c>
      <c r="H82" s="84">
        <f>+C82*$F$97/100</f>
        <v>2.5200000000000005</v>
      </c>
      <c r="I82" s="84">
        <f>+$C82*$F$96/100</f>
        <v>12.810000000000002</v>
      </c>
      <c r="J82" s="84">
        <f>+$C82*$F$98/100</f>
        <v>23.25</v>
      </c>
      <c r="K82" s="84">
        <f>+$C82*$F$99/100</f>
        <v>6.75</v>
      </c>
      <c r="L82" s="84">
        <f>+SUM(D82:K82)*0.025641</f>
        <v>10.93229676</v>
      </c>
      <c r="M82" s="84">
        <f>SUM(D82:L82)</f>
        <v>437.29229675999994</v>
      </c>
      <c r="N82" s="83">
        <f>(+C82*$I$92)/100+$I$90</f>
        <v>242.27999999999994</v>
      </c>
      <c r="O82" s="84">
        <f>+$I$93*$C82/100</f>
        <v>115.29</v>
      </c>
      <c r="P82" s="84">
        <f>+$C82*$I$94/100</f>
        <v>5.76</v>
      </c>
      <c r="Q82" s="84">
        <f>+$C82*$I$95/100</f>
        <v>1.62</v>
      </c>
      <c r="R82" s="84">
        <f>+$C82*$I$97/100</f>
        <v>2.5200000000000005</v>
      </c>
      <c r="S82" s="84">
        <f>+$C82*$I$96/100</f>
        <v>12.810000000000002</v>
      </c>
      <c r="T82" s="84">
        <f>+$C82*$I$98/100</f>
        <v>23.25</v>
      </c>
      <c r="U82" s="84">
        <f>+SUM(N82:T82)*0.025641</f>
        <v>10.346912729999998</v>
      </c>
      <c r="V82" s="84">
        <f>SUM(N82:U82)</f>
        <v>413.8769127299999</v>
      </c>
      <c r="W82" s="83">
        <f>+V82-M82</f>
        <v>-23.415384030000041</v>
      </c>
      <c r="X82" s="86">
        <f>+W82/M82</f>
        <v>-5.3546298902336156E-2</v>
      </c>
      <c r="Y82" s="90">
        <f>+M82/C82*100</f>
        <v>14.576409891999997</v>
      </c>
      <c r="Z82" s="91">
        <f>+V82/C82*100</f>
        <v>13.795897090999997</v>
      </c>
    </row>
    <row r="83" spans="1:26" x14ac:dyDescent="0.2">
      <c r="A83" s="395">
        <v>20</v>
      </c>
      <c r="B83" s="494"/>
      <c r="C83" s="68"/>
      <c r="D83" s="83"/>
      <c r="E83" s="84"/>
      <c r="F83" s="84"/>
      <c r="G83" s="84"/>
      <c r="H83" s="84"/>
      <c r="I83" s="84"/>
      <c r="J83" s="84"/>
      <c r="K83" s="84"/>
      <c r="L83" s="84"/>
      <c r="M83" s="84"/>
      <c r="N83" s="83"/>
      <c r="O83" s="84"/>
      <c r="P83" s="84"/>
      <c r="Q83" s="84"/>
      <c r="R83" s="84"/>
      <c r="S83" s="84"/>
      <c r="T83" s="84"/>
      <c r="U83" s="84"/>
      <c r="V83" s="84"/>
      <c r="W83" s="83"/>
      <c r="X83" s="86"/>
      <c r="Y83" s="89"/>
      <c r="Z83" s="88"/>
    </row>
    <row r="84" spans="1:26" x14ac:dyDescent="0.2">
      <c r="A84" s="395">
        <v>21</v>
      </c>
      <c r="B84" s="494">
        <v>0</v>
      </c>
      <c r="C84" s="68">
        <v>5000</v>
      </c>
      <c r="D84" s="83">
        <f>+$F$90+C84*$F$92/100</f>
        <v>415.59999999999991</v>
      </c>
      <c r="E84" s="84">
        <f>+C84*$F$93/100</f>
        <v>192.15</v>
      </c>
      <c r="F84" s="84">
        <f>+C84*$F$94/100</f>
        <v>9.6</v>
      </c>
      <c r="G84" s="84">
        <f>+C84*$F$95/100</f>
        <v>2.7</v>
      </c>
      <c r="H84" s="84">
        <f>+C84*$F$97/100</f>
        <v>4.2</v>
      </c>
      <c r="I84" s="84">
        <f>+$C84*$F$96/100</f>
        <v>21.350000000000005</v>
      </c>
      <c r="J84" s="84">
        <f>+$C84*$F$98/100</f>
        <v>38.75</v>
      </c>
      <c r="K84" s="84">
        <f>+$C84*$F$99/100</f>
        <v>11.25</v>
      </c>
      <c r="L84" s="84">
        <f>+SUM(D84:K84)*0.025641</f>
        <v>17.835879600000002</v>
      </c>
      <c r="M84" s="84">
        <f>SUM(D84:L84)</f>
        <v>713.43587960000002</v>
      </c>
      <c r="N84" s="83">
        <f>(+C84*$I$92)/100+$I$90</f>
        <v>378.4</v>
      </c>
      <c r="O84" s="84">
        <f>+$I$93*$C84/100</f>
        <v>192.15</v>
      </c>
      <c r="P84" s="84">
        <f>+$C84*$I$94/100</f>
        <v>9.6</v>
      </c>
      <c r="Q84" s="84">
        <f>+$C84*$I$95/100</f>
        <v>2.7</v>
      </c>
      <c r="R84" s="84">
        <f>+$C84*$I$97/100</f>
        <v>4.2</v>
      </c>
      <c r="S84" s="84">
        <f>+$C84*$I$96/100</f>
        <v>21.350000000000005</v>
      </c>
      <c r="T84" s="84">
        <f>+$C84*$I$98/100</f>
        <v>38.75</v>
      </c>
      <c r="U84" s="84">
        <f>+SUM(N84:T84)*0.025641</f>
        <v>16.593573150000001</v>
      </c>
      <c r="V84" s="84">
        <f>SUM(N84:U84)</f>
        <v>663.74357315000009</v>
      </c>
      <c r="W84" s="83">
        <f>+V84-M84</f>
        <v>-49.692306449999933</v>
      </c>
      <c r="X84" s="86">
        <f>+W84/M84</f>
        <v>-6.9652098907417956E-2</v>
      </c>
      <c r="Y84" s="90">
        <f>+M84/C84*100</f>
        <v>14.268717592</v>
      </c>
      <c r="Z84" s="91">
        <f>+V84/C84*100</f>
        <v>13.274871463000002</v>
      </c>
    </row>
    <row r="85" spans="1:26" x14ac:dyDescent="0.2">
      <c r="A85" s="395">
        <v>22</v>
      </c>
      <c r="B85" s="494"/>
      <c r="C85" s="68"/>
      <c r="D85" s="83"/>
      <c r="E85" s="84"/>
      <c r="F85" s="84"/>
      <c r="G85" s="84"/>
      <c r="H85" s="84"/>
      <c r="I85" s="84"/>
      <c r="J85" s="84"/>
      <c r="K85" s="84"/>
      <c r="L85" s="84"/>
      <c r="M85" s="84"/>
      <c r="N85" s="83"/>
      <c r="O85" s="84"/>
      <c r="P85" s="84"/>
      <c r="Q85" s="84"/>
      <c r="R85" s="84"/>
      <c r="S85" s="84"/>
      <c r="T85" s="84"/>
      <c r="U85" s="84"/>
      <c r="V85" s="84"/>
      <c r="W85" s="83"/>
      <c r="X85" s="86"/>
      <c r="Y85" s="89"/>
      <c r="Z85" s="88"/>
    </row>
    <row r="86" spans="1:26" x14ac:dyDescent="0.2">
      <c r="A86" s="395">
        <v>23</v>
      </c>
      <c r="B86" s="494">
        <v>0</v>
      </c>
      <c r="C86" s="68">
        <v>8500</v>
      </c>
      <c r="D86" s="83">
        <f>+$F$90+C86*$F$92/100</f>
        <v>690.77</v>
      </c>
      <c r="E86" s="84">
        <f>+C86*$F$93/100</f>
        <v>326.65499999999997</v>
      </c>
      <c r="F86" s="84">
        <f>+C86*$F$94/100</f>
        <v>16.32</v>
      </c>
      <c r="G86" s="84">
        <f>+C86*$F$95/100</f>
        <v>4.59</v>
      </c>
      <c r="H86" s="84">
        <f>+C86*$F$97/100</f>
        <v>7.14</v>
      </c>
      <c r="I86" s="84">
        <f>+$C86*$F$96/100</f>
        <v>36.295000000000002</v>
      </c>
      <c r="J86" s="84">
        <f>+$C86*$F$98/100</f>
        <v>65.875</v>
      </c>
      <c r="K86" s="84">
        <f>+$C86*$F$99/100</f>
        <v>19.125</v>
      </c>
      <c r="L86" s="84">
        <f>+SUM(D86:K86)*0.025641</f>
        <v>29.917149569999999</v>
      </c>
      <c r="M86" s="84">
        <f>SUM(D86:L86)</f>
        <v>1196.68714957</v>
      </c>
      <c r="N86" s="83">
        <f>(+C86*$I$92)/100+$I$90</f>
        <v>616.6099999999999</v>
      </c>
      <c r="O86" s="84">
        <f>+$I$93*$C86/100</f>
        <v>326.65499999999997</v>
      </c>
      <c r="P86" s="84">
        <f>+$C86*$I$94/100</f>
        <v>16.32</v>
      </c>
      <c r="Q86" s="84">
        <f>+$C86*$I$95/100</f>
        <v>4.59</v>
      </c>
      <c r="R86" s="84">
        <f>+$C86*$I$97/100</f>
        <v>7.14</v>
      </c>
      <c r="S86" s="84">
        <f>+$C86*$I$96/100</f>
        <v>36.295000000000002</v>
      </c>
      <c r="T86" s="84">
        <f>+$C86*$I$98/100</f>
        <v>65.875</v>
      </c>
      <c r="U86" s="84">
        <f>+SUM(N86:T86)*0.025641</f>
        <v>27.525228884999997</v>
      </c>
      <c r="V86" s="84">
        <f>SUM(N86:U86)</f>
        <v>1101.0102288849998</v>
      </c>
      <c r="W86" s="83">
        <f>+V86-M86</f>
        <v>-95.676920685000141</v>
      </c>
      <c r="X86" s="86">
        <f>+W86/M86</f>
        <v>-7.9951490010884876E-2</v>
      </c>
      <c r="Y86" s="90">
        <f>+M86/C86*100</f>
        <v>14.078672347882353</v>
      </c>
      <c r="Z86" s="91">
        <f>+V86/C86*100</f>
        <v>12.953061516294115</v>
      </c>
    </row>
    <row r="87" spans="1:26" x14ac:dyDescent="0.2">
      <c r="A87" s="395">
        <v>24</v>
      </c>
      <c r="B87" s="494"/>
      <c r="C87" s="68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6"/>
      <c r="X87" s="91"/>
      <c r="Y87" s="91"/>
    </row>
    <row r="88" spans="1:26" x14ac:dyDescent="0.2">
      <c r="A88" s="395">
        <v>25</v>
      </c>
      <c r="B88" s="494"/>
      <c r="C88" s="68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5"/>
      <c r="Y88" s="88"/>
    </row>
    <row r="89" spans="1:26" x14ac:dyDescent="0.2">
      <c r="A89" s="395">
        <v>26</v>
      </c>
      <c r="B89" s="494"/>
      <c r="C89" s="402"/>
      <c r="D89" s="402"/>
      <c r="E89" s="402"/>
      <c r="F89" s="574" t="s">
        <v>983</v>
      </c>
      <c r="G89" s="574"/>
      <c r="H89" s="402"/>
      <c r="I89" s="574" t="s">
        <v>989</v>
      </c>
      <c r="J89" s="574"/>
      <c r="K89" s="402"/>
      <c r="O89" s="395"/>
      <c r="P89" s="68"/>
      <c r="Q89" s="68"/>
      <c r="R89" s="68"/>
      <c r="S89" s="68"/>
      <c r="T89" s="68"/>
      <c r="U89" s="68"/>
      <c r="V89" s="68"/>
      <c r="W89" s="68"/>
      <c r="X89" s="68"/>
      <c r="Y89" s="68"/>
    </row>
    <row r="90" spans="1:26" x14ac:dyDescent="0.2">
      <c r="A90" s="395">
        <v>27</v>
      </c>
      <c r="B90" s="494"/>
      <c r="C90" s="398" t="s">
        <v>990</v>
      </c>
      <c r="D90" s="402"/>
      <c r="E90" s="402"/>
      <c r="F90" s="515">
        <f>ROUND(+'2025 GS Rate Class E-13c'!J19,2)*30</f>
        <v>22.5</v>
      </c>
      <c r="G90" s="398" t="s">
        <v>991</v>
      </c>
      <c r="H90" s="402"/>
      <c r="I90" s="515">
        <f>+ROUND('2025 GS Rate Class E-13c'!Q19,2)*30</f>
        <v>38.1</v>
      </c>
      <c r="J90" s="398" t="s">
        <v>991</v>
      </c>
      <c r="K90" s="398"/>
      <c r="L90" s="515"/>
      <c r="P90" s="68"/>
      <c r="Q90" s="68"/>
      <c r="T90" s="68"/>
      <c r="U90" s="68"/>
      <c r="V90" s="68"/>
      <c r="W90" s="68"/>
      <c r="X90" s="68"/>
      <c r="Y90" s="68"/>
    </row>
    <row r="91" spans="1:26" x14ac:dyDescent="0.2">
      <c r="A91" s="395">
        <v>28</v>
      </c>
      <c r="B91" s="494"/>
      <c r="C91" s="398" t="s">
        <v>992</v>
      </c>
      <c r="D91" s="402"/>
      <c r="E91" s="402"/>
      <c r="F91" s="515">
        <v>0</v>
      </c>
      <c r="G91" s="398" t="s">
        <v>1018</v>
      </c>
      <c r="H91" s="402"/>
      <c r="I91" s="515">
        <v>0</v>
      </c>
      <c r="J91" s="398" t="s">
        <v>1018</v>
      </c>
      <c r="K91" s="398"/>
      <c r="L91" s="92"/>
      <c r="P91" s="68"/>
      <c r="T91" s="68"/>
      <c r="U91" s="68"/>
      <c r="V91" s="68"/>
      <c r="W91" s="68"/>
      <c r="X91" s="68"/>
      <c r="Y91" s="68"/>
    </row>
    <row r="92" spans="1:26" x14ac:dyDescent="0.2">
      <c r="A92" s="395">
        <v>29</v>
      </c>
      <c r="B92" s="494"/>
      <c r="C92" s="398" t="s">
        <v>993</v>
      </c>
      <c r="D92" s="402"/>
      <c r="E92" s="402"/>
      <c r="F92" s="516">
        <f>+ROUND('2025 GS Rate Class E-13c'!J25,5)*100</f>
        <v>7.8619999999999992</v>
      </c>
      <c r="G92" s="398" t="s">
        <v>1019</v>
      </c>
      <c r="H92" s="402"/>
      <c r="I92" s="516">
        <f>+ROUND('2025 GS Rate Class E-13c'!Q25,5)*100</f>
        <v>6.8059999999999992</v>
      </c>
      <c r="J92" s="398" t="s">
        <v>1019</v>
      </c>
      <c r="K92" s="398"/>
      <c r="L92" s="516"/>
      <c r="P92" s="68"/>
      <c r="Q92" s="68"/>
      <c r="T92" s="68"/>
      <c r="U92" s="68"/>
      <c r="V92" s="68"/>
      <c r="W92" s="68"/>
      <c r="X92" s="68"/>
      <c r="Y92" s="68"/>
    </row>
    <row r="93" spans="1:26" x14ac:dyDescent="0.2">
      <c r="A93" s="395">
        <v>30</v>
      </c>
      <c r="B93" s="494"/>
      <c r="C93" s="398" t="s">
        <v>1006</v>
      </c>
      <c r="F93" s="516">
        <f>0.03843*100</f>
        <v>3.843</v>
      </c>
      <c r="G93" s="398" t="s">
        <v>1019</v>
      </c>
      <c r="I93" s="516">
        <f t="shared" ref="I93:I98" si="1">+F93</f>
        <v>3.843</v>
      </c>
      <c r="J93" s="398" t="s">
        <v>1019</v>
      </c>
      <c r="K93" s="398"/>
      <c r="L93" s="516"/>
      <c r="P93" s="68"/>
      <c r="Q93" s="68"/>
      <c r="T93" s="68"/>
      <c r="U93" s="68"/>
      <c r="V93" s="68"/>
      <c r="W93" s="68"/>
      <c r="X93" s="68"/>
      <c r="Y93" s="68"/>
    </row>
    <row r="94" spans="1:26" x14ac:dyDescent="0.2">
      <c r="A94" s="395">
        <v>31</v>
      </c>
      <c r="B94" s="494"/>
      <c r="C94" s="398" t="s">
        <v>997</v>
      </c>
      <c r="D94" s="402"/>
      <c r="E94" s="402"/>
      <c r="F94" s="516">
        <f>0.00192*100</f>
        <v>0.192</v>
      </c>
      <c r="G94" s="398" t="s">
        <v>1019</v>
      </c>
      <c r="H94" s="402"/>
      <c r="I94" s="516">
        <f t="shared" si="1"/>
        <v>0.192</v>
      </c>
      <c r="J94" s="398" t="s">
        <v>1019</v>
      </c>
      <c r="K94" s="398"/>
      <c r="L94" s="516"/>
      <c r="P94" s="68"/>
      <c r="Q94" s="68"/>
      <c r="T94" s="68"/>
      <c r="U94" s="68"/>
      <c r="V94" s="68"/>
      <c r="W94" s="68"/>
      <c r="X94" s="68"/>
      <c r="Y94" s="68"/>
    </row>
    <row r="95" spans="1:26" x14ac:dyDescent="0.2">
      <c r="A95" s="395">
        <v>32</v>
      </c>
      <c r="B95" s="494"/>
      <c r="C95" s="398" t="s">
        <v>998</v>
      </c>
      <c r="D95" s="402"/>
      <c r="E95" s="402"/>
      <c r="F95" s="516">
        <f>0.00054*100</f>
        <v>5.3999999999999999E-2</v>
      </c>
      <c r="G95" s="398" t="s">
        <v>1019</v>
      </c>
      <c r="I95" s="516">
        <f t="shared" si="1"/>
        <v>5.3999999999999999E-2</v>
      </c>
      <c r="J95" s="398" t="s">
        <v>1019</v>
      </c>
      <c r="K95" s="398"/>
      <c r="L95" s="516"/>
      <c r="P95" s="68"/>
      <c r="Q95" s="68"/>
      <c r="R95" s="68"/>
      <c r="S95" s="68"/>
      <c r="T95" s="68"/>
      <c r="U95" s="68"/>
      <c r="V95" s="68"/>
      <c r="W95" s="68"/>
      <c r="X95" s="68"/>
      <c r="Y95" s="68"/>
    </row>
    <row r="96" spans="1:26" x14ac:dyDescent="0.2">
      <c r="A96" s="395">
        <v>33</v>
      </c>
      <c r="B96" s="494"/>
      <c r="C96" s="398" t="s">
        <v>999</v>
      </c>
      <c r="D96" s="402"/>
      <c r="E96" s="402"/>
      <c r="F96" s="516">
        <f>0.00427*100</f>
        <v>0.42700000000000005</v>
      </c>
      <c r="G96" s="398" t="s">
        <v>1019</v>
      </c>
      <c r="I96" s="516">
        <f t="shared" si="1"/>
        <v>0.42700000000000005</v>
      </c>
      <c r="J96" s="398" t="s">
        <v>1019</v>
      </c>
      <c r="K96" s="398"/>
      <c r="L96" s="516"/>
      <c r="P96" s="68"/>
      <c r="Q96" s="68"/>
      <c r="R96" s="68"/>
      <c r="S96" s="68"/>
      <c r="T96" s="68"/>
      <c r="U96" s="68"/>
      <c r="V96" s="68"/>
      <c r="W96" s="68"/>
      <c r="X96" s="68"/>
      <c r="Y96" s="68"/>
    </row>
    <row r="97" spans="1:26" x14ac:dyDescent="0.2">
      <c r="A97" s="395">
        <v>34</v>
      </c>
      <c r="B97" s="494"/>
      <c r="C97" s="398" t="s">
        <v>1000</v>
      </c>
      <c r="D97" s="402"/>
      <c r="E97" s="402"/>
      <c r="F97" s="516">
        <f>0.00084*100</f>
        <v>8.4000000000000005E-2</v>
      </c>
      <c r="G97" s="398" t="s">
        <v>1019</v>
      </c>
      <c r="H97" s="405"/>
      <c r="I97" s="516">
        <f t="shared" si="1"/>
        <v>8.4000000000000005E-2</v>
      </c>
      <c r="J97" s="398" t="s">
        <v>1019</v>
      </c>
      <c r="K97" s="398"/>
      <c r="L97" s="516"/>
      <c r="P97" s="68"/>
      <c r="Q97" s="68"/>
      <c r="R97" s="68"/>
      <c r="S97" s="68"/>
      <c r="T97" s="68"/>
      <c r="U97" s="68"/>
      <c r="V97" s="68"/>
      <c r="W97" s="68"/>
      <c r="X97" s="68"/>
      <c r="Y97" s="68"/>
    </row>
    <row r="98" spans="1:26" x14ac:dyDescent="0.2">
      <c r="A98" s="395">
        <v>35</v>
      </c>
      <c r="B98" s="494"/>
      <c r="C98" s="398" t="s">
        <v>1001</v>
      </c>
      <c r="D98" s="402"/>
      <c r="E98" s="402"/>
      <c r="F98" s="516">
        <f>0.00775*100</f>
        <v>0.77500000000000002</v>
      </c>
      <c r="G98" s="398" t="s">
        <v>1019</v>
      </c>
      <c r="H98" s="405"/>
      <c r="I98" s="516">
        <f t="shared" si="1"/>
        <v>0.77500000000000002</v>
      </c>
      <c r="J98" s="398" t="s">
        <v>1019</v>
      </c>
      <c r="K98" s="398"/>
      <c r="L98" s="516"/>
      <c r="P98" s="68"/>
      <c r="Q98" s="68"/>
      <c r="R98" s="68"/>
      <c r="S98" s="68"/>
      <c r="T98" s="68"/>
      <c r="U98" s="68"/>
      <c r="V98" s="68"/>
      <c r="W98" s="68"/>
      <c r="X98" s="68"/>
      <c r="Y98" s="68"/>
    </row>
    <row r="99" spans="1:26" x14ac:dyDescent="0.2">
      <c r="A99" s="395">
        <v>36</v>
      </c>
      <c r="B99" s="395"/>
      <c r="C99" s="398" t="s">
        <v>1692</v>
      </c>
      <c r="D99" s="402"/>
      <c r="E99" s="402"/>
      <c r="F99" s="516">
        <v>0.22500000000000001</v>
      </c>
      <c r="G99" s="398" t="s">
        <v>1019</v>
      </c>
      <c r="H99" s="405"/>
      <c r="I99" s="516"/>
      <c r="J99" s="398"/>
      <c r="P99" s="405"/>
      <c r="Q99" s="405"/>
      <c r="R99" s="405"/>
      <c r="S99" s="405"/>
      <c r="T99" s="405"/>
      <c r="U99" s="405"/>
      <c r="V99" s="405"/>
      <c r="W99" s="405"/>
      <c r="X99" s="405"/>
      <c r="Y99" s="405"/>
    </row>
    <row r="100" spans="1:26" x14ac:dyDescent="0.2">
      <c r="A100" s="395">
        <v>37</v>
      </c>
      <c r="B100" s="395"/>
      <c r="C100" s="68"/>
      <c r="P100" s="405"/>
      <c r="Q100" s="405"/>
      <c r="R100" s="405"/>
      <c r="S100" s="405"/>
      <c r="T100" s="405"/>
      <c r="U100" s="405"/>
      <c r="V100" s="405"/>
      <c r="W100" s="405"/>
      <c r="X100" s="405"/>
      <c r="Y100" s="405"/>
    </row>
    <row r="101" spans="1:26" x14ac:dyDescent="0.2">
      <c r="A101" s="395">
        <v>38</v>
      </c>
      <c r="B101" s="395"/>
      <c r="C101" s="68" t="s">
        <v>1017</v>
      </c>
      <c r="O101" s="405"/>
      <c r="P101" s="405"/>
      <c r="Q101" s="405"/>
      <c r="R101" s="405"/>
      <c r="S101" s="405"/>
      <c r="T101" s="405"/>
      <c r="U101" s="405"/>
      <c r="V101" s="405"/>
      <c r="W101" s="405"/>
      <c r="X101" s="405"/>
      <c r="Y101" s="405"/>
    </row>
    <row r="102" spans="1:26" x14ac:dyDescent="0.2">
      <c r="A102" s="395">
        <v>41</v>
      </c>
      <c r="B102" s="395"/>
      <c r="C102" s="68"/>
      <c r="E102" s="395"/>
      <c r="F102" s="405"/>
      <c r="G102" s="405"/>
      <c r="H102" s="405"/>
      <c r="I102" s="405"/>
      <c r="J102" s="405"/>
      <c r="K102" s="405"/>
      <c r="L102" s="405"/>
      <c r="M102" s="405"/>
      <c r="N102" s="405"/>
      <c r="O102" s="405"/>
      <c r="P102" s="405"/>
      <c r="Q102" s="405"/>
      <c r="R102" s="405"/>
      <c r="S102" s="405"/>
      <c r="T102" s="405"/>
      <c r="U102" s="405"/>
      <c r="V102" s="405"/>
      <c r="W102" s="405"/>
      <c r="X102" s="405"/>
      <c r="Y102" s="405"/>
    </row>
    <row r="103" spans="1:26" ht="13.5" thickBot="1" x14ac:dyDescent="0.25">
      <c r="A103" s="395">
        <v>42</v>
      </c>
      <c r="B103" s="396"/>
      <c r="C103" s="396"/>
      <c r="D103" s="396"/>
      <c r="E103" s="396"/>
      <c r="F103" s="396"/>
      <c r="G103" s="396"/>
      <c r="H103" s="396"/>
      <c r="I103" s="396"/>
      <c r="J103" s="396"/>
      <c r="K103" s="396"/>
      <c r="L103" s="396"/>
      <c r="M103" s="396"/>
      <c r="N103" s="396"/>
      <c r="O103" s="396"/>
      <c r="P103" s="396"/>
      <c r="Q103" s="396"/>
      <c r="R103" s="396"/>
      <c r="S103" s="396"/>
      <c r="T103" s="396"/>
      <c r="U103" s="396"/>
      <c r="V103" s="396"/>
      <c r="W103" s="396"/>
      <c r="X103" s="396"/>
      <c r="Y103" s="396"/>
      <c r="Z103" s="504"/>
    </row>
    <row r="104" spans="1:26" x14ac:dyDescent="0.2">
      <c r="A104" s="395" t="str">
        <f>+'A-2 for RS_GS_GSD'!$A$52</f>
        <v>Supporting Schedules:  E-13c, E-14 Supplement</v>
      </c>
      <c r="B104" s="395"/>
      <c r="C104" s="395"/>
      <c r="D104" s="395"/>
      <c r="E104" s="395"/>
      <c r="F104" s="395"/>
      <c r="G104" s="395"/>
      <c r="H104" s="395"/>
      <c r="I104" s="395"/>
      <c r="J104" s="395"/>
      <c r="K104" s="395"/>
      <c r="L104" s="395"/>
      <c r="M104" s="395"/>
      <c r="N104" s="395"/>
      <c r="O104" s="395"/>
      <c r="P104" s="395"/>
      <c r="Q104" s="395"/>
      <c r="R104" s="395"/>
      <c r="S104" s="395"/>
      <c r="T104" s="395"/>
      <c r="U104" s="395"/>
      <c r="V104" s="395"/>
      <c r="W104" s="395" t="s">
        <v>1003</v>
      </c>
      <c r="X104" s="395"/>
      <c r="Y104" s="395"/>
    </row>
    <row r="105" spans="1:26" ht="13.5" thickBot="1" x14ac:dyDescent="0.25">
      <c r="A105" s="396" t="s">
        <v>943</v>
      </c>
      <c r="B105" s="396"/>
      <c r="C105" s="396"/>
      <c r="D105" s="396"/>
      <c r="E105" s="396"/>
      <c r="F105" s="396"/>
      <c r="G105" s="396"/>
      <c r="H105" s="396" t="s">
        <v>944</v>
      </c>
      <c r="I105" s="396"/>
      <c r="J105" s="396"/>
      <c r="K105" s="396"/>
      <c r="L105" s="396"/>
      <c r="M105" s="396"/>
      <c r="N105" s="396"/>
      <c r="O105" s="396"/>
      <c r="P105" s="396"/>
      <c r="Q105" s="396"/>
      <c r="R105" s="396"/>
      <c r="S105" s="396"/>
      <c r="T105" s="396"/>
      <c r="U105" s="396"/>
      <c r="V105" s="396"/>
      <c r="W105" s="396"/>
      <c r="X105" s="396"/>
      <c r="Y105" s="396" t="s">
        <v>1036</v>
      </c>
      <c r="Z105" s="504"/>
    </row>
    <row r="106" spans="1:26" x14ac:dyDescent="0.2">
      <c r="A106" s="395" t="s">
        <v>307</v>
      </c>
      <c r="B106" s="395"/>
      <c r="C106" s="395"/>
      <c r="D106" s="395"/>
      <c r="E106" s="395"/>
      <c r="F106" s="395" t="s">
        <v>946</v>
      </c>
      <c r="G106" s="395"/>
      <c r="H106" s="395" t="s">
        <v>947</v>
      </c>
      <c r="I106" s="395"/>
      <c r="J106" s="395"/>
      <c r="K106" s="395"/>
      <c r="L106" s="395"/>
      <c r="M106" s="397"/>
      <c r="N106" s="397"/>
      <c r="O106" s="395"/>
      <c r="P106" s="397"/>
      <c r="Q106" s="397"/>
      <c r="R106" s="397"/>
      <c r="S106" s="397"/>
      <c r="T106" s="397"/>
      <c r="U106" s="397"/>
      <c r="V106" s="397" t="s">
        <v>847</v>
      </c>
      <c r="W106" s="395"/>
      <c r="X106" s="395"/>
      <c r="Y106" s="398"/>
    </row>
    <row r="107" spans="1:26" x14ac:dyDescent="0.2">
      <c r="A107" s="395"/>
      <c r="B107" s="395"/>
      <c r="C107" s="395"/>
      <c r="D107" s="395"/>
      <c r="E107" s="395"/>
      <c r="F107" s="395"/>
      <c r="G107" s="395"/>
      <c r="H107" s="395"/>
      <c r="I107" s="395"/>
      <c r="J107" s="395"/>
      <c r="K107" s="395"/>
      <c r="L107" s="395"/>
      <c r="M107" s="399"/>
      <c r="N107" s="398"/>
      <c r="O107" s="395"/>
      <c r="P107" s="395"/>
      <c r="Q107" s="395"/>
      <c r="R107" s="395"/>
      <c r="S107" s="395"/>
      <c r="T107" s="395"/>
      <c r="U107" s="399"/>
      <c r="V107" s="399" t="s">
        <v>919</v>
      </c>
      <c r="W107" s="398" t="s">
        <v>920</v>
      </c>
      <c r="X107" s="395"/>
      <c r="Y107" s="399"/>
    </row>
    <row r="108" spans="1:26" x14ac:dyDescent="0.2">
      <c r="A108" s="395" t="s">
        <v>310</v>
      </c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  <c r="M108" s="399"/>
      <c r="N108" s="398"/>
      <c r="O108" s="399"/>
      <c r="P108" s="395"/>
      <c r="Q108" s="395"/>
      <c r="R108" s="395"/>
      <c r="S108" s="395"/>
      <c r="T108" s="395"/>
      <c r="U108" s="395"/>
      <c r="V108" s="398"/>
      <c r="W108" s="398" t="s">
        <v>937</v>
      </c>
      <c r="X108" s="395"/>
      <c r="Y108" s="399"/>
    </row>
    <row r="109" spans="1:26" x14ac:dyDescent="0.2">
      <c r="A109" s="395"/>
      <c r="B109" s="395"/>
      <c r="C109" s="395"/>
      <c r="D109" s="395"/>
      <c r="E109" s="395"/>
      <c r="F109" s="395"/>
      <c r="G109" s="575" t="s">
        <v>1007</v>
      </c>
      <c r="H109" s="575"/>
      <c r="I109" s="575"/>
      <c r="J109" s="575"/>
      <c r="K109" s="575"/>
      <c r="L109" s="575"/>
      <c r="M109" s="575"/>
      <c r="N109" s="575"/>
      <c r="O109" s="575"/>
      <c r="P109" s="575"/>
      <c r="Q109" s="575"/>
      <c r="R109" s="395"/>
      <c r="S109" s="395"/>
      <c r="T109" s="395"/>
      <c r="U109" s="395"/>
      <c r="V109" s="399"/>
      <c r="W109" s="398" t="s">
        <v>938</v>
      </c>
      <c r="X109" s="395"/>
      <c r="Y109" s="399"/>
    </row>
    <row r="110" spans="1:26" ht="13.5" thickBot="1" x14ac:dyDescent="0.25">
      <c r="A110" s="396" t="s">
        <v>1022</v>
      </c>
      <c r="B110" s="396"/>
      <c r="C110" s="396"/>
      <c r="D110" s="396"/>
      <c r="E110" s="396"/>
      <c r="F110" s="396"/>
      <c r="G110" s="396"/>
      <c r="H110" s="396"/>
      <c r="I110" s="396"/>
      <c r="J110" s="396"/>
      <c r="K110" s="396"/>
      <c r="L110" s="396"/>
      <c r="M110" s="400"/>
      <c r="N110" s="396"/>
      <c r="O110" s="396"/>
      <c r="P110" s="396"/>
      <c r="Q110" s="396"/>
      <c r="R110" s="396"/>
      <c r="S110" s="396"/>
      <c r="T110" s="396"/>
      <c r="U110" s="396"/>
      <c r="V110" s="396"/>
      <c r="W110" s="396" t="s">
        <v>311</v>
      </c>
      <c r="X110" s="396"/>
      <c r="Y110" s="396"/>
      <c r="Z110" s="504"/>
    </row>
    <row r="111" spans="1:26" x14ac:dyDescent="0.2">
      <c r="A111" s="395"/>
      <c r="B111" s="577" t="s">
        <v>949</v>
      </c>
      <c r="C111" s="577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</row>
    <row r="112" spans="1:26" x14ac:dyDescent="0.2">
      <c r="A112" s="395"/>
      <c r="B112" s="574" t="s">
        <v>817</v>
      </c>
      <c r="C112" s="574"/>
      <c r="D112" s="576" t="s">
        <v>950</v>
      </c>
      <c r="E112" s="576"/>
      <c r="F112" s="576"/>
      <c r="G112" s="576"/>
      <c r="H112" s="576"/>
      <c r="I112" s="576"/>
      <c r="J112" s="576"/>
      <c r="K112" s="576"/>
      <c r="L112" s="576"/>
      <c r="M112" s="576"/>
      <c r="N112" s="576" t="s">
        <v>951</v>
      </c>
      <c r="O112" s="576"/>
      <c r="P112" s="576"/>
      <c r="Q112" s="576"/>
      <c r="R112" s="576"/>
      <c r="S112" s="576"/>
      <c r="T112" s="576"/>
      <c r="U112" s="576"/>
      <c r="W112" s="576" t="s">
        <v>952</v>
      </c>
      <c r="X112" s="576"/>
      <c r="Y112" s="576" t="s">
        <v>953</v>
      </c>
      <c r="Z112" s="576"/>
    </row>
    <row r="113" spans="1:26" x14ac:dyDescent="0.2">
      <c r="A113" s="395"/>
      <c r="B113" s="402" t="s">
        <v>848</v>
      </c>
      <c r="C113" s="402" t="s">
        <v>849</v>
      </c>
      <c r="D113" s="505" t="s">
        <v>850</v>
      </c>
      <c r="E113" s="402" t="s">
        <v>851</v>
      </c>
      <c r="F113" s="402" t="s">
        <v>954</v>
      </c>
      <c r="G113" s="401" t="s">
        <v>955</v>
      </c>
      <c r="H113" s="401" t="s">
        <v>956</v>
      </c>
      <c r="I113" s="401" t="s">
        <v>957</v>
      </c>
      <c r="J113" s="401" t="s">
        <v>958</v>
      </c>
      <c r="K113" s="506" t="s">
        <v>959</v>
      </c>
      <c r="L113" s="506" t="s">
        <v>960</v>
      </c>
      <c r="M113" s="507" t="s">
        <v>961</v>
      </c>
      <c r="N113" s="401" t="s">
        <v>962</v>
      </c>
      <c r="O113" s="401" t="s">
        <v>963</v>
      </c>
      <c r="P113" s="401" t="s">
        <v>964</v>
      </c>
      <c r="Q113" s="401" t="s">
        <v>965</v>
      </c>
      <c r="R113" s="401" t="s">
        <v>966</v>
      </c>
      <c r="S113" s="401" t="s">
        <v>967</v>
      </c>
      <c r="T113" s="401" t="s">
        <v>968</v>
      </c>
      <c r="U113" s="506" t="s">
        <v>969</v>
      </c>
      <c r="V113" s="507" t="s">
        <v>970</v>
      </c>
      <c r="W113" s="507" t="s">
        <v>971</v>
      </c>
      <c r="X113" s="401" t="s">
        <v>972</v>
      </c>
      <c r="Y113" s="401" t="s">
        <v>1020</v>
      </c>
      <c r="Z113" s="401" t="s">
        <v>1027</v>
      </c>
    </row>
    <row r="114" spans="1:26" x14ac:dyDescent="0.2">
      <c r="A114" s="395" t="s">
        <v>314</v>
      </c>
      <c r="B114" s="402" t="s">
        <v>973</v>
      </c>
      <c r="C114" s="402"/>
      <c r="D114" s="508" t="s">
        <v>974</v>
      </c>
      <c r="E114" s="402" t="s">
        <v>975</v>
      </c>
      <c r="F114" s="402" t="s">
        <v>976</v>
      </c>
      <c r="G114" s="401" t="s">
        <v>977</v>
      </c>
      <c r="H114" s="402" t="s">
        <v>978</v>
      </c>
      <c r="I114" s="402" t="s">
        <v>1693</v>
      </c>
      <c r="J114" s="402" t="s">
        <v>979</v>
      </c>
      <c r="K114" s="402" t="s">
        <v>1690</v>
      </c>
      <c r="L114" s="402" t="s">
        <v>980</v>
      </c>
      <c r="M114" s="509" t="s">
        <v>718</v>
      </c>
      <c r="N114" s="402" t="s">
        <v>974</v>
      </c>
      <c r="O114" s="402" t="s">
        <v>975</v>
      </c>
      <c r="P114" s="401" t="s">
        <v>976</v>
      </c>
      <c r="Q114" s="401" t="s">
        <v>977</v>
      </c>
      <c r="R114" s="402" t="s">
        <v>978</v>
      </c>
      <c r="S114" s="402" t="s">
        <v>1693</v>
      </c>
      <c r="T114" s="402" t="s">
        <v>979</v>
      </c>
      <c r="U114" s="402" t="s">
        <v>980</v>
      </c>
      <c r="V114" s="509" t="s">
        <v>718</v>
      </c>
      <c r="W114" s="401" t="s">
        <v>981</v>
      </c>
      <c r="X114" s="509" t="s">
        <v>982</v>
      </c>
      <c r="Y114" s="402" t="s">
        <v>983</v>
      </c>
      <c r="Z114" s="402" t="s">
        <v>984</v>
      </c>
    </row>
    <row r="115" spans="1:26" ht="13.5" thickBot="1" x14ac:dyDescent="0.25">
      <c r="A115" s="396" t="s">
        <v>320</v>
      </c>
      <c r="B115" s="510" t="s">
        <v>985</v>
      </c>
      <c r="C115" s="80" t="s">
        <v>986</v>
      </c>
      <c r="D115" s="81" t="s">
        <v>987</v>
      </c>
      <c r="E115" s="80" t="s">
        <v>988</v>
      </c>
      <c r="F115" s="80" t="s">
        <v>988</v>
      </c>
      <c r="G115" s="403" t="s">
        <v>988</v>
      </c>
      <c r="H115" s="80" t="s">
        <v>988</v>
      </c>
      <c r="I115" s="80" t="s">
        <v>1694</v>
      </c>
      <c r="J115" s="80" t="s">
        <v>988</v>
      </c>
      <c r="K115" s="80" t="s">
        <v>1691</v>
      </c>
      <c r="L115" s="80" t="s">
        <v>988</v>
      </c>
      <c r="M115" s="82"/>
      <c r="N115" s="403" t="s">
        <v>987</v>
      </c>
      <c r="O115" s="403" t="s">
        <v>988</v>
      </c>
      <c r="P115" s="403" t="s">
        <v>988</v>
      </c>
      <c r="Q115" s="403" t="s">
        <v>988</v>
      </c>
      <c r="R115" s="80" t="s">
        <v>988</v>
      </c>
      <c r="S115" s="80" t="s">
        <v>1694</v>
      </c>
      <c r="T115" s="80" t="s">
        <v>988</v>
      </c>
      <c r="U115" s="80" t="s">
        <v>988</v>
      </c>
      <c r="V115" s="82"/>
      <c r="W115" s="80" t="s">
        <v>1695</v>
      </c>
      <c r="X115" s="82" t="s">
        <v>1696</v>
      </c>
      <c r="Y115" s="400" t="s">
        <v>1697</v>
      </c>
      <c r="Z115" s="400" t="s">
        <v>1698</v>
      </c>
    </row>
    <row r="116" spans="1:26" x14ac:dyDescent="0.2">
      <c r="A116" s="395">
        <v>1</v>
      </c>
      <c r="B116" s="497">
        <v>75</v>
      </c>
      <c r="C116" s="68">
        <f>+B116*730*0.2</f>
        <v>10950</v>
      </c>
      <c r="D116" s="85">
        <f>+$I$134+($I$135*$B116+$I$138*$C116)/100</f>
        <v>811.49249999999995</v>
      </c>
      <c r="E116" s="84">
        <f>+$C116*$I$142/100</f>
        <v>420.80849999999998</v>
      </c>
      <c r="F116" s="84">
        <f>+$C116*$I$145/100</f>
        <v>19.162500000000001</v>
      </c>
      <c r="G116" s="84">
        <f>+$C116*$I$146/100</f>
        <v>5.2560000000000002</v>
      </c>
      <c r="H116" s="84">
        <f>+$C116*$I$148/100</f>
        <v>8.8694999999999986</v>
      </c>
      <c r="I116" s="84">
        <f>+$C116*$I$147/100</f>
        <v>29.127000000000002</v>
      </c>
      <c r="J116" s="84">
        <f>C116*I149/100</f>
        <v>18.834</v>
      </c>
      <c r="K116" s="84">
        <f>C116*$I$150/100</f>
        <v>5.694</v>
      </c>
      <c r="L116" s="84">
        <f>+SUM(D116:K116)*0.025641</f>
        <v>33.826735403999997</v>
      </c>
      <c r="M116" s="84">
        <f>SUM(D116:L116)</f>
        <v>1353.0707354039998</v>
      </c>
      <c r="N116" s="85">
        <f>+$P$134+$P$135*$B116+$P$138/100*$C116</f>
        <v>971.72849999999994</v>
      </c>
      <c r="O116" s="84">
        <f>+$C116*$P$142/100</f>
        <v>420.80849999999998</v>
      </c>
      <c r="P116" s="84">
        <f>+$C116*$P$145/100</f>
        <v>19.162500000000001</v>
      </c>
      <c r="Q116" s="84">
        <f>+$C116*$P$146/100</f>
        <v>5.2560000000000002</v>
      </c>
      <c r="R116" s="84">
        <f>+$C116*$P$148/100</f>
        <v>8.8694999999999986</v>
      </c>
      <c r="S116" s="84">
        <f>+$C116*$P$147/100</f>
        <v>29.127000000000002</v>
      </c>
      <c r="T116" s="84">
        <f>C116*$P$149/100</f>
        <v>18.834</v>
      </c>
      <c r="U116" s="84">
        <f>+SUM(N116:T116)*0.025641</f>
        <v>37.789346825999999</v>
      </c>
      <c r="V116" s="84">
        <f>SUM(N116:U116)</f>
        <v>1511.5753468259998</v>
      </c>
      <c r="W116" s="85">
        <f>+V116-M116</f>
        <v>158.50461142199993</v>
      </c>
      <c r="X116" s="86">
        <f>+W116/M116</f>
        <v>0.11714436449966795</v>
      </c>
      <c r="Y116" s="96">
        <f>(+M116*100)/C116</f>
        <v>12.3568103689863</v>
      </c>
      <c r="Z116" s="93">
        <f>(+V116*100)/C116</f>
        <v>13.804341066904108</v>
      </c>
    </row>
    <row r="117" spans="1:26" x14ac:dyDescent="0.2">
      <c r="A117" s="395">
        <v>2</v>
      </c>
      <c r="B117" s="497">
        <v>75</v>
      </c>
      <c r="C117" s="68">
        <f>+B117*730*0.35</f>
        <v>19162.5</v>
      </c>
      <c r="D117" s="83">
        <f>+$F$134+$F$135*$B117+($F$138*$C117)/100</f>
        <v>1238.4360000000001</v>
      </c>
      <c r="E117" s="84">
        <f>+$C117*$F$142/100</f>
        <v>736.41487500000005</v>
      </c>
      <c r="F117" s="84">
        <f>+$B117*$F$145</f>
        <v>54.75</v>
      </c>
      <c r="G117" s="84">
        <f>+$B117*$F$146</f>
        <v>15</v>
      </c>
      <c r="H117" s="84">
        <f>+$C117*$F$148/100</f>
        <v>15.521624999999997</v>
      </c>
      <c r="I117" s="84">
        <f>+$B117*$F$147</f>
        <v>84.000000000000014</v>
      </c>
      <c r="J117" s="84">
        <f>B117*F149</f>
        <v>54</v>
      </c>
      <c r="K117" s="84">
        <f>+$C117*$F$150/100</f>
        <v>9.9644999999999992</v>
      </c>
      <c r="L117" s="84">
        <f t="shared" ref="L117:L119" si="2">+SUM(D117:K117)*0.025641</f>
        <v>56.617558766999998</v>
      </c>
      <c r="M117" s="84">
        <f>SUM(D117:L117)</f>
        <v>2264.704558767</v>
      </c>
      <c r="N117" s="83">
        <f>+$M$134+$M$135*$B117+$M$138/100*$C117</f>
        <v>1671.2261249999999</v>
      </c>
      <c r="O117" s="84">
        <f>+$C117*$M$142/100</f>
        <v>736.41487500000005</v>
      </c>
      <c r="P117" s="84">
        <f>+$B117*$M$145</f>
        <v>54.75</v>
      </c>
      <c r="Q117" s="84">
        <f>+$B117*$M$146</f>
        <v>15</v>
      </c>
      <c r="R117" s="84">
        <f>+$C117*$M$148/100</f>
        <v>15.521624999999997</v>
      </c>
      <c r="S117" s="84">
        <f>+$B117*$M$147</f>
        <v>84.000000000000014</v>
      </c>
      <c r="T117" s="84">
        <f>B117*$M$149</f>
        <v>54</v>
      </c>
      <c r="U117" s="84">
        <f>+SUM(N117:T117)*0.025641</f>
        <v>67.459230617624996</v>
      </c>
      <c r="V117" s="84">
        <f>SUM(N117:U117)</f>
        <v>2698.371855617625</v>
      </c>
      <c r="W117" s="83">
        <f>+V117-M117</f>
        <v>433.66729685062501</v>
      </c>
      <c r="X117" s="86">
        <f>+W117/M117</f>
        <v>0.19148956766649142</v>
      </c>
      <c r="Y117" s="97">
        <f>(+M117*100)/C117</f>
        <v>11.818419093369863</v>
      </c>
      <c r="Z117" s="93">
        <f>(+V117*100)/C117</f>
        <v>14.081523056060664</v>
      </c>
    </row>
    <row r="118" spans="1:26" x14ac:dyDescent="0.2">
      <c r="A118" s="395">
        <v>3</v>
      </c>
      <c r="B118" s="497">
        <v>75</v>
      </c>
      <c r="C118" s="68">
        <f>+B118*730*0.6</f>
        <v>32850</v>
      </c>
      <c r="D118" s="83">
        <f>+$F$134+$F$135*$B118+($F$138*$C118)/100</f>
        <v>1339.1760000000002</v>
      </c>
      <c r="E118" s="84">
        <f>+$C118*$F$142/100</f>
        <v>1262.4255000000001</v>
      </c>
      <c r="F118" s="84">
        <f>+$B118*$F$145</f>
        <v>54.75</v>
      </c>
      <c r="G118" s="84">
        <f>+$B118*$F$146</f>
        <v>15</v>
      </c>
      <c r="H118" s="84">
        <f>+$C118*$F$148/100</f>
        <v>26.608499999999996</v>
      </c>
      <c r="I118" s="84">
        <f>+$B118*$F$147</f>
        <v>84.000000000000014</v>
      </c>
      <c r="J118" s="84">
        <f>B118*F149</f>
        <v>54</v>
      </c>
      <c r="K118" s="84">
        <f>+$C118*$F$150/100</f>
        <v>17.081999999999997</v>
      </c>
      <c r="L118" s="84">
        <f t="shared" si="2"/>
        <v>73.154849921999997</v>
      </c>
      <c r="M118" s="84">
        <f>SUM(D118:L118)</f>
        <v>2926.1968499219997</v>
      </c>
      <c r="N118" s="83">
        <f>+$M$134+$M$135*$B118+$M$138/100*$C118</f>
        <v>1777.0304999999998</v>
      </c>
      <c r="O118" s="84">
        <f>+$C118*$M$142/100</f>
        <v>1262.4255000000001</v>
      </c>
      <c r="P118" s="84">
        <f>+$B118*$M$145</f>
        <v>54.75</v>
      </c>
      <c r="Q118" s="84">
        <f>+$B118*$M$146</f>
        <v>15</v>
      </c>
      <c r="R118" s="84">
        <f>+$C118*$M$148/100</f>
        <v>26.608499999999996</v>
      </c>
      <c r="S118" s="84">
        <f>+$B118*$M$147</f>
        <v>84.000000000000014</v>
      </c>
      <c r="T118" s="84">
        <f>B118*$M$149</f>
        <v>54</v>
      </c>
      <c r="U118" s="84">
        <f>+SUM(N118:T118)*0.025641</f>
        <v>83.943877594499995</v>
      </c>
      <c r="V118" s="84">
        <f>SUM(N118:U118)</f>
        <v>3357.7583775945</v>
      </c>
      <c r="W118" s="83">
        <f>+V118-M118</f>
        <v>431.56152767250023</v>
      </c>
      <c r="X118" s="86">
        <f>+W118/M118</f>
        <v>0.14748205599496966</v>
      </c>
      <c r="Y118" s="97">
        <f>(+M118*100)/C118</f>
        <v>8.9077529677990874</v>
      </c>
      <c r="Z118" s="93">
        <f>(+V118*100)/C118</f>
        <v>10.221486689785388</v>
      </c>
    </row>
    <row r="119" spans="1:26" x14ac:dyDescent="0.2">
      <c r="A119" s="395">
        <v>4</v>
      </c>
      <c r="B119" s="497">
        <v>75</v>
      </c>
      <c r="C119" s="68">
        <f>+B119*730*0.9</f>
        <v>49275</v>
      </c>
      <c r="D119" s="83">
        <f>+$G$134+($G$136*$B119+$G$137*$B119*0.99)+$G$139/100*$C119*0.25+$G$140/100*$C119*0.75</f>
        <v>1420.672875</v>
      </c>
      <c r="E119" s="84">
        <f>+$C119*0.25*$G$143/100+$C119*0.75*$G$144/100</f>
        <v>1886.73975</v>
      </c>
      <c r="F119" s="84">
        <f>$B119*$G$145</f>
        <v>54.75</v>
      </c>
      <c r="G119" s="84">
        <f>$B119*$G$146</f>
        <v>15</v>
      </c>
      <c r="H119" s="84">
        <f>+$C119*$G$148/100</f>
        <v>39.912749999999996</v>
      </c>
      <c r="I119" s="84">
        <f>+$B119*$F$147</f>
        <v>84.000000000000014</v>
      </c>
      <c r="J119" s="84">
        <f>B119*G149</f>
        <v>54</v>
      </c>
      <c r="K119" s="84">
        <f>$C119*$G$150/100</f>
        <v>25.622999999999998</v>
      </c>
      <c r="L119" s="84">
        <f t="shared" si="2"/>
        <v>91.812687033374999</v>
      </c>
      <c r="M119" s="84">
        <f>SUM(D119:L119)</f>
        <v>3672.5110620333749</v>
      </c>
      <c r="N119" s="83">
        <f>+$N$134+$N$136*$B119+$N$137*$B119*0.99+$N$139/100*$C119*0.25+$N$140/100*$C119*0.75</f>
        <v>1967.2196250000002</v>
      </c>
      <c r="O119" s="84">
        <f>+$C119*0.25*$N$143/100+$C119*0.75*$N$144/100</f>
        <v>1886.73975</v>
      </c>
      <c r="P119" s="84">
        <f>$B119*$N$145</f>
        <v>54.75</v>
      </c>
      <c r="Q119" s="84">
        <f>$B119*$N$146</f>
        <v>15</v>
      </c>
      <c r="R119" s="84">
        <f>+$C119*$N$148/100</f>
        <v>39.912749999999996</v>
      </c>
      <c r="S119" s="84">
        <f>+$B119*$M$147</f>
        <v>84.000000000000014</v>
      </c>
      <c r="T119" s="84">
        <f>B119*$N$149</f>
        <v>54</v>
      </c>
      <c r="U119" s="84">
        <f>+SUM(N119:T119)*0.025641</f>
        <v>105.169692907125</v>
      </c>
      <c r="V119" s="84">
        <f>SUM(N119:U119)</f>
        <v>4206.7918179071248</v>
      </c>
      <c r="W119" s="83">
        <f>+V119-M119</f>
        <v>534.28075587374997</v>
      </c>
      <c r="X119" s="86">
        <f>+W119/M119</f>
        <v>0.14548104739483955</v>
      </c>
      <c r="Y119" s="97">
        <f>(+M119*100)/C119</f>
        <v>7.4530919574497716</v>
      </c>
      <c r="Z119" s="93">
        <f>(+V119*100)/C119</f>
        <v>8.5373755817496182</v>
      </c>
    </row>
    <row r="120" spans="1:26" x14ac:dyDescent="0.2">
      <c r="A120" s="395">
        <v>5</v>
      </c>
      <c r="B120" s="497"/>
      <c r="C120" s="68"/>
      <c r="D120" s="83"/>
      <c r="E120" s="84"/>
      <c r="F120" s="84"/>
      <c r="G120" s="84"/>
      <c r="H120" s="84"/>
      <c r="I120" s="84"/>
      <c r="J120" s="84"/>
      <c r="K120" s="84"/>
      <c r="L120" s="84"/>
      <c r="M120" s="98"/>
      <c r="N120" s="83"/>
      <c r="O120" s="84"/>
      <c r="P120" s="84"/>
      <c r="Q120" s="84"/>
      <c r="R120" s="84"/>
      <c r="S120" s="84"/>
      <c r="T120" s="84"/>
      <c r="U120" s="84"/>
      <c r="V120" s="84"/>
      <c r="W120" s="83"/>
      <c r="X120" s="86"/>
      <c r="Y120" s="97"/>
      <c r="Z120" s="93"/>
    </row>
    <row r="121" spans="1:26" x14ac:dyDescent="0.2">
      <c r="A121" s="395">
        <v>6</v>
      </c>
      <c r="B121" s="497">
        <v>500</v>
      </c>
      <c r="C121" s="68">
        <f>+B121*730*0.2</f>
        <v>73000</v>
      </c>
      <c r="D121" s="83">
        <f>+$I$134+($I$135*$B121+$I$138*$C121)/100</f>
        <v>5226.3499999999995</v>
      </c>
      <c r="E121" s="84">
        <f>+$C121*$I$142/100</f>
        <v>2805.39</v>
      </c>
      <c r="F121" s="84">
        <f>+$C121*$I$145/100</f>
        <v>127.75000000000001</v>
      </c>
      <c r="G121" s="84">
        <f>+$C121*$I$146/100</f>
        <v>35.04</v>
      </c>
      <c r="H121" s="84">
        <f>+$C121*$I$148/100</f>
        <v>59.129999999999988</v>
      </c>
      <c r="I121" s="84">
        <f>+$B121*$I$147</f>
        <v>133</v>
      </c>
      <c r="J121" s="84">
        <f>C121*I149/100</f>
        <v>125.55999999999999</v>
      </c>
      <c r="K121" s="84">
        <f>C121*$I$150/100</f>
        <v>37.96</v>
      </c>
      <c r="L121" s="84">
        <f>+SUM(D121:K121)*0.025641</f>
        <v>219.23516537999996</v>
      </c>
      <c r="M121" s="84">
        <f>SUM(D121:L121)</f>
        <v>8769.4151653799981</v>
      </c>
      <c r="N121" s="83">
        <f>+$P$134+$P$135*$B121+$P$138/100*$C121</f>
        <v>6185.79</v>
      </c>
      <c r="O121" s="84">
        <f>+$C121*$P$142/100</f>
        <v>2805.39</v>
      </c>
      <c r="P121" s="84">
        <f>+$C121*$P$145/100</f>
        <v>127.75000000000001</v>
      </c>
      <c r="Q121" s="84">
        <f>+$C121*$P$146/100</f>
        <v>35.04</v>
      </c>
      <c r="R121" s="84">
        <f>+$C121*$P$148/100</f>
        <v>59.129999999999988</v>
      </c>
      <c r="S121" s="84">
        <f>+$B121*$P$147</f>
        <v>133</v>
      </c>
      <c r="T121" s="84">
        <f>C121*$P$149/100</f>
        <v>125.55999999999999</v>
      </c>
      <c r="U121" s="84">
        <f>+SUM(N121:T121)*0.025641</f>
        <v>242.86283406000001</v>
      </c>
      <c r="V121" s="84">
        <f>SUM(N121:U121)</f>
        <v>9714.5228340600006</v>
      </c>
      <c r="W121" s="83">
        <f>+V121-M121</f>
        <v>945.10766868000246</v>
      </c>
      <c r="X121" s="86">
        <f>+W121/M121</f>
        <v>0.107773169687656</v>
      </c>
      <c r="Y121" s="97">
        <f>(+M121*100)/C121</f>
        <v>12.012897486821915</v>
      </c>
      <c r="Z121" s="93">
        <f>(+V121*100)/C121</f>
        <v>13.30756552610959</v>
      </c>
    </row>
    <row r="122" spans="1:26" x14ac:dyDescent="0.2">
      <c r="A122" s="395">
        <v>7</v>
      </c>
      <c r="B122" s="497">
        <v>500</v>
      </c>
      <c r="C122" s="68">
        <f>+B122*730*0.35</f>
        <v>127749.99999999999</v>
      </c>
      <c r="D122" s="83">
        <f>+$F$134+$F$135*$B122+($F$138*$C122)/100</f>
        <v>8072.6399999999994</v>
      </c>
      <c r="E122" s="84">
        <f>+$C122*$F$142/100</f>
        <v>4909.432499999999</v>
      </c>
      <c r="F122" s="84">
        <f>+$B122*$F$145</f>
        <v>365</v>
      </c>
      <c r="G122" s="84">
        <f>+$B122*$F$146</f>
        <v>100</v>
      </c>
      <c r="H122" s="84">
        <f>+$C122*$F$148/100</f>
        <v>103.47749999999998</v>
      </c>
      <c r="I122" s="84">
        <f>+$B122*$F$147</f>
        <v>560</v>
      </c>
      <c r="J122" s="84">
        <f>B122*F149</f>
        <v>360</v>
      </c>
      <c r="K122" s="84">
        <f>+$C122*$F$150/100</f>
        <v>66.429999999999993</v>
      </c>
      <c r="L122" s="84">
        <f t="shared" ref="L122:L124" si="3">+SUM(D122:K122)*0.025641</f>
        <v>372.74270417999998</v>
      </c>
      <c r="M122" s="84">
        <f>SUM(D122:L122)</f>
        <v>14909.72270418</v>
      </c>
      <c r="N122" s="83">
        <f>+$M$134+$M$135*$B122+$M$138/100*$C122</f>
        <v>10849.1075</v>
      </c>
      <c r="O122" s="84">
        <f>+$C122*$M$142/100</f>
        <v>4909.432499999999</v>
      </c>
      <c r="P122" s="84">
        <f>+$B122*$M$145</f>
        <v>365</v>
      </c>
      <c r="Q122" s="84">
        <f>+$B122*$M$146</f>
        <v>100</v>
      </c>
      <c r="R122" s="84">
        <f>+$C122*$M$148/100</f>
        <v>103.47749999999998</v>
      </c>
      <c r="S122" s="84">
        <f>+$B122*$M$147</f>
        <v>560</v>
      </c>
      <c r="T122" s="84">
        <f>B122*$M$149</f>
        <v>360</v>
      </c>
      <c r="U122" s="84">
        <f>+SUM(N122:T122)*0.025641</f>
        <v>442.23077571750008</v>
      </c>
      <c r="V122" s="84">
        <f>SUM(N122:U122)</f>
        <v>17689.248275717502</v>
      </c>
      <c r="W122" s="83">
        <f>+V122-M122</f>
        <v>2779.5255715375024</v>
      </c>
      <c r="X122" s="86">
        <f>+W122/M122</f>
        <v>0.18642369322926786</v>
      </c>
      <c r="Y122" s="97">
        <f>(+M122*100)/C122</f>
        <v>11.67101581540509</v>
      </c>
      <c r="Z122" s="93">
        <f>(+V122*100)/C122</f>
        <v>13.846769687450101</v>
      </c>
    </row>
    <row r="123" spans="1:26" x14ac:dyDescent="0.2">
      <c r="A123" s="395">
        <v>8</v>
      </c>
      <c r="B123" s="497">
        <v>500</v>
      </c>
      <c r="C123" s="68">
        <f>+B123*730*0.6</f>
        <v>219000</v>
      </c>
      <c r="D123" s="83">
        <f>+$F$134+$F$135*$B123+($F$138*$C123)/100</f>
        <v>8744.24</v>
      </c>
      <c r="E123" s="84">
        <f>+$C123*$F$142/100</f>
        <v>8416.17</v>
      </c>
      <c r="F123" s="84">
        <f>+$B123*$F$145</f>
        <v>365</v>
      </c>
      <c r="G123" s="84">
        <f>+$B123*$F$146</f>
        <v>100</v>
      </c>
      <c r="H123" s="84">
        <f>+$C123*$F$148/100</f>
        <v>177.38999999999996</v>
      </c>
      <c r="I123" s="84">
        <f>+$B123*$F$147</f>
        <v>560</v>
      </c>
      <c r="J123" s="84">
        <f>B123*F149</f>
        <v>360</v>
      </c>
      <c r="K123" s="84">
        <f>+$C123*$F$150/100</f>
        <v>113.88</v>
      </c>
      <c r="L123" s="84">
        <f t="shared" si="3"/>
        <v>482.99131188000001</v>
      </c>
      <c r="M123" s="84">
        <f>SUM(D123:L123)</f>
        <v>19319.67131188</v>
      </c>
      <c r="N123" s="83">
        <f>+$M$134+$M$135*$B123+$M$138/100*$C123</f>
        <v>11554.470000000001</v>
      </c>
      <c r="O123" s="84">
        <f>+$C123*$M$142/100</f>
        <v>8416.17</v>
      </c>
      <c r="P123" s="84">
        <f>+$B123*$M$145</f>
        <v>365</v>
      </c>
      <c r="Q123" s="84">
        <f>+$B123*$M$146</f>
        <v>100</v>
      </c>
      <c r="R123" s="84">
        <f>+$C123*$M$148/100</f>
        <v>177.38999999999996</v>
      </c>
      <c r="S123" s="84">
        <f>+$B123*$M$147</f>
        <v>560</v>
      </c>
      <c r="T123" s="84">
        <f>B123*$M$149</f>
        <v>360</v>
      </c>
      <c r="U123" s="84">
        <f>+SUM(N123:T123)*0.025641</f>
        <v>552.12842222999996</v>
      </c>
      <c r="V123" s="84">
        <f>SUM(N123:U123)</f>
        <v>22085.158422229997</v>
      </c>
      <c r="W123" s="83">
        <f>+V123-M123</f>
        <v>2765.4871103499972</v>
      </c>
      <c r="X123" s="86">
        <f>+W123/M123</f>
        <v>0.14314359005939462</v>
      </c>
      <c r="Y123" s="97">
        <f>(+M123*100)/C123</f>
        <v>8.8217677223196347</v>
      </c>
      <c r="Z123" s="93">
        <f>(+V123*100)/C123</f>
        <v>10.084547224762556</v>
      </c>
    </row>
    <row r="124" spans="1:26" x14ac:dyDescent="0.2">
      <c r="A124" s="395">
        <v>9</v>
      </c>
      <c r="B124" s="497">
        <v>500</v>
      </c>
      <c r="C124" s="68">
        <f>+B124*730*0.9</f>
        <v>328500</v>
      </c>
      <c r="D124" s="83">
        <f>+$G$134+($G$136*$B124+$G$137*$B124*0.99)+$G$139/100*$C124*0.25+$G$140/100*$C124*0.75</f>
        <v>9287.5524999999998</v>
      </c>
      <c r="E124" s="84">
        <f>+$C124*0.25*$G$143/100+$C124*0.75*$G$144/100</f>
        <v>12578.264999999999</v>
      </c>
      <c r="F124" s="84">
        <f>$B124*$G$145</f>
        <v>365</v>
      </c>
      <c r="G124" s="84">
        <f>$B124*$G$146</f>
        <v>100</v>
      </c>
      <c r="H124" s="84">
        <f>+$C124*$G$148/100</f>
        <v>266.08499999999998</v>
      </c>
      <c r="I124" s="84">
        <f>+$B124*$F$147</f>
        <v>560</v>
      </c>
      <c r="J124" s="84">
        <f>B124*G149</f>
        <v>360</v>
      </c>
      <c r="K124" s="84">
        <f>$C124*$G$150/100</f>
        <v>170.82</v>
      </c>
      <c r="L124" s="84">
        <f t="shared" si="3"/>
        <v>607.37689262249989</v>
      </c>
      <c r="M124" s="84">
        <f>SUM(D124:L124)</f>
        <v>24295.099392622495</v>
      </c>
      <c r="N124" s="83">
        <f>+$N$134+$N$136*$B124+$N$137*$B124*0.99+$N$139/100*$C124*0.25+$N$140/100*$C124*0.75</f>
        <v>12822.397500000001</v>
      </c>
      <c r="O124" s="84">
        <f>+$C124*0.25*$N$143/100+$C124*0.75*$N$144/100</f>
        <v>12578.264999999999</v>
      </c>
      <c r="P124" s="84">
        <f>$B124*$N$145</f>
        <v>365</v>
      </c>
      <c r="Q124" s="84">
        <f>$B124*$N$146</f>
        <v>100</v>
      </c>
      <c r="R124" s="84">
        <f>+$C124*$N$148/100</f>
        <v>266.08499999999998</v>
      </c>
      <c r="S124" s="84">
        <f>+$B124*$N$147</f>
        <v>560</v>
      </c>
      <c r="T124" s="84">
        <f>B124*$N$149</f>
        <v>360</v>
      </c>
      <c r="U124" s="84">
        <f>+SUM(N124:T124)*0.025641</f>
        <v>693.63385764750001</v>
      </c>
      <c r="V124" s="84">
        <f>SUM(N124:U124)</f>
        <v>27745.381357647497</v>
      </c>
      <c r="W124" s="83">
        <f>+V124-M124</f>
        <v>3450.2819650250021</v>
      </c>
      <c r="X124" s="86">
        <f>+W124/M124</f>
        <v>0.14201555257159074</v>
      </c>
      <c r="Y124" s="97">
        <f>(+M124*100)/C124</f>
        <v>7.3957684604634686</v>
      </c>
      <c r="Z124" s="93">
        <f>(+V124*100)/C124</f>
        <v>8.4460826050677316</v>
      </c>
    </row>
    <row r="125" spans="1:26" x14ac:dyDescent="0.2">
      <c r="A125" s="395">
        <v>10</v>
      </c>
      <c r="B125" s="497"/>
      <c r="C125" s="68"/>
      <c r="D125" s="83"/>
      <c r="E125" s="84"/>
      <c r="F125" s="84"/>
      <c r="G125" s="84"/>
      <c r="H125" s="84"/>
      <c r="I125" s="84"/>
      <c r="J125" s="84"/>
      <c r="K125" s="84"/>
      <c r="L125" s="84"/>
      <c r="M125" s="98"/>
      <c r="N125" s="83"/>
      <c r="O125" s="84"/>
      <c r="P125" s="84"/>
      <c r="Q125" s="84"/>
      <c r="R125" s="84"/>
      <c r="S125" s="84"/>
      <c r="T125" s="84"/>
      <c r="U125" s="84"/>
      <c r="V125" s="84"/>
      <c r="W125" s="83"/>
      <c r="X125" s="86"/>
      <c r="Y125" s="97"/>
      <c r="Z125" s="93"/>
    </row>
    <row r="126" spans="1:26" x14ac:dyDescent="0.2">
      <c r="A126" s="395">
        <v>11</v>
      </c>
      <c r="B126" s="497">
        <v>1000</v>
      </c>
      <c r="C126" s="68">
        <f>+B126*730*0.2</f>
        <v>146000</v>
      </c>
      <c r="D126" s="83">
        <f>+$I$134+($I$135*$B126+$I$138*$C126)/100</f>
        <v>10420.299999999999</v>
      </c>
      <c r="E126" s="84">
        <f>+$C126*$I$142/100</f>
        <v>5610.78</v>
      </c>
      <c r="F126" s="84">
        <f>+$C126*$I$145/100</f>
        <v>255.50000000000003</v>
      </c>
      <c r="G126" s="84">
        <f>+$C126*$I$146/100</f>
        <v>70.08</v>
      </c>
      <c r="H126" s="84">
        <f>+$C126*$I$148/100</f>
        <v>118.25999999999998</v>
      </c>
      <c r="I126" s="84">
        <f>+$B126*$I$147</f>
        <v>266</v>
      </c>
      <c r="J126" s="84">
        <f>C126*I149/100</f>
        <v>251.11999999999998</v>
      </c>
      <c r="K126" s="84">
        <f>C126*$I$150/100</f>
        <v>75.92</v>
      </c>
      <c r="L126" s="84">
        <f>+SUM(D126:K126)*0.025641</f>
        <v>437.6395623599999</v>
      </c>
      <c r="M126" s="84">
        <f>SUM(D126:L126)</f>
        <v>17505.599562359996</v>
      </c>
      <c r="N126" s="83">
        <f>+$P$134+$P$135*$B126+$P$138/100*$C126</f>
        <v>12319.98</v>
      </c>
      <c r="O126" s="84">
        <f>+$C126*$P$142/100</f>
        <v>5610.78</v>
      </c>
      <c r="P126" s="84">
        <f>+$C126*$P$145/100</f>
        <v>255.50000000000003</v>
      </c>
      <c r="Q126" s="84">
        <f>+$C126*$P$146/100</f>
        <v>70.08</v>
      </c>
      <c r="R126" s="84">
        <f>+$C126*$P$148/100</f>
        <v>118.25999999999998</v>
      </c>
      <c r="S126" s="84">
        <f>+$B126*$P$147</f>
        <v>266</v>
      </c>
      <c r="T126" s="84">
        <f>C126*$P$149/100</f>
        <v>251.11999999999998</v>
      </c>
      <c r="U126" s="84">
        <f>+SUM(N126:T126)*0.025641</f>
        <v>484.40259251999993</v>
      </c>
      <c r="V126" s="84">
        <f>SUM(N126:U126)</f>
        <v>19376.122592519998</v>
      </c>
      <c r="W126" s="83">
        <f>+V126-M126</f>
        <v>1870.5230301600022</v>
      </c>
      <c r="X126" s="86">
        <f>+W126/M126</f>
        <v>0.10685284005821449</v>
      </c>
      <c r="Y126" s="97">
        <f>(+M126*100)/C126</f>
        <v>11.990136686547942</v>
      </c>
      <c r="Z126" s="93">
        <f>(+V126*100)/C126</f>
        <v>13.271316844191778</v>
      </c>
    </row>
    <row r="127" spans="1:26" x14ac:dyDescent="0.2">
      <c r="A127" s="395">
        <v>12</v>
      </c>
      <c r="B127" s="497">
        <v>1000</v>
      </c>
      <c r="C127" s="68">
        <f>+B127*730*0.35</f>
        <v>255499.99999999997</v>
      </c>
      <c r="D127" s="83">
        <f>+$F$134+$F$135*$B127+($F$138*$C127)/100</f>
        <v>16112.88</v>
      </c>
      <c r="E127" s="84">
        <f>+$C127*$F$142/100</f>
        <v>9818.864999999998</v>
      </c>
      <c r="F127" s="84">
        <f>+$B127*$F$145</f>
        <v>730</v>
      </c>
      <c r="G127" s="84">
        <f>+$B127*$F$146</f>
        <v>200</v>
      </c>
      <c r="H127" s="84">
        <f>+$C127*$F$148/100</f>
        <v>206.95499999999996</v>
      </c>
      <c r="I127" s="84">
        <f>+$B127*$F$147</f>
        <v>1120</v>
      </c>
      <c r="J127" s="84">
        <f>B127*F149</f>
        <v>720</v>
      </c>
      <c r="K127" s="84">
        <f>+$C127*$F$150/100</f>
        <v>132.85999999999999</v>
      </c>
      <c r="L127" s="84">
        <f t="shared" ref="L127:L129" si="4">+SUM(D127:K127)*0.025641</f>
        <v>744.65463995999994</v>
      </c>
      <c r="M127" s="84">
        <f>SUM(D127:L127)</f>
        <v>29786.214639959999</v>
      </c>
      <c r="N127" s="83">
        <f>+$M$134+$M$135*$B127+$M$138/100*$C127</f>
        <v>21646.614999999998</v>
      </c>
      <c r="O127" s="84">
        <f>+$C127*$M$142/100</f>
        <v>9818.864999999998</v>
      </c>
      <c r="P127" s="84">
        <f>+$B127*$M$145</f>
        <v>730</v>
      </c>
      <c r="Q127" s="84">
        <f>+$B127*$M$146</f>
        <v>200</v>
      </c>
      <c r="R127" s="84">
        <f>+$C127*$M$148/100</f>
        <v>206.95499999999996</v>
      </c>
      <c r="S127" s="84">
        <f>+$B127*$M$147</f>
        <v>1120</v>
      </c>
      <c r="T127" s="84">
        <f>B127*$M$149</f>
        <v>720</v>
      </c>
      <c r="U127" s="84">
        <f>+SUM(N127:T127)*0.025641</f>
        <v>883.13847583500001</v>
      </c>
      <c r="V127" s="84">
        <f>SUM(N127:U127)</f>
        <v>35325.573475835001</v>
      </c>
      <c r="W127" s="83">
        <f>+V127-M127</f>
        <v>5539.3588358750021</v>
      </c>
      <c r="X127" s="86">
        <f>+W127/M127</f>
        <v>0.18597055392341191</v>
      </c>
      <c r="Y127" s="97">
        <f>(+M127*100)/C127</f>
        <v>11.658009643819961</v>
      </c>
      <c r="Z127" s="93">
        <f>(+V127*100)/C127</f>
        <v>13.826056154925638</v>
      </c>
    </row>
    <row r="128" spans="1:26" x14ac:dyDescent="0.2">
      <c r="A128" s="395">
        <v>13</v>
      </c>
      <c r="B128" s="497">
        <v>1000</v>
      </c>
      <c r="C128" s="68">
        <f>+B128*730*0.6</f>
        <v>438000</v>
      </c>
      <c r="D128" s="83">
        <f>+$F$134+$F$135*$B128+($F$138*$C128)/100</f>
        <v>17456.079999999998</v>
      </c>
      <c r="E128" s="84">
        <f>+$C128*$F$142/100</f>
        <v>16832.34</v>
      </c>
      <c r="F128" s="84">
        <f>+$B128*$F$145</f>
        <v>730</v>
      </c>
      <c r="G128" s="84">
        <f>+$B128*$F$146</f>
        <v>200</v>
      </c>
      <c r="H128" s="84">
        <f>+$C128*$F$148/100</f>
        <v>354.77999999999992</v>
      </c>
      <c r="I128" s="84">
        <f>+$B128*$F$147</f>
        <v>1120</v>
      </c>
      <c r="J128" s="84">
        <f>B128*F149</f>
        <v>720</v>
      </c>
      <c r="K128" s="84">
        <f>+$C128*$F$150/100</f>
        <v>227.76</v>
      </c>
      <c r="L128" s="84">
        <f t="shared" si="4"/>
        <v>965.15185536000001</v>
      </c>
      <c r="M128" s="84">
        <f>SUM(D128:L128)</f>
        <v>38606.111855360003</v>
      </c>
      <c r="N128" s="83">
        <f>+$M$134+$M$135*$B128+$M$138/100*$C128</f>
        <v>23057.339999999997</v>
      </c>
      <c r="O128" s="84">
        <f>+$C128*$M$142/100</f>
        <v>16832.34</v>
      </c>
      <c r="P128" s="84">
        <f>+$B128*$M$145</f>
        <v>730</v>
      </c>
      <c r="Q128" s="84">
        <f>+$B128*$M$146</f>
        <v>200</v>
      </c>
      <c r="R128" s="84">
        <f>+$C128*$M$148/100</f>
        <v>354.77999999999992</v>
      </c>
      <c r="S128" s="84">
        <f>+$B128*$M$147</f>
        <v>1120</v>
      </c>
      <c r="T128" s="84">
        <f>B128*$M$149</f>
        <v>720</v>
      </c>
      <c r="U128" s="84">
        <f>+SUM(N128:T128)*0.025641</f>
        <v>1102.9337688599999</v>
      </c>
      <c r="V128" s="84">
        <f>SUM(N128:U128)</f>
        <v>44117.393768859991</v>
      </c>
      <c r="W128" s="83">
        <f>+V128-M128</f>
        <v>5511.2819134999881</v>
      </c>
      <c r="X128" s="86">
        <f>+W128/M128</f>
        <v>0.14275672033869455</v>
      </c>
      <c r="Y128" s="97">
        <f>(+M128*100)/C128</f>
        <v>8.8141807888949781</v>
      </c>
      <c r="Z128" s="93">
        <f>(+V128*100)/C128</f>
        <v>10.072464330789952</v>
      </c>
    </row>
    <row r="129" spans="1:26" x14ac:dyDescent="0.2">
      <c r="A129" s="395">
        <v>14</v>
      </c>
      <c r="B129" s="497">
        <v>1000</v>
      </c>
      <c r="C129" s="68">
        <f>+B129*730*0.9</f>
        <v>657000</v>
      </c>
      <c r="D129" s="83">
        <f>+$G$134+($G$136*$B129+$G$137*$B129*0.99)+$G$139/100*$C129*0.25+$G$140/100*$C129*0.75</f>
        <v>18542.705000000002</v>
      </c>
      <c r="E129" s="84">
        <f>+$C129*0.25*$G$143/100+$C129*0.75*$G$144/100</f>
        <v>25156.53</v>
      </c>
      <c r="F129" s="84">
        <f>$B129*$G$145</f>
        <v>730</v>
      </c>
      <c r="G129" s="84">
        <f>$B129*$G$146</f>
        <v>200</v>
      </c>
      <c r="H129" s="84">
        <f>+$C129*$G$148/100</f>
        <v>532.16999999999996</v>
      </c>
      <c r="I129" s="84">
        <f>+$B129*$G$147</f>
        <v>1120</v>
      </c>
      <c r="J129" s="84">
        <f>B129*G149</f>
        <v>720</v>
      </c>
      <c r="K129" s="84">
        <f>$C129*$G$150/100</f>
        <v>341.64</v>
      </c>
      <c r="L129" s="84">
        <f t="shared" si="4"/>
        <v>1213.9230168449999</v>
      </c>
      <c r="M129" s="84">
        <f>SUM(D129:L129)</f>
        <v>48556.968016845</v>
      </c>
      <c r="N129" s="83">
        <f>+$N$134+$N$136*$B129+$N$137*$B129*0.99+$N$139/100*$C129*0.25+$N$140/100*$C129*0.4+$N$141/100*$C129*0.35</f>
        <v>24774.573000000004</v>
      </c>
      <c r="O129" s="84">
        <f>+$C129*0.25*$N$143/100+$C129*0.75*$N$144/100</f>
        <v>25156.53</v>
      </c>
      <c r="P129" s="84">
        <f>$B129*$N$145</f>
        <v>730</v>
      </c>
      <c r="Q129" s="84">
        <f>$B129*$N$146</f>
        <v>200</v>
      </c>
      <c r="R129" s="84">
        <f>+$C129*$N$148/100</f>
        <v>532.16999999999996</v>
      </c>
      <c r="S129" s="84">
        <f>+$B129*$N$147</f>
        <v>1120</v>
      </c>
      <c r="T129" s="84">
        <f>B129*$N$149</f>
        <v>720</v>
      </c>
      <c r="U129" s="84">
        <f>+SUM(N129:T129)*0.025641</f>
        <v>1364.9543529930002</v>
      </c>
      <c r="V129" s="84">
        <f>SUM(N129:U129)</f>
        <v>54598.227352993003</v>
      </c>
      <c r="W129" s="83">
        <f>+V129-M129</f>
        <v>6041.2593361480031</v>
      </c>
      <c r="X129" s="86">
        <f>+W129/M129</f>
        <v>0.12441590945407088</v>
      </c>
      <c r="Y129" s="97">
        <f>(+M129*100)/C129</f>
        <v>7.3907105048470312</v>
      </c>
      <c r="Z129" s="93">
        <f>(+V129*100)/C129</f>
        <v>8.3102324738193314</v>
      </c>
    </row>
    <row r="130" spans="1:26" x14ac:dyDescent="0.2">
      <c r="A130" s="395">
        <v>15</v>
      </c>
      <c r="B130" s="497"/>
      <c r="C130" s="68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6"/>
      <c r="X130" s="93"/>
      <c r="Y130" s="93"/>
    </row>
    <row r="131" spans="1:26" x14ac:dyDescent="0.2">
      <c r="A131" s="395">
        <v>16</v>
      </c>
    </row>
    <row r="132" spans="1:26" x14ac:dyDescent="0.2">
      <c r="A132" s="395">
        <v>17</v>
      </c>
      <c r="F132" s="574" t="s">
        <v>983</v>
      </c>
      <c r="G132" s="574"/>
      <c r="H132" s="574"/>
      <c r="I132" s="574"/>
      <c r="J132" s="574"/>
      <c r="K132" s="402"/>
      <c r="L132" s="402"/>
      <c r="M132" s="574" t="s">
        <v>984</v>
      </c>
      <c r="N132" s="574"/>
      <c r="O132" s="574"/>
      <c r="P132" s="574"/>
      <c r="Q132" s="574"/>
    </row>
    <row r="133" spans="1:26" x14ac:dyDescent="0.2">
      <c r="A133" s="395">
        <v>18</v>
      </c>
      <c r="C133" s="402"/>
      <c r="D133" s="402"/>
      <c r="E133" s="402"/>
      <c r="F133" s="522" t="s">
        <v>817</v>
      </c>
      <c r="G133" s="522" t="s">
        <v>932</v>
      </c>
      <c r="I133" s="523" t="s">
        <v>1008</v>
      </c>
      <c r="M133" s="522" t="s">
        <v>817</v>
      </c>
      <c r="N133" s="522" t="s">
        <v>932</v>
      </c>
      <c r="P133" s="523" t="s">
        <v>1008</v>
      </c>
      <c r="Q133" s="523"/>
      <c r="V133" s="99"/>
    </row>
    <row r="134" spans="1:26" x14ac:dyDescent="0.2">
      <c r="A134" s="395">
        <v>19</v>
      </c>
      <c r="C134" s="398" t="s">
        <v>990</v>
      </c>
      <c r="D134" s="402"/>
      <c r="E134" s="402"/>
      <c r="F134" s="92">
        <f>+ROUND('2025 GSD Rate Class E-13c'!K18,2)*30</f>
        <v>32.400000000000006</v>
      </c>
      <c r="G134" s="92">
        <f>+ROUND('2025 GSD Rate Class E-13c'!K21,2)*30</f>
        <v>32.400000000000006</v>
      </c>
      <c r="H134" s="398" t="s">
        <v>991</v>
      </c>
      <c r="I134" s="92">
        <f>+ROUND('2025 GSD Rate Class E-13c'!K126,2)*30</f>
        <v>32.400000000000006</v>
      </c>
      <c r="J134" s="398" t="s">
        <v>991</v>
      </c>
      <c r="K134" s="398"/>
      <c r="M134" s="515">
        <f>+ROUND('2025 GSD Rate Class E-13c'!R18,2)*30</f>
        <v>51.6</v>
      </c>
      <c r="N134" s="515">
        <f>+ROUND('2025 GSD Rate Class E-13c'!R21,2)*30</f>
        <v>51.6</v>
      </c>
      <c r="P134" s="515">
        <f>+ROUND('2025 GSD Rate Class E-13c'!R126,2)*30</f>
        <v>51.6</v>
      </c>
      <c r="Q134" s="398" t="s">
        <v>991</v>
      </c>
    </row>
    <row r="135" spans="1:26" x14ac:dyDescent="0.2">
      <c r="A135" s="395">
        <v>20</v>
      </c>
      <c r="C135" s="398" t="s">
        <v>992</v>
      </c>
      <c r="D135" s="402"/>
      <c r="F135" s="92">
        <f>+ROUND('2025 GSD Rate Class E-13c'!K43,2)</f>
        <v>14.2</v>
      </c>
      <c r="G135" s="92">
        <v>0</v>
      </c>
      <c r="H135" s="398" t="s">
        <v>1018</v>
      </c>
      <c r="I135" s="92">
        <v>0</v>
      </c>
      <c r="J135" s="398" t="s">
        <v>1018</v>
      </c>
      <c r="K135" s="398"/>
      <c r="M135" s="515">
        <f>ROUND(+'2025 GSD Rate Class E-13c'!R43,2)</f>
        <v>19.62</v>
      </c>
      <c r="N135" s="515">
        <v>0</v>
      </c>
      <c r="O135" s="398" t="s">
        <v>1018</v>
      </c>
      <c r="P135" s="515">
        <v>0</v>
      </c>
      <c r="Q135" s="398" t="s">
        <v>1018</v>
      </c>
    </row>
    <row r="136" spans="1:26" x14ac:dyDescent="0.2">
      <c r="A136" s="395">
        <v>21</v>
      </c>
      <c r="C136" s="517" t="s">
        <v>1009</v>
      </c>
      <c r="F136" s="92">
        <v>0</v>
      </c>
      <c r="G136" s="92">
        <f>+ROUND('2025 GSD Rate Class E-13c'!K46,2)</f>
        <v>4.55</v>
      </c>
      <c r="H136" s="398" t="s">
        <v>1018</v>
      </c>
      <c r="I136" s="92">
        <v>0</v>
      </c>
      <c r="J136" s="398" t="s">
        <v>1018</v>
      </c>
      <c r="K136" s="398"/>
      <c r="M136" s="515">
        <v>0</v>
      </c>
      <c r="N136" s="515">
        <f>ROUND(+'2025 GSD Rate Class E-13c'!R46,2)</f>
        <v>5.04</v>
      </c>
      <c r="O136" s="398" t="s">
        <v>1018</v>
      </c>
      <c r="P136" s="515">
        <v>0</v>
      </c>
      <c r="Q136" s="398" t="s">
        <v>1018</v>
      </c>
      <c r="W136" s="524"/>
    </row>
    <row r="137" spans="1:26" x14ac:dyDescent="0.2">
      <c r="A137" s="395">
        <v>22</v>
      </c>
      <c r="C137" s="517" t="s">
        <v>1010</v>
      </c>
      <c r="F137" s="92">
        <v>0</v>
      </c>
      <c r="G137" s="92">
        <f>+ROUND('2025 GSD Rate Class E-13c'!K49,2)</f>
        <v>9.2799999999999994</v>
      </c>
      <c r="H137" s="398" t="s">
        <v>1018</v>
      </c>
      <c r="I137" s="92">
        <v>0</v>
      </c>
      <c r="J137" s="398" t="s">
        <v>1018</v>
      </c>
      <c r="K137" s="398"/>
      <c r="M137" s="515">
        <v>0</v>
      </c>
      <c r="N137" s="515">
        <f>ROUND(+'2025 GSD Rate Class E-13c'!R49,2)</f>
        <v>14.58</v>
      </c>
      <c r="O137" s="398" t="s">
        <v>1018</v>
      </c>
      <c r="P137" s="515">
        <v>0</v>
      </c>
      <c r="Q137" s="398" t="s">
        <v>1018</v>
      </c>
    </row>
    <row r="138" spans="1:26" x14ac:dyDescent="0.2">
      <c r="A138" s="395">
        <v>23</v>
      </c>
      <c r="C138" s="398" t="s">
        <v>993</v>
      </c>
      <c r="D138" s="402"/>
      <c r="F138" s="100">
        <f>+ROUND('2025 GSD Rate Class E-13c'!K27,5)*100</f>
        <v>0.73599999999999999</v>
      </c>
      <c r="G138" s="100">
        <v>0</v>
      </c>
      <c r="H138" s="398" t="s">
        <v>1019</v>
      </c>
      <c r="I138" s="100">
        <f>+ROUND('2025 GSD Rate Class E-13c'!K132,5)*100</f>
        <v>7.1150000000000002</v>
      </c>
      <c r="J138" s="398" t="s">
        <v>1019</v>
      </c>
      <c r="K138" s="398"/>
      <c r="M138" s="100">
        <f>+ROUND('2025 GSD Rate Class E-13c'!R27,5)*100</f>
        <v>0.77300000000000002</v>
      </c>
      <c r="N138" s="515">
        <v>0</v>
      </c>
      <c r="O138" s="398" t="s">
        <v>1019</v>
      </c>
      <c r="P138" s="516">
        <f>+ROUND('2025 GSD Rate Class E-13c'!R132,5)*100</f>
        <v>8.4029999999999987</v>
      </c>
      <c r="Q138" s="398" t="s">
        <v>1019</v>
      </c>
    </row>
    <row r="139" spans="1:26" x14ac:dyDescent="0.2">
      <c r="A139" s="395">
        <v>24</v>
      </c>
      <c r="C139" s="517" t="s">
        <v>1011</v>
      </c>
      <c r="F139" s="100">
        <v>0</v>
      </c>
      <c r="G139" s="100">
        <f>+ROUND('2025 GSD Rate Class E-13c'!K30,5)*100</f>
        <v>1.1930000000000001</v>
      </c>
      <c r="H139" s="398" t="s">
        <v>1019</v>
      </c>
      <c r="I139" s="100">
        <v>0</v>
      </c>
      <c r="J139" s="398" t="s">
        <v>1019</v>
      </c>
      <c r="K139" s="398"/>
      <c r="M139" s="100">
        <v>0</v>
      </c>
      <c r="N139" s="516">
        <f>+ROUND('2025 GSD Rate Class E-13c'!R30,5)*100</f>
        <v>1.2430000000000001</v>
      </c>
      <c r="O139" s="398" t="s">
        <v>1019</v>
      </c>
      <c r="P139" s="515">
        <v>0</v>
      </c>
      <c r="Q139" s="398" t="s">
        <v>1019</v>
      </c>
    </row>
    <row r="140" spans="1:26" x14ac:dyDescent="0.2">
      <c r="A140" s="395">
        <v>25</v>
      </c>
      <c r="B140" s="494"/>
      <c r="C140" s="517" t="s">
        <v>1012</v>
      </c>
      <c r="F140" s="100">
        <v>0</v>
      </c>
      <c r="G140" s="100">
        <f>+ROUND('2025 GSD Rate Class E-13c'!K33,5)*100</f>
        <v>0.57099999999999995</v>
      </c>
      <c r="H140" s="398" t="s">
        <v>1019</v>
      </c>
      <c r="I140" s="100">
        <v>0</v>
      </c>
      <c r="J140" s="398" t="s">
        <v>1019</v>
      </c>
      <c r="K140" s="398"/>
      <c r="M140" s="100">
        <v>0</v>
      </c>
      <c r="N140" s="516">
        <f>+ROUND('2025 GSD Rate Class E-13c'!R33,5)*100</f>
        <v>0.81700000000000006</v>
      </c>
      <c r="O140" s="398" t="s">
        <v>1019</v>
      </c>
      <c r="P140" s="515">
        <v>0</v>
      </c>
      <c r="Q140" s="398" t="s">
        <v>1019</v>
      </c>
      <c r="U140" s="68"/>
      <c r="V140" s="68"/>
      <c r="W140" s="68"/>
      <c r="X140" s="68"/>
      <c r="Y140" s="68"/>
    </row>
    <row r="141" spans="1:26" x14ac:dyDescent="0.2">
      <c r="A141" s="395">
        <v>26</v>
      </c>
      <c r="B141" s="494"/>
      <c r="C141" s="517" t="s">
        <v>1643</v>
      </c>
      <c r="F141" s="100">
        <v>0</v>
      </c>
      <c r="G141" s="100">
        <v>0</v>
      </c>
      <c r="H141" s="398" t="s">
        <v>1019</v>
      </c>
      <c r="J141" s="398" t="s">
        <v>1019</v>
      </c>
      <c r="K141" s="398"/>
      <c r="M141" s="100">
        <v>0</v>
      </c>
      <c r="N141" s="516">
        <f>+ROUND('2025 GSD Rate Class E-13c'!R36,5)*100</f>
        <v>0.46100000000000002</v>
      </c>
      <c r="O141" s="398" t="s">
        <v>1019</v>
      </c>
      <c r="Q141" s="398" t="s">
        <v>1019</v>
      </c>
    </row>
    <row r="142" spans="1:26" x14ac:dyDescent="0.2">
      <c r="A142" s="395">
        <v>27</v>
      </c>
      <c r="B142" s="494"/>
      <c r="C142" s="398" t="s">
        <v>1006</v>
      </c>
      <c r="D142" s="402"/>
      <c r="F142" s="100">
        <f>0.03843*100</f>
        <v>3.843</v>
      </c>
      <c r="G142" s="100">
        <v>0</v>
      </c>
      <c r="H142" s="398" t="s">
        <v>1019</v>
      </c>
      <c r="I142" s="100">
        <f>0.03843*100</f>
        <v>3.843</v>
      </c>
      <c r="J142" s="398" t="s">
        <v>1019</v>
      </c>
      <c r="K142" s="398"/>
      <c r="M142" s="100">
        <f t="shared" ref="M142:P149" si="5">+F142</f>
        <v>3.843</v>
      </c>
      <c r="N142" s="100">
        <f t="shared" si="5"/>
        <v>0</v>
      </c>
      <c r="O142" s="398" t="s">
        <v>1019</v>
      </c>
      <c r="P142" s="100">
        <f t="shared" si="5"/>
        <v>3.843</v>
      </c>
      <c r="Q142" s="398" t="s">
        <v>1019</v>
      </c>
      <c r="U142" s="68"/>
      <c r="V142" s="68"/>
      <c r="W142" s="68"/>
      <c r="X142" s="68"/>
      <c r="Y142" s="68"/>
    </row>
    <row r="143" spans="1:26" x14ac:dyDescent="0.2">
      <c r="A143" s="395">
        <v>28</v>
      </c>
      <c r="B143" s="494"/>
      <c r="C143" s="517" t="s">
        <v>1011</v>
      </c>
      <c r="F143" s="100">
        <v>0</v>
      </c>
      <c r="G143" s="100">
        <f>0.04045*100</f>
        <v>4.0449999999999999</v>
      </c>
      <c r="H143" s="398" t="s">
        <v>1019</v>
      </c>
      <c r="I143" s="100">
        <v>0</v>
      </c>
      <c r="J143" s="398" t="s">
        <v>1019</v>
      </c>
      <c r="K143" s="398"/>
      <c r="M143" s="100">
        <f t="shared" si="5"/>
        <v>0</v>
      </c>
      <c r="N143" s="100">
        <f t="shared" si="5"/>
        <v>4.0449999999999999</v>
      </c>
      <c r="O143" s="398" t="s">
        <v>1019</v>
      </c>
      <c r="P143" s="100">
        <f t="shared" si="5"/>
        <v>0</v>
      </c>
      <c r="Q143" s="398" t="s">
        <v>1019</v>
      </c>
      <c r="U143" s="68"/>
      <c r="V143" s="68"/>
      <c r="W143" s="68"/>
      <c r="X143" s="68"/>
      <c r="Y143" s="68"/>
    </row>
    <row r="144" spans="1:26" x14ac:dyDescent="0.2">
      <c r="A144" s="395">
        <v>29</v>
      </c>
      <c r="B144" s="494"/>
      <c r="C144" s="517" t="s">
        <v>1012</v>
      </c>
      <c r="F144" s="100">
        <v>0</v>
      </c>
      <c r="G144" s="100">
        <f>0.03757*100</f>
        <v>3.7570000000000001</v>
      </c>
      <c r="H144" s="398" t="s">
        <v>1019</v>
      </c>
      <c r="I144" s="100">
        <v>0</v>
      </c>
      <c r="J144" s="398" t="s">
        <v>1019</v>
      </c>
      <c r="K144" s="398"/>
      <c r="M144" s="100">
        <f t="shared" si="5"/>
        <v>0</v>
      </c>
      <c r="N144" s="100">
        <f t="shared" si="5"/>
        <v>3.7570000000000001</v>
      </c>
      <c r="O144" s="398" t="s">
        <v>1019</v>
      </c>
      <c r="P144" s="100">
        <f t="shared" si="5"/>
        <v>0</v>
      </c>
      <c r="Q144" s="398" t="s">
        <v>1019</v>
      </c>
      <c r="U144" s="68"/>
      <c r="V144" s="68"/>
      <c r="W144" s="68"/>
      <c r="X144" s="68"/>
      <c r="Y144" s="68"/>
    </row>
    <row r="145" spans="1:26" x14ac:dyDescent="0.2">
      <c r="A145" s="395">
        <v>30</v>
      </c>
      <c r="B145" s="494"/>
      <c r="C145" s="398" t="s">
        <v>997</v>
      </c>
      <c r="D145" s="402"/>
      <c r="F145" s="92">
        <v>0.73</v>
      </c>
      <c r="G145" s="92">
        <v>0.73</v>
      </c>
      <c r="H145" s="398" t="s">
        <v>1018</v>
      </c>
      <c r="I145" s="100">
        <f>0.00175*100</f>
        <v>0.17500000000000002</v>
      </c>
      <c r="J145" s="398" t="s">
        <v>1019</v>
      </c>
      <c r="K145" s="398"/>
      <c r="M145" s="92">
        <f t="shared" si="5"/>
        <v>0.73</v>
      </c>
      <c r="N145" s="92">
        <f t="shared" si="5"/>
        <v>0.73</v>
      </c>
      <c r="O145" s="398" t="s">
        <v>1018</v>
      </c>
      <c r="P145" s="100">
        <f t="shared" si="5"/>
        <v>0.17500000000000002</v>
      </c>
      <c r="Q145" s="398" t="s">
        <v>1019</v>
      </c>
      <c r="U145" s="68"/>
      <c r="V145" s="68"/>
      <c r="W145" s="68"/>
      <c r="X145" s="68"/>
      <c r="Y145" s="68"/>
    </row>
    <row r="146" spans="1:26" x14ac:dyDescent="0.2">
      <c r="A146" s="395">
        <v>31</v>
      </c>
      <c r="B146" s="494"/>
      <c r="C146" s="398" t="s">
        <v>998</v>
      </c>
      <c r="D146" s="402"/>
      <c r="F146" s="92">
        <v>0.2</v>
      </c>
      <c r="G146" s="92">
        <v>0.2</v>
      </c>
      <c r="H146" s="398" t="s">
        <v>1018</v>
      </c>
      <c r="I146" s="100">
        <f>0.00048*100</f>
        <v>4.8000000000000001E-2</v>
      </c>
      <c r="J146" s="398" t="s">
        <v>1019</v>
      </c>
      <c r="K146" s="398"/>
      <c r="M146" s="92">
        <f t="shared" si="5"/>
        <v>0.2</v>
      </c>
      <c r="N146" s="92">
        <f t="shared" si="5"/>
        <v>0.2</v>
      </c>
      <c r="O146" s="398" t="s">
        <v>1018</v>
      </c>
      <c r="P146" s="100">
        <f t="shared" si="5"/>
        <v>4.8000000000000001E-2</v>
      </c>
      <c r="Q146" s="398" t="s">
        <v>1019</v>
      </c>
      <c r="U146" s="68"/>
      <c r="V146" s="68"/>
      <c r="W146" s="68"/>
      <c r="X146" s="68"/>
      <c r="Y146" s="68"/>
    </row>
    <row r="147" spans="1:26" x14ac:dyDescent="0.2">
      <c r="A147" s="395">
        <v>32</v>
      </c>
      <c r="B147" s="494"/>
      <c r="C147" s="398" t="s">
        <v>999</v>
      </c>
      <c r="D147" s="402"/>
      <c r="F147" s="92">
        <v>1.1200000000000001</v>
      </c>
      <c r="G147" s="92">
        <v>1.1200000000000001</v>
      </c>
      <c r="H147" s="398" t="s">
        <v>1018</v>
      </c>
      <c r="I147" s="100">
        <f>0.00266*100</f>
        <v>0.26600000000000001</v>
      </c>
      <c r="J147" s="398" t="s">
        <v>1019</v>
      </c>
      <c r="K147" s="398"/>
      <c r="M147" s="92">
        <f t="shared" si="5"/>
        <v>1.1200000000000001</v>
      </c>
      <c r="N147" s="92">
        <f t="shared" si="5"/>
        <v>1.1200000000000001</v>
      </c>
      <c r="O147" s="398" t="s">
        <v>1018</v>
      </c>
      <c r="P147" s="100">
        <f t="shared" si="5"/>
        <v>0.26600000000000001</v>
      </c>
      <c r="Q147" s="398" t="s">
        <v>1019</v>
      </c>
      <c r="U147" s="68"/>
      <c r="V147" s="68"/>
      <c r="W147" s="68"/>
      <c r="X147" s="68"/>
      <c r="Y147" s="68"/>
    </row>
    <row r="148" spans="1:26" x14ac:dyDescent="0.2">
      <c r="A148" s="395">
        <v>33</v>
      </c>
      <c r="B148" s="494"/>
      <c r="C148" s="398" t="s">
        <v>1000</v>
      </c>
      <c r="D148" s="402"/>
      <c r="F148" s="100">
        <f>0.00081*100</f>
        <v>8.0999999999999989E-2</v>
      </c>
      <c r="G148" s="100">
        <f>0.00081*100</f>
        <v>8.0999999999999989E-2</v>
      </c>
      <c r="H148" s="398" t="s">
        <v>1019</v>
      </c>
      <c r="I148" s="100">
        <f>0.00081*100</f>
        <v>8.0999999999999989E-2</v>
      </c>
      <c r="J148" s="398" t="s">
        <v>1019</v>
      </c>
      <c r="K148" s="398"/>
      <c r="M148" s="100">
        <f t="shared" si="5"/>
        <v>8.0999999999999989E-2</v>
      </c>
      <c r="N148" s="100">
        <f t="shared" si="5"/>
        <v>8.0999999999999989E-2</v>
      </c>
      <c r="O148" s="398" t="s">
        <v>1019</v>
      </c>
      <c r="P148" s="100">
        <f t="shared" si="5"/>
        <v>8.0999999999999989E-2</v>
      </c>
      <c r="Q148" s="398" t="s">
        <v>1019</v>
      </c>
      <c r="U148" s="68"/>
      <c r="V148" s="68"/>
      <c r="W148" s="68"/>
      <c r="X148" s="68"/>
      <c r="Y148" s="68"/>
    </row>
    <row r="149" spans="1:26" x14ac:dyDescent="0.2">
      <c r="A149" s="395">
        <v>34</v>
      </c>
      <c r="B149" s="494"/>
      <c r="C149" s="398" t="s">
        <v>1001</v>
      </c>
      <c r="D149" s="402"/>
      <c r="F149" s="92">
        <v>0.72</v>
      </c>
      <c r="G149" s="92">
        <v>0.72</v>
      </c>
      <c r="H149" s="398" t="s">
        <v>1018</v>
      </c>
      <c r="I149" s="100">
        <f>0.00172*100</f>
        <v>0.17199999999999999</v>
      </c>
      <c r="J149" s="398" t="s">
        <v>1019</v>
      </c>
      <c r="K149" s="398"/>
      <c r="M149" s="92">
        <f t="shared" si="5"/>
        <v>0.72</v>
      </c>
      <c r="N149" s="92">
        <f t="shared" si="5"/>
        <v>0.72</v>
      </c>
      <c r="O149" s="398" t="s">
        <v>1018</v>
      </c>
      <c r="P149" s="100">
        <f t="shared" si="5"/>
        <v>0.17199999999999999</v>
      </c>
      <c r="Q149" s="398" t="s">
        <v>1019</v>
      </c>
      <c r="U149" s="68"/>
      <c r="V149" s="68"/>
      <c r="W149" s="68"/>
      <c r="X149" s="68"/>
      <c r="Y149" s="68"/>
    </row>
    <row r="150" spans="1:26" x14ac:dyDescent="0.2">
      <c r="A150" s="395">
        <v>35</v>
      </c>
      <c r="B150" s="494"/>
      <c r="C150" s="398" t="s">
        <v>1692</v>
      </c>
      <c r="D150" s="402"/>
      <c r="F150" s="100">
        <v>5.1999999999999998E-2</v>
      </c>
      <c r="G150" s="100">
        <v>5.1999999999999998E-2</v>
      </c>
      <c r="H150" s="398" t="s">
        <v>1019</v>
      </c>
      <c r="I150" s="100">
        <v>5.1999999999999998E-2</v>
      </c>
      <c r="J150" s="398" t="s">
        <v>1019</v>
      </c>
      <c r="K150" s="398"/>
      <c r="L150" s="100"/>
      <c r="M150" s="398"/>
      <c r="O150" s="515"/>
      <c r="P150" s="515"/>
      <c r="Q150" s="398"/>
      <c r="R150" s="516"/>
      <c r="S150" s="516"/>
      <c r="T150" s="398"/>
      <c r="U150" s="68"/>
      <c r="V150" s="68"/>
      <c r="W150" s="68"/>
      <c r="X150" s="68"/>
      <c r="Y150" s="68"/>
    </row>
    <row r="151" spans="1:26" x14ac:dyDescent="0.2">
      <c r="A151" s="395">
        <v>36</v>
      </c>
      <c r="B151" s="494"/>
      <c r="C151" s="68" t="s">
        <v>1013</v>
      </c>
      <c r="R151" s="68"/>
      <c r="S151" s="68"/>
      <c r="T151" s="68"/>
      <c r="U151" s="68"/>
      <c r="V151" s="68"/>
      <c r="W151" s="68"/>
      <c r="X151" s="68"/>
      <c r="Y151" s="68"/>
    </row>
    <row r="152" spans="1:26" x14ac:dyDescent="0.2">
      <c r="A152" s="395">
        <v>37</v>
      </c>
      <c r="B152" s="395"/>
      <c r="C152" s="68" t="s">
        <v>1014</v>
      </c>
      <c r="R152" s="68"/>
      <c r="S152" s="68"/>
      <c r="T152" s="68"/>
      <c r="U152" s="68"/>
      <c r="V152" s="68"/>
      <c r="W152" s="68"/>
      <c r="X152" s="68"/>
      <c r="Y152" s="68"/>
    </row>
    <row r="153" spans="1:26" x14ac:dyDescent="0.2">
      <c r="A153" s="395">
        <v>38</v>
      </c>
      <c r="B153" s="395"/>
      <c r="C153" s="68" t="s">
        <v>1015</v>
      </c>
      <c r="P153" s="405"/>
      <c r="Q153" s="405"/>
      <c r="R153" s="405"/>
      <c r="S153" s="405"/>
      <c r="T153" s="405"/>
      <c r="U153" s="405"/>
      <c r="V153" s="405"/>
      <c r="W153" s="405"/>
      <c r="X153" s="405"/>
      <c r="Y153" s="405"/>
    </row>
    <row r="154" spans="1:26" x14ac:dyDescent="0.2">
      <c r="A154" s="395">
        <v>39</v>
      </c>
      <c r="B154" s="395"/>
      <c r="C154" s="68" t="s">
        <v>1016</v>
      </c>
      <c r="P154" s="405"/>
      <c r="Q154" s="405"/>
      <c r="R154" s="405"/>
      <c r="S154" s="405"/>
      <c r="T154" s="405"/>
      <c r="U154" s="405"/>
      <c r="V154" s="405"/>
      <c r="W154" s="405"/>
      <c r="X154" s="405"/>
      <c r="Y154" s="405"/>
    </row>
    <row r="155" spans="1:26" x14ac:dyDescent="0.2">
      <c r="A155" s="395">
        <v>40</v>
      </c>
      <c r="B155" s="395"/>
      <c r="C155" s="68" t="s">
        <v>1688</v>
      </c>
      <c r="D155" s="395"/>
      <c r="E155" s="395"/>
      <c r="F155" s="405"/>
      <c r="G155" s="405"/>
      <c r="H155" s="405"/>
      <c r="I155" s="405"/>
      <c r="J155" s="405"/>
      <c r="K155" s="405"/>
      <c r="L155" s="405"/>
      <c r="M155" s="405"/>
      <c r="N155" s="405"/>
      <c r="O155" s="405"/>
      <c r="P155" s="405"/>
      <c r="Q155" s="405"/>
      <c r="R155" s="405"/>
      <c r="S155" s="405"/>
      <c r="T155" s="405"/>
      <c r="U155" s="405"/>
      <c r="V155" s="405"/>
      <c r="W155" s="405"/>
      <c r="X155" s="405"/>
      <c r="Y155" s="405"/>
    </row>
    <row r="156" spans="1:26" x14ac:dyDescent="0.2">
      <c r="A156" s="395">
        <v>41</v>
      </c>
      <c r="B156" s="395"/>
      <c r="C156" s="68" t="s">
        <v>1023</v>
      </c>
      <c r="D156" s="395"/>
      <c r="E156" s="395"/>
      <c r="F156" s="405"/>
      <c r="G156" s="405"/>
      <c r="H156" s="405"/>
      <c r="I156" s="405"/>
      <c r="J156" s="405"/>
      <c r="K156" s="405"/>
      <c r="L156" s="405"/>
      <c r="M156" s="405"/>
      <c r="N156" s="405"/>
      <c r="O156" s="405"/>
      <c r="P156" s="405"/>
      <c r="Q156" s="405"/>
      <c r="R156" s="405"/>
      <c r="S156" s="405"/>
      <c r="T156" s="405"/>
      <c r="U156" s="405"/>
      <c r="V156" s="405"/>
      <c r="W156" s="405"/>
      <c r="X156" s="405"/>
      <c r="Y156" s="405"/>
    </row>
    <row r="157" spans="1:26" ht="13.5" thickBot="1" x14ac:dyDescent="0.25">
      <c r="A157" s="395">
        <v>42</v>
      </c>
      <c r="B157" s="396"/>
      <c r="C157" s="106" t="s">
        <v>1024</v>
      </c>
      <c r="D157" s="396"/>
      <c r="E157" s="396"/>
      <c r="F157" s="396"/>
      <c r="G157" s="396"/>
      <c r="H157" s="396"/>
      <c r="I157" s="396"/>
      <c r="J157" s="396"/>
      <c r="K157" s="396"/>
      <c r="L157" s="396"/>
      <c r="M157" s="396"/>
      <c r="N157" s="396"/>
      <c r="O157" s="396"/>
      <c r="P157" s="396"/>
      <c r="Q157" s="396"/>
      <c r="R157" s="396"/>
      <c r="S157" s="396"/>
      <c r="T157" s="396"/>
      <c r="U157" s="396"/>
      <c r="V157" s="396"/>
      <c r="W157" s="396"/>
      <c r="X157" s="396"/>
      <c r="Y157" s="396"/>
      <c r="Z157" s="504"/>
    </row>
    <row r="158" spans="1:26" x14ac:dyDescent="0.2">
      <c r="A158" s="395" t="str">
        <f>+'A-2 for RS_GS_GSD'!$A$104</f>
        <v>Supporting Schedules:  E-13c, E-14 Supplement</v>
      </c>
      <c r="B158" s="395"/>
      <c r="C158" s="395"/>
      <c r="D158" s="395"/>
      <c r="E158" s="395"/>
      <c r="F158" s="395"/>
      <c r="G158" s="395"/>
      <c r="H158" s="395"/>
      <c r="I158" s="395"/>
      <c r="J158" s="395"/>
      <c r="K158" s="395"/>
      <c r="L158" s="395"/>
      <c r="M158" s="395"/>
      <c r="N158" s="395"/>
      <c r="O158" s="395"/>
      <c r="P158" s="395"/>
      <c r="Q158" s="395"/>
      <c r="R158" s="395"/>
      <c r="S158" s="395"/>
      <c r="T158" s="395"/>
      <c r="U158" s="395"/>
      <c r="V158" s="395"/>
      <c r="W158" s="395" t="s">
        <v>1003</v>
      </c>
      <c r="X158" s="395"/>
      <c r="Y158" s="395"/>
    </row>
    <row r="159" spans="1:26" x14ac:dyDescent="0.2">
      <c r="A159" s="395"/>
      <c r="B159" s="395"/>
      <c r="C159" s="395"/>
      <c r="D159" s="395"/>
      <c r="E159" s="395"/>
      <c r="F159" s="395"/>
      <c r="G159" s="395"/>
      <c r="H159" s="395"/>
      <c r="I159" s="395"/>
      <c r="J159" s="395"/>
      <c r="K159" s="395"/>
      <c r="L159" s="395"/>
      <c r="M159" s="395"/>
      <c r="N159" s="395"/>
      <c r="O159" s="395"/>
      <c r="P159" s="395"/>
      <c r="Q159" s="395"/>
      <c r="R159" s="395"/>
      <c r="S159" s="395"/>
      <c r="T159" s="395"/>
      <c r="U159" s="395"/>
      <c r="V159" s="395"/>
      <c r="W159" s="395"/>
      <c r="X159" s="395"/>
      <c r="Y159" s="395"/>
    </row>
    <row r="160" spans="1:26" x14ac:dyDescent="0.2">
      <c r="A160" s="395"/>
      <c r="B160" s="395"/>
      <c r="C160" s="395"/>
      <c r="D160" s="395"/>
      <c r="E160" s="395"/>
      <c r="F160" s="395"/>
      <c r="G160" s="395"/>
      <c r="H160" s="395"/>
      <c r="I160" s="395"/>
      <c r="J160" s="395"/>
      <c r="K160" s="395"/>
      <c r="L160" s="395"/>
      <c r="M160" s="398"/>
      <c r="N160" s="398"/>
      <c r="O160" s="395"/>
      <c r="P160" s="398"/>
      <c r="Q160" s="398"/>
      <c r="R160" s="398"/>
      <c r="S160" s="398"/>
      <c r="T160" s="398"/>
      <c r="U160" s="398"/>
      <c r="V160" s="398"/>
      <c r="W160" s="395"/>
      <c r="X160" s="395"/>
      <c r="Y160" s="398"/>
    </row>
    <row r="161" spans="1:25" x14ac:dyDescent="0.2">
      <c r="A161" s="395"/>
      <c r="B161" s="395"/>
      <c r="C161" s="395"/>
      <c r="D161" s="395"/>
      <c r="E161" s="395"/>
      <c r="F161" s="395"/>
      <c r="G161" s="395"/>
      <c r="H161" s="395"/>
      <c r="I161" s="395"/>
      <c r="J161" s="395"/>
      <c r="K161" s="395"/>
      <c r="L161" s="395"/>
      <c r="M161" s="399"/>
      <c r="N161" s="398"/>
      <c r="O161" s="395"/>
      <c r="P161" s="395"/>
      <c r="Q161" s="395"/>
      <c r="R161" s="395"/>
      <c r="S161" s="395"/>
      <c r="T161" s="395"/>
      <c r="U161" s="399"/>
      <c r="V161" s="399"/>
      <c r="W161" s="398"/>
      <c r="X161" s="395"/>
      <c r="Y161" s="399"/>
    </row>
    <row r="162" spans="1:25" x14ac:dyDescent="0.2">
      <c r="A162" s="395"/>
      <c r="B162" s="395"/>
      <c r="C162" s="395"/>
      <c r="D162" s="395"/>
      <c r="E162" s="395"/>
      <c r="F162" s="395"/>
      <c r="G162" s="395"/>
      <c r="H162" s="395"/>
      <c r="I162" s="395"/>
      <c r="J162" s="395"/>
      <c r="K162" s="395"/>
      <c r="L162" s="395"/>
      <c r="M162" s="399"/>
      <c r="N162" s="398"/>
      <c r="O162" s="399"/>
      <c r="P162" s="395"/>
      <c r="Q162" s="395"/>
      <c r="R162" s="395"/>
      <c r="S162" s="395"/>
      <c r="T162" s="395"/>
      <c r="U162" s="395"/>
      <c r="V162" s="398"/>
      <c r="W162" s="398"/>
      <c r="X162" s="395"/>
      <c r="Y162" s="399"/>
    </row>
    <row r="163" spans="1:25" x14ac:dyDescent="0.2">
      <c r="A163" s="395"/>
      <c r="B163" s="395"/>
      <c r="C163" s="395"/>
      <c r="D163" s="395"/>
      <c r="E163" s="395"/>
      <c r="F163" s="395"/>
      <c r="R163" s="395"/>
      <c r="S163" s="395"/>
      <c r="T163" s="395"/>
      <c r="U163" s="395"/>
      <c r="V163" s="399"/>
      <c r="W163" s="398"/>
      <c r="X163" s="395"/>
      <c r="Y163" s="399"/>
    </row>
    <row r="164" spans="1:25" x14ac:dyDescent="0.2">
      <c r="A164" s="395"/>
      <c r="B164" s="395"/>
      <c r="C164" s="395"/>
      <c r="D164" s="395"/>
      <c r="E164" s="395"/>
      <c r="F164" s="395"/>
      <c r="G164" s="395"/>
      <c r="H164" s="395"/>
      <c r="I164" s="395"/>
      <c r="J164" s="395"/>
      <c r="K164" s="395"/>
      <c r="L164" s="395"/>
      <c r="M164" s="402"/>
      <c r="N164" s="395"/>
      <c r="O164" s="395"/>
      <c r="P164" s="395"/>
      <c r="Q164" s="395"/>
      <c r="R164" s="395"/>
      <c r="S164" s="395"/>
      <c r="T164" s="395"/>
      <c r="U164" s="395"/>
      <c r="V164" s="395"/>
      <c r="W164" s="395"/>
      <c r="X164" s="395"/>
      <c r="Y164" s="395"/>
    </row>
    <row r="165" spans="1:25" x14ac:dyDescent="0.2">
      <c r="A165" s="395"/>
      <c r="B165" s="395"/>
      <c r="C165" s="395"/>
      <c r="D165" s="401"/>
      <c r="E165" s="401"/>
      <c r="F165" s="401"/>
      <c r="G165" s="401"/>
      <c r="H165" s="401"/>
      <c r="I165" s="401"/>
      <c r="J165" s="401"/>
      <c r="K165" s="401"/>
      <c r="L165" s="401"/>
      <c r="M165" s="401"/>
      <c r="N165" s="401"/>
      <c r="O165" s="401"/>
      <c r="P165" s="401"/>
      <c r="Q165" s="401"/>
      <c r="R165" s="401"/>
      <c r="S165" s="401"/>
      <c r="T165" s="401"/>
      <c r="U165" s="401"/>
      <c r="V165" s="401"/>
      <c r="W165" s="401"/>
      <c r="X165" s="401"/>
      <c r="Y165" s="401"/>
    </row>
    <row r="166" spans="1:25" x14ac:dyDescent="0.2">
      <c r="A166" s="395"/>
      <c r="B166" s="395"/>
      <c r="C166" s="395"/>
      <c r="D166" s="395"/>
      <c r="E166" s="395"/>
      <c r="F166" s="395"/>
      <c r="G166" s="395"/>
      <c r="H166" s="395"/>
      <c r="I166" s="395"/>
      <c r="J166" s="395"/>
      <c r="K166" s="395"/>
      <c r="L166" s="395"/>
      <c r="M166" s="395"/>
      <c r="N166" s="395"/>
      <c r="O166" s="395"/>
      <c r="P166" s="395"/>
      <c r="Q166" s="395"/>
      <c r="R166" s="395"/>
      <c r="S166" s="395"/>
      <c r="T166" s="395"/>
      <c r="U166" s="395"/>
      <c r="V166" s="395"/>
      <c r="W166" s="395"/>
      <c r="X166" s="395"/>
      <c r="Y166" s="395"/>
    </row>
    <row r="167" spans="1:25" x14ac:dyDescent="0.2">
      <c r="A167" s="395"/>
      <c r="B167" s="402"/>
      <c r="C167" s="402"/>
      <c r="D167" s="402"/>
      <c r="E167" s="402"/>
      <c r="F167" s="402"/>
      <c r="G167" s="401"/>
      <c r="H167" s="401"/>
      <c r="I167" s="401"/>
      <c r="J167" s="401"/>
      <c r="K167" s="401"/>
      <c r="L167" s="401"/>
      <c r="M167" s="401"/>
      <c r="N167" s="401"/>
      <c r="O167" s="401"/>
      <c r="P167" s="401"/>
      <c r="Q167" s="401"/>
      <c r="R167" s="401"/>
      <c r="S167" s="401"/>
      <c r="T167" s="401"/>
      <c r="U167" s="401"/>
      <c r="V167" s="401"/>
      <c r="W167" s="401"/>
      <c r="X167" s="401"/>
      <c r="Y167" s="401"/>
    </row>
    <row r="168" spans="1:25" x14ac:dyDescent="0.2">
      <c r="A168" s="395"/>
      <c r="B168" s="402"/>
      <c r="C168" s="402"/>
      <c r="D168" s="402"/>
      <c r="E168" s="402"/>
      <c r="F168" s="402"/>
      <c r="G168" s="401"/>
      <c r="H168" s="525"/>
      <c r="I168" s="525"/>
      <c r="J168" s="525"/>
      <c r="K168" s="525"/>
      <c r="L168" s="525"/>
      <c r="M168" s="401"/>
      <c r="N168" s="402"/>
      <c r="O168" s="402"/>
      <c r="P168" s="401"/>
      <c r="Q168" s="401"/>
      <c r="R168" s="525"/>
      <c r="S168" s="525"/>
      <c r="T168" s="525"/>
      <c r="U168" s="401"/>
      <c r="V168" s="401"/>
      <c r="W168" s="401"/>
      <c r="X168" s="402"/>
      <c r="Y168" s="402"/>
    </row>
    <row r="169" spans="1:25" x14ac:dyDescent="0.2">
      <c r="A169" s="395"/>
      <c r="B169" s="526"/>
      <c r="C169" s="101"/>
      <c r="D169" s="101"/>
      <c r="E169" s="101"/>
      <c r="F169" s="101"/>
      <c r="G169" s="401"/>
      <c r="H169" s="101"/>
      <c r="I169" s="101"/>
      <c r="J169" s="101"/>
      <c r="K169" s="101"/>
      <c r="L169" s="101"/>
      <c r="M169" s="101"/>
      <c r="N169" s="401"/>
      <c r="O169" s="401"/>
      <c r="P169" s="401"/>
      <c r="Q169" s="401"/>
      <c r="R169" s="101"/>
      <c r="S169" s="101"/>
      <c r="T169" s="101"/>
      <c r="U169" s="101"/>
      <c r="V169" s="101"/>
      <c r="W169" s="101"/>
      <c r="X169" s="402"/>
      <c r="Y169" s="402"/>
    </row>
    <row r="170" spans="1:25" x14ac:dyDescent="0.2">
      <c r="A170" s="395"/>
      <c r="B170" s="511"/>
      <c r="C170" s="68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6"/>
      <c r="X170" s="93"/>
      <c r="Y170" s="102"/>
    </row>
    <row r="171" spans="1:25" x14ac:dyDescent="0.2">
      <c r="A171" s="395"/>
      <c r="B171" s="511"/>
      <c r="C171" s="68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6"/>
      <c r="X171" s="93"/>
      <c r="Y171" s="102"/>
    </row>
    <row r="172" spans="1:25" x14ac:dyDescent="0.2">
      <c r="A172" s="395"/>
      <c r="B172" s="511"/>
      <c r="C172" s="68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6"/>
      <c r="X172" s="93"/>
      <c r="Y172" s="102"/>
    </row>
    <row r="173" spans="1:25" x14ac:dyDescent="0.2">
      <c r="A173" s="395"/>
      <c r="D173" s="103"/>
      <c r="E173" s="103"/>
      <c r="F173" s="103"/>
      <c r="G173" s="103"/>
      <c r="H173" s="103"/>
      <c r="I173" s="103"/>
      <c r="J173" s="103"/>
      <c r="K173" s="103"/>
      <c r="L173" s="103"/>
      <c r="M173" s="103"/>
      <c r="N173" s="103"/>
      <c r="O173" s="103"/>
      <c r="P173" s="103"/>
      <c r="Q173" s="103"/>
      <c r="R173" s="103"/>
      <c r="S173" s="103"/>
      <c r="T173" s="103"/>
      <c r="U173" s="103"/>
      <c r="V173" s="84"/>
      <c r="W173" s="86"/>
      <c r="X173" s="95"/>
      <c r="Y173" s="88"/>
    </row>
    <row r="174" spans="1:25" x14ac:dyDescent="0.2">
      <c r="A174" s="395"/>
      <c r="B174" s="512"/>
      <c r="C174" s="68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6"/>
      <c r="X174" s="93"/>
      <c r="Y174" s="102"/>
    </row>
    <row r="175" spans="1:25" x14ac:dyDescent="0.2">
      <c r="A175" s="395"/>
      <c r="B175" s="512"/>
      <c r="C175" s="68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6"/>
      <c r="X175" s="93"/>
      <c r="Y175" s="102"/>
    </row>
    <row r="176" spans="1:25" x14ac:dyDescent="0.2">
      <c r="A176" s="395"/>
      <c r="B176" s="512"/>
      <c r="C176" s="68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6"/>
      <c r="X176" s="93"/>
      <c r="Y176" s="102"/>
    </row>
    <row r="177" spans="1:25" x14ac:dyDescent="0.2">
      <c r="A177" s="395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84"/>
      <c r="W177" s="86"/>
      <c r="X177" s="95"/>
      <c r="Y177" s="88"/>
    </row>
    <row r="178" spans="1:25" x14ac:dyDescent="0.2">
      <c r="A178" s="395"/>
      <c r="B178" s="513"/>
      <c r="C178" s="68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6"/>
      <c r="X178" s="93"/>
      <c r="Y178" s="102"/>
    </row>
    <row r="179" spans="1:25" x14ac:dyDescent="0.2">
      <c r="A179" s="395"/>
      <c r="B179" s="513"/>
      <c r="C179" s="68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6"/>
      <c r="X179" s="93"/>
      <c r="Y179" s="102"/>
    </row>
    <row r="180" spans="1:25" x14ac:dyDescent="0.2">
      <c r="A180" s="395"/>
      <c r="B180" s="513"/>
      <c r="C180" s="68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6"/>
      <c r="X180" s="93"/>
      <c r="Y180" s="102"/>
    </row>
    <row r="181" spans="1:25" x14ac:dyDescent="0.2">
      <c r="A181" s="395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93"/>
      <c r="W181" s="86"/>
      <c r="X181" s="68"/>
      <c r="Y181" s="68"/>
    </row>
    <row r="182" spans="1:25" x14ac:dyDescent="0.2">
      <c r="A182" s="395"/>
      <c r="F182" s="574"/>
      <c r="G182" s="574"/>
      <c r="H182" s="402"/>
      <c r="I182" s="402"/>
      <c r="J182" s="402"/>
      <c r="K182" s="402"/>
      <c r="L182" s="402"/>
      <c r="M182" s="574"/>
      <c r="N182" s="574"/>
      <c r="O182" s="574"/>
      <c r="P182" s="574"/>
    </row>
    <row r="183" spans="1:25" x14ac:dyDescent="0.2">
      <c r="A183" s="395"/>
      <c r="C183" s="402"/>
      <c r="D183" s="402"/>
      <c r="E183" s="402"/>
      <c r="F183" s="402"/>
      <c r="G183" s="402"/>
      <c r="H183" s="395"/>
      <c r="I183" s="395"/>
      <c r="J183" s="395"/>
      <c r="K183" s="395"/>
      <c r="N183" s="402"/>
      <c r="O183" s="395"/>
    </row>
    <row r="184" spans="1:25" x14ac:dyDescent="0.2">
      <c r="A184" s="395"/>
      <c r="C184" s="398"/>
      <c r="D184" s="402"/>
      <c r="E184" s="402"/>
      <c r="F184" s="92"/>
      <c r="G184" s="92"/>
      <c r="H184" s="398"/>
      <c r="I184" s="398"/>
      <c r="J184" s="398"/>
      <c r="K184" s="398"/>
      <c r="N184" s="515"/>
      <c r="O184" s="398"/>
    </row>
    <row r="185" spans="1:25" x14ac:dyDescent="0.2">
      <c r="A185" s="395"/>
      <c r="C185" s="398"/>
      <c r="D185" s="402"/>
      <c r="F185" s="92"/>
      <c r="G185" s="92"/>
      <c r="H185" s="398"/>
      <c r="I185" s="398"/>
      <c r="J185" s="398"/>
      <c r="K185" s="398"/>
      <c r="N185" s="515"/>
      <c r="O185" s="398"/>
      <c r="Q185" s="93"/>
      <c r="R185" s="93"/>
      <c r="S185" s="93"/>
      <c r="T185" s="93"/>
      <c r="U185" s="93"/>
      <c r="V185" s="68"/>
      <c r="W185" s="86"/>
      <c r="X185" s="68"/>
      <c r="Y185" s="68"/>
    </row>
    <row r="186" spans="1:25" x14ac:dyDescent="0.2">
      <c r="A186" s="395"/>
      <c r="B186" s="513"/>
      <c r="C186" s="398"/>
      <c r="D186" s="402"/>
      <c r="F186" s="100"/>
      <c r="G186" s="100"/>
      <c r="H186" s="398"/>
      <c r="I186" s="398"/>
      <c r="J186" s="398"/>
      <c r="K186" s="398"/>
      <c r="N186" s="516"/>
      <c r="O186" s="398"/>
      <c r="Q186" s="93"/>
      <c r="R186" s="93"/>
      <c r="S186" s="93"/>
      <c r="T186" s="93"/>
      <c r="U186" s="93"/>
      <c r="V186" s="93"/>
      <c r="W186" s="86"/>
      <c r="X186" s="93"/>
      <c r="Y186" s="102"/>
    </row>
    <row r="187" spans="1:25" x14ac:dyDescent="0.2">
      <c r="A187" s="395"/>
      <c r="B187" s="513"/>
      <c r="C187" s="398"/>
      <c r="D187" s="402"/>
      <c r="F187" s="408"/>
      <c r="G187" s="408"/>
      <c r="H187" s="398"/>
      <c r="I187" s="398"/>
      <c r="J187" s="398"/>
      <c r="K187" s="398"/>
      <c r="N187" s="516"/>
      <c r="O187" s="398"/>
      <c r="Q187" s="93"/>
      <c r="R187" s="93"/>
      <c r="S187" s="93"/>
      <c r="T187" s="93"/>
      <c r="U187" s="93"/>
      <c r="V187" s="93"/>
      <c r="W187" s="86"/>
      <c r="X187" s="93"/>
      <c r="Y187" s="102"/>
    </row>
    <row r="188" spans="1:25" x14ac:dyDescent="0.2">
      <c r="A188" s="395"/>
      <c r="B188" s="513"/>
      <c r="C188" s="517"/>
      <c r="F188" s="408"/>
      <c r="G188" s="408"/>
      <c r="H188" s="398"/>
      <c r="I188" s="398"/>
      <c r="J188" s="398"/>
      <c r="K188" s="398"/>
      <c r="N188" s="515"/>
      <c r="O188" s="398"/>
      <c r="Q188" s="93"/>
      <c r="R188" s="93"/>
      <c r="S188" s="93"/>
      <c r="T188" s="93"/>
      <c r="U188" s="93"/>
      <c r="V188" s="93"/>
      <c r="W188" s="86"/>
      <c r="X188" s="93"/>
      <c r="Y188" s="102"/>
    </row>
    <row r="189" spans="1:25" x14ac:dyDescent="0.2">
      <c r="A189" s="395"/>
      <c r="B189" s="513"/>
      <c r="C189" s="517"/>
      <c r="F189" s="408"/>
      <c r="G189" s="408"/>
      <c r="H189" s="398"/>
      <c r="I189" s="398"/>
      <c r="J189" s="398"/>
      <c r="K189" s="398"/>
      <c r="N189" s="515"/>
      <c r="O189" s="398"/>
      <c r="Q189" s="68"/>
      <c r="R189" s="68"/>
      <c r="S189" s="68"/>
      <c r="T189" s="68"/>
      <c r="U189" s="68"/>
      <c r="V189" s="68"/>
      <c r="W189" s="86"/>
      <c r="X189" s="68"/>
      <c r="Y189" s="68"/>
    </row>
    <row r="190" spans="1:25" x14ac:dyDescent="0.2">
      <c r="A190" s="395"/>
      <c r="B190" s="513"/>
      <c r="C190" s="398"/>
      <c r="D190" s="402"/>
      <c r="F190" s="408"/>
      <c r="G190" s="408"/>
      <c r="H190" s="398"/>
      <c r="I190" s="398"/>
      <c r="J190" s="398"/>
      <c r="K190" s="398"/>
      <c r="N190" s="515"/>
      <c r="O190" s="398"/>
      <c r="Q190" s="93"/>
      <c r="R190" s="93"/>
      <c r="S190" s="93"/>
      <c r="T190" s="93"/>
      <c r="U190" s="93"/>
      <c r="V190" s="93"/>
      <c r="W190" s="86"/>
      <c r="X190" s="93"/>
      <c r="Y190" s="102"/>
    </row>
    <row r="191" spans="1:25" x14ac:dyDescent="0.2">
      <c r="A191" s="395"/>
      <c r="B191" s="513"/>
      <c r="C191" s="398"/>
      <c r="D191" s="402"/>
      <c r="F191" s="408"/>
      <c r="G191" s="408"/>
      <c r="H191" s="398"/>
      <c r="I191" s="398"/>
      <c r="J191" s="398"/>
      <c r="K191" s="398"/>
      <c r="N191" s="515"/>
      <c r="O191" s="398"/>
      <c r="Q191" s="93"/>
      <c r="R191" s="93"/>
      <c r="S191" s="93"/>
      <c r="T191" s="93"/>
      <c r="U191" s="93"/>
      <c r="V191" s="93"/>
      <c r="W191" s="86"/>
      <c r="X191" s="93"/>
      <c r="Y191" s="102"/>
    </row>
    <row r="192" spans="1:25" x14ac:dyDescent="0.2">
      <c r="A192" s="395"/>
      <c r="B192" s="513"/>
      <c r="C192" s="398"/>
      <c r="D192" s="402"/>
      <c r="F192" s="408"/>
      <c r="G192" s="408"/>
      <c r="H192" s="398"/>
      <c r="I192" s="398"/>
      <c r="J192" s="398"/>
      <c r="K192" s="398"/>
      <c r="N192" s="516"/>
      <c r="O192" s="398"/>
      <c r="Q192" s="93"/>
      <c r="R192" s="93"/>
      <c r="S192" s="93"/>
      <c r="T192" s="93"/>
      <c r="U192" s="93"/>
      <c r="V192" s="93"/>
      <c r="W192" s="86"/>
      <c r="X192" s="93"/>
      <c r="Y192" s="102"/>
    </row>
    <row r="193" spans="1:25" x14ac:dyDescent="0.2">
      <c r="A193" s="395"/>
      <c r="C193" s="74"/>
      <c r="F193" s="92"/>
      <c r="G193" s="92"/>
      <c r="H193" s="398"/>
      <c r="I193" s="398"/>
      <c r="J193" s="398"/>
      <c r="K193" s="398"/>
      <c r="N193" s="515"/>
      <c r="O193" s="398"/>
      <c r="V193" s="68"/>
      <c r="W193" s="68"/>
      <c r="X193" s="68"/>
      <c r="Y193" s="68"/>
    </row>
    <row r="194" spans="1:25" x14ac:dyDescent="0.2">
      <c r="A194" s="395"/>
      <c r="B194" s="513"/>
      <c r="C194" s="395"/>
      <c r="N194" s="515"/>
      <c r="O194" s="395"/>
      <c r="Q194" s="93"/>
      <c r="R194" s="93"/>
      <c r="S194" s="93"/>
      <c r="T194" s="93"/>
      <c r="U194" s="93"/>
      <c r="V194" s="93"/>
      <c r="W194" s="86"/>
      <c r="X194" s="93"/>
      <c r="Y194" s="102"/>
    </row>
    <row r="195" spans="1:25" x14ac:dyDescent="0.2">
      <c r="A195" s="395"/>
      <c r="B195" s="513"/>
      <c r="Q195" s="93"/>
      <c r="R195" s="93"/>
      <c r="S195" s="93"/>
      <c r="T195" s="93"/>
      <c r="U195" s="93"/>
      <c r="V195" s="93"/>
      <c r="W195" s="86"/>
      <c r="X195" s="93"/>
      <c r="Y195" s="102"/>
    </row>
    <row r="196" spans="1:25" x14ac:dyDescent="0.2">
      <c r="A196" s="395"/>
      <c r="B196" s="513"/>
      <c r="Q196" s="93"/>
      <c r="R196" s="93"/>
      <c r="S196" s="93"/>
      <c r="T196" s="93"/>
      <c r="U196" s="93"/>
      <c r="V196" s="93"/>
      <c r="W196" s="86"/>
      <c r="X196" s="93"/>
      <c r="Y196" s="102"/>
    </row>
    <row r="197" spans="1:25" x14ac:dyDescent="0.2">
      <c r="A197" s="395"/>
      <c r="V197" s="68"/>
      <c r="W197" s="68"/>
      <c r="X197" s="68"/>
      <c r="Y197" s="68"/>
    </row>
    <row r="198" spans="1:25" x14ac:dyDescent="0.2">
      <c r="A198" s="395"/>
      <c r="V198" s="68"/>
      <c r="W198" s="68"/>
      <c r="X198" s="68"/>
      <c r="Y198" s="68"/>
    </row>
    <row r="199" spans="1:25" x14ac:dyDescent="0.2">
      <c r="A199" s="395"/>
      <c r="B199" s="494"/>
      <c r="C199" s="68"/>
      <c r="Q199" s="68"/>
      <c r="R199" s="68"/>
      <c r="S199" s="68"/>
      <c r="T199" s="68"/>
      <c r="U199" s="68"/>
      <c r="V199" s="68"/>
      <c r="W199" s="68"/>
      <c r="X199" s="68"/>
      <c r="Y199" s="68"/>
    </row>
    <row r="200" spans="1:25" x14ac:dyDescent="0.2">
      <c r="A200" s="395"/>
      <c r="B200" s="494"/>
      <c r="C200" s="68"/>
      <c r="R200" s="68"/>
      <c r="S200" s="68"/>
      <c r="T200" s="68"/>
      <c r="U200" s="68"/>
      <c r="V200" s="68"/>
      <c r="W200" s="68"/>
      <c r="X200" s="68"/>
      <c r="Y200" s="68"/>
    </row>
    <row r="201" spans="1:25" x14ac:dyDescent="0.2">
      <c r="A201" s="395"/>
      <c r="B201" s="494"/>
      <c r="C201" s="68"/>
      <c r="R201" s="68"/>
      <c r="S201" s="68"/>
      <c r="T201" s="68"/>
      <c r="U201" s="68"/>
      <c r="V201" s="68"/>
      <c r="W201" s="68"/>
      <c r="X201" s="68"/>
      <c r="Y201" s="68"/>
    </row>
    <row r="202" spans="1:25" x14ac:dyDescent="0.2">
      <c r="A202" s="395"/>
      <c r="B202" s="494"/>
      <c r="C202" s="68"/>
      <c r="R202" s="68"/>
      <c r="S202" s="68"/>
      <c r="T202" s="68"/>
      <c r="U202" s="68"/>
      <c r="V202" s="68"/>
      <c r="W202" s="68"/>
      <c r="X202" s="68"/>
      <c r="Y202" s="68"/>
    </row>
    <row r="203" spans="1:25" x14ac:dyDescent="0.2">
      <c r="A203" s="395"/>
      <c r="B203" s="494"/>
      <c r="C203" s="68"/>
      <c r="N203" s="68"/>
      <c r="O203" s="68"/>
      <c r="R203" s="68"/>
      <c r="S203" s="68"/>
      <c r="T203" s="68"/>
      <c r="U203" s="68"/>
      <c r="V203" s="68"/>
      <c r="W203" s="68"/>
      <c r="X203" s="68"/>
      <c r="Y203" s="68"/>
    </row>
    <row r="204" spans="1:25" x14ac:dyDescent="0.2">
      <c r="A204" s="395"/>
      <c r="B204" s="395"/>
      <c r="C204" s="68"/>
      <c r="N204" s="405"/>
      <c r="O204" s="68"/>
      <c r="R204" s="405"/>
      <c r="S204" s="405"/>
      <c r="T204" s="405"/>
      <c r="U204" s="405"/>
      <c r="V204" s="405"/>
      <c r="W204" s="405"/>
      <c r="X204" s="405"/>
      <c r="Y204" s="405"/>
    </row>
    <row r="205" spans="1:25" x14ac:dyDescent="0.2">
      <c r="A205" s="395"/>
      <c r="B205" s="395"/>
      <c r="C205" s="68"/>
      <c r="N205" s="405"/>
      <c r="O205" s="68"/>
      <c r="R205" s="405"/>
      <c r="S205" s="405"/>
      <c r="T205" s="405"/>
      <c r="U205" s="405"/>
      <c r="V205" s="405"/>
      <c r="W205" s="405"/>
      <c r="X205" s="405"/>
      <c r="Y205" s="405"/>
    </row>
    <row r="206" spans="1:25" x14ac:dyDescent="0.2">
      <c r="A206" s="395"/>
      <c r="B206" s="395"/>
      <c r="N206" s="405"/>
      <c r="O206" s="68"/>
      <c r="R206" s="405"/>
      <c r="S206" s="405"/>
      <c r="T206" s="405"/>
      <c r="U206" s="405"/>
      <c r="V206" s="405"/>
      <c r="W206" s="405"/>
      <c r="X206" s="405"/>
      <c r="Y206" s="405"/>
    </row>
    <row r="207" spans="1:25" x14ac:dyDescent="0.2">
      <c r="A207" s="395"/>
      <c r="B207" s="395"/>
      <c r="D207" s="395"/>
      <c r="E207" s="395"/>
      <c r="N207" s="405"/>
      <c r="O207" s="405"/>
      <c r="R207" s="405"/>
      <c r="S207" s="405"/>
      <c r="T207" s="405"/>
      <c r="U207" s="405"/>
      <c r="V207" s="405"/>
      <c r="W207" s="405"/>
      <c r="X207" s="405"/>
      <c r="Y207" s="405"/>
    </row>
    <row r="208" spans="1:25" x14ac:dyDescent="0.2">
      <c r="A208" s="395"/>
      <c r="B208" s="395"/>
      <c r="F208" s="395"/>
      <c r="G208" s="395"/>
      <c r="H208" s="395"/>
      <c r="I208" s="395"/>
      <c r="J208" s="395"/>
      <c r="K208" s="395"/>
      <c r="L208" s="395"/>
      <c r="M208" s="395"/>
      <c r="N208" s="395"/>
      <c r="O208" s="395"/>
      <c r="P208" s="395"/>
      <c r="Q208" s="395"/>
      <c r="R208" s="395"/>
      <c r="S208" s="395"/>
      <c r="T208" s="395"/>
      <c r="U208" s="395"/>
      <c r="V208" s="395"/>
      <c r="W208" s="395"/>
      <c r="X208" s="395"/>
      <c r="Y208" s="395"/>
    </row>
    <row r="209" spans="1:25" x14ac:dyDescent="0.2">
      <c r="A209" s="395"/>
      <c r="B209" s="395"/>
      <c r="C209" s="395"/>
      <c r="D209" s="395"/>
      <c r="E209" s="395"/>
      <c r="F209" s="395"/>
      <c r="G209" s="395"/>
      <c r="H209" s="395"/>
      <c r="I209" s="395"/>
      <c r="J209" s="395"/>
      <c r="K209" s="395"/>
      <c r="L209" s="395"/>
      <c r="M209" s="395"/>
      <c r="N209" s="395"/>
      <c r="O209" s="395"/>
      <c r="P209" s="395"/>
      <c r="Q209" s="395"/>
      <c r="R209" s="395"/>
      <c r="S209" s="395"/>
      <c r="T209" s="395"/>
      <c r="U209" s="395"/>
      <c r="V209" s="395"/>
      <c r="W209" s="395"/>
      <c r="X209" s="395"/>
      <c r="Y209" s="395"/>
    </row>
    <row r="210" spans="1:25" x14ac:dyDescent="0.2">
      <c r="A210" s="395"/>
      <c r="B210" s="395"/>
      <c r="C210" s="395"/>
      <c r="D210" s="395"/>
      <c r="E210" s="395"/>
      <c r="F210" s="395"/>
      <c r="G210" s="395"/>
      <c r="H210" s="395"/>
      <c r="I210" s="395"/>
      <c r="J210" s="395"/>
      <c r="K210" s="395"/>
      <c r="L210" s="395"/>
      <c r="M210" s="395"/>
      <c r="N210" s="395"/>
      <c r="O210" s="395"/>
      <c r="P210" s="395"/>
      <c r="Q210" s="395"/>
      <c r="R210" s="395"/>
      <c r="S210" s="395"/>
      <c r="T210" s="395"/>
      <c r="U210" s="395"/>
      <c r="V210" s="395"/>
      <c r="W210" s="395"/>
      <c r="X210" s="395"/>
      <c r="Y210" s="395"/>
    </row>
    <row r="211" spans="1:25" x14ac:dyDescent="0.2">
      <c r="A211" s="395"/>
      <c r="B211" s="395"/>
      <c r="C211" s="395"/>
      <c r="D211" s="395"/>
      <c r="E211" s="395"/>
      <c r="F211" s="395"/>
      <c r="G211" s="395"/>
      <c r="H211" s="395"/>
      <c r="I211" s="395"/>
      <c r="J211" s="395"/>
      <c r="K211" s="395"/>
      <c r="L211" s="395"/>
      <c r="M211" s="398"/>
      <c r="N211" s="398"/>
      <c r="O211" s="395"/>
      <c r="P211" s="398"/>
      <c r="Q211" s="398"/>
      <c r="R211" s="398"/>
      <c r="S211" s="398"/>
      <c r="T211" s="398"/>
      <c r="U211" s="398"/>
      <c r="V211" s="398"/>
      <c r="W211" s="395"/>
      <c r="X211" s="395"/>
      <c r="Y211" s="398"/>
    </row>
    <row r="212" spans="1:25" x14ac:dyDescent="0.2">
      <c r="A212" s="395"/>
      <c r="B212" s="395"/>
      <c r="C212" s="395"/>
      <c r="D212" s="395"/>
      <c r="E212" s="395"/>
      <c r="F212" s="395"/>
      <c r="G212" s="395"/>
      <c r="H212" s="395"/>
      <c r="I212" s="395"/>
      <c r="J212" s="395"/>
      <c r="K212" s="395"/>
      <c r="L212" s="395"/>
      <c r="M212" s="399"/>
      <c r="N212" s="398"/>
      <c r="O212" s="395"/>
      <c r="P212" s="395"/>
      <c r="Q212" s="395"/>
      <c r="R212" s="395"/>
      <c r="S212" s="395"/>
      <c r="T212" s="395"/>
      <c r="U212" s="399"/>
      <c r="V212" s="399"/>
      <c r="W212" s="398"/>
      <c r="X212" s="395"/>
      <c r="Y212" s="399"/>
    </row>
    <row r="213" spans="1:25" x14ac:dyDescent="0.2">
      <c r="A213" s="395"/>
      <c r="B213" s="395"/>
      <c r="C213" s="395"/>
      <c r="D213" s="395"/>
      <c r="E213" s="395"/>
      <c r="F213" s="395"/>
      <c r="G213" s="395"/>
      <c r="H213" s="395"/>
      <c r="I213" s="395"/>
      <c r="J213" s="395"/>
      <c r="K213" s="395"/>
      <c r="L213" s="395"/>
      <c r="M213" s="399"/>
      <c r="N213" s="398"/>
      <c r="O213" s="399"/>
      <c r="P213" s="395"/>
      <c r="Q213" s="395"/>
      <c r="R213" s="395"/>
      <c r="S213" s="395"/>
      <c r="T213" s="395"/>
      <c r="U213" s="395"/>
      <c r="V213" s="398"/>
      <c r="W213" s="398"/>
      <c r="X213" s="395"/>
      <c r="Y213" s="399"/>
    </row>
    <row r="214" spans="1:25" x14ac:dyDescent="0.2">
      <c r="A214" s="395"/>
      <c r="B214" s="395"/>
      <c r="C214" s="395"/>
      <c r="D214" s="395"/>
      <c r="E214" s="395"/>
      <c r="F214" s="395"/>
      <c r="G214" s="575"/>
      <c r="H214" s="575"/>
      <c r="I214" s="575"/>
      <c r="J214" s="575"/>
      <c r="K214" s="575"/>
      <c r="L214" s="575"/>
      <c r="M214" s="575"/>
      <c r="N214" s="575"/>
      <c r="O214" s="575"/>
      <c r="P214" s="575"/>
      <c r="Q214" s="575"/>
      <c r="R214" s="395"/>
      <c r="S214" s="395"/>
      <c r="T214" s="395"/>
      <c r="U214" s="395"/>
      <c r="V214" s="399"/>
      <c r="W214" s="398"/>
      <c r="X214" s="395"/>
      <c r="Y214" s="399"/>
    </row>
    <row r="215" spans="1:25" x14ac:dyDescent="0.2">
      <c r="A215" s="395"/>
      <c r="B215" s="395"/>
      <c r="C215" s="395"/>
      <c r="D215" s="395"/>
      <c r="E215" s="395"/>
      <c r="F215" s="395"/>
      <c r="G215" s="395"/>
      <c r="H215" s="395"/>
      <c r="I215" s="395"/>
      <c r="J215" s="395"/>
      <c r="K215" s="395"/>
      <c r="L215" s="395"/>
      <c r="M215" s="402"/>
      <c r="N215" s="395"/>
      <c r="O215" s="395"/>
      <c r="P215" s="395"/>
      <c r="Q215" s="395"/>
      <c r="R215" s="395"/>
      <c r="S215" s="395"/>
      <c r="T215" s="395"/>
      <c r="U215" s="395"/>
      <c r="V215" s="395"/>
      <c r="W215" s="395"/>
      <c r="X215" s="395"/>
      <c r="Y215" s="395"/>
    </row>
    <row r="216" spans="1:25" x14ac:dyDescent="0.2">
      <c r="A216" s="395"/>
      <c r="B216" s="574"/>
      <c r="C216" s="574"/>
      <c r="D216" s="401"/>
      <c r="E216" s="401"/>
      <c r="F216" s="401"/>
      <c r="G216" s="401"/>
      <c r="H216" s="401"/>
      <c r="I216" s="401"/>
      <c r="J216" s="401"/>
      <c r="K216" s="401"/>
      <c r="L216" s="401"/>
      <c r="M216" s="401"/>
      <c r="N216" s="401"/>
      <c r="O216" s="401"/>
      <c r="P216" s="401"/>
      <c r="Q216" s="401"/>
      <c r="R216" s="401"/>
      <c r="S216" s="401"/>
      <c r="T216" s="401"/>
      <c r="U216" s="401"/>
      <c r="V216" s="401"/>
      <c r="W216" s="401"/>
      <c r="X216" s="401"/>
      <c r="Y216" s="401"/>
    </row>
    <row r="217" spans="1:25" x14ac:dyDescent="0.2">
      <c r="A217" s="395"/>
      <c r="B217" s="574"/>
      <c r="C217" s="574"/>
      <c r="D217" s="574"/>
      <c r="E217" s="574"/>
      <c r="F217" s="574"/>
      <c r="G217" s="574"/>
      <c r="H217" s="574"/>
      <c r="I217" s="574"/>
      <c r="J217" s="574"/>
      <c r="K217" s="574"/>
      <c r="L217" s="574"/>
      <c r="M217" s="574"/>
      <c r="N217" s="574"/>
      <c r="O217" s="574"/>
      <c r="P217" s="574"/>
      <c r="Q217" s="574"/>
      <c r="R217" s="574"/>
      <c r="S217" s="574"/>
      <c r="T217" s="574"/>
      <c r="U217" s="574"/>
      <c r="V217" s="574"/>
      <c r="W217" s="574"/>
      <c r="X217" s="574"/>
      <c r="Y217" s="574"/>
    </row>
    <row r="218" spans="1:25" x14ac:dyDescent="0.2">
      <c r="A218" s="395"/>
      <c r="B218" s="402"/>
      <c r="C218" s="402"/>
      <c r="D218" s="402"/>
      <c r="E218" s="402"/>
      <c r="F218" s="402"/>
      <c r="G218" s="401"/>
      <c r="H218" s="401"/>
      <c r="I218" s="401"/>
      <c r="J218" s="401"/>
      <c r="K218" s="401"/>
      <c r="L218" s="401"/>
      <c r="M218" s="401"/>
      <c r="N218" s="401"/>
      <c r="O218" s="401"/>
      <c r="P218" s="401"/>
      <c r="Q218" s="401"/>
      <c r="R218" s="401"/>
      <c r="S218" s="401"/>
      <c r="T218" s="401"/>
      <c r="U218" s="401"/>
      <c r="V218" s="401"/>
      <c r="W218" s="401"/>
      <c r="X218" s="401"/>
      <c r="Y218" s="401"/>
    </row>
    <row r="219" spans="1:25" x14ac:dyDescent="0.2">
      <c r="A219" s="395"/>
      <c r="B219" s="402"/>
      <c r="C219" s="402"/>
      <c r="D219" s="402"/>
      <c r="E219" s="402"/>
      <c r="F219" s="402"/>
      <c r="G219" s="401"/>
      <c r="H219" s="525"/>
      <c r="I219" s="525"/>
      <c r="J219" s="525"/>
      <c r="K219" s="525"/>
      <c r="L219" s="525"/>
      <c r="M219" s="401"/>
      <c r="N219" s="402"/>
      <c r="O219" s="402"/>
      <c r="P219" s="401"/>
      <c r="Q219" s="401"/>
      <c r="R219" s="525"/>
      <c r="S219" s="525"/>
      <c r="T219" s="525"/>
      <c r="U219" s="401"/>
      <c r="V219" s="401"/>
      <c r="W219" s="401"/>
      <c r="X219" s="402"/>
      <c r="Y219" s="402"/>
    </row>
    <row r="220" spans="1:25" x14ac:dyDescent="0.2">
      <c r="A220" s="395"/>
      <c r="B220" s="526"/>
      <c r="C220" s="101"/>
      <c r="D220" s="101"/>
      <c r="E220" s="101"/>
      <c r="F220" s="101"/>
      <c r="G220" s="401"/>
      <c r="H220" s="101"/>
      <c r="I220" s="101"/>
      <c r="J220" s="101"/>
      <c r="K220" s="101"/>
      <c r="L220" s="101"/>
      <c r="M220" s="101"/>
      <c r="N220" s="401"/>
      <c r="O220" s="401"/>
      <c r="P220" s="401"/>
      <c r="Q220" s="401"/>
      <c r="R220" s="101"/>
      <c r="S220" s="101"/>
      <c r="T220" s="101"/>
      <c r="U220" s="101"/>
      <c r="V220" s="101"/>
      <c r="W220" s="101"/>
      <c r="X220" s="402"/>
      <c r="Y220" s="402"/>
    </row>
    <row r="221" spans="1:25" x14ac:dyDescent="0.2">
      <c r="A221" s="395"/>
      <c r="B221" s="511"/>
      <c r="C221" s="68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6"/>
      <c r="X221" s="93"/>
      <c r="Y221" s="102"/>
    </row>
    <row r="222" spans="1:25" x14ac:dyDescent="0.2">
      <c r="A222" s="395"/>
      <c r="B222" s="511"/>
      <c r="C222" s="68"/>
      <c r="D222" s="84"/>
      <c r="E222" s="84"/>
      <c r="F222" s="84"/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6"/>
      <c r="X222" s="93"/>
      <c r="Y222" s="102"/>
    </row>
    <row r="223" spans="1:25" x14ac:dyDescent="0.2">
      <c r="A223" s="395"/>
      <c r="B223" s="511"/>
      <c r="C223" s="68"/>
      <c r="D223" s="84"/>
      <c r="E223" s="84"/>
      <c r="F223" s="84"/>
      <c r="G223" s="84"/>
      <c r="H223" s="84"/>
      <c r="I223" s="84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6"/>
      <c r="X223" s="93"/>
      <c r="Y223" s="102"/>
    </row>
    <row r="224" spans="1:25" x14ac:dyDescent="0.2">
      <c r="A224" s="395"/>
      <c r="B224" s="49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103"/>
      <c r="O224" s="103"/>
      <c r="P224" s="103"/>
      <c r="Q224" s="103"/>
      <c r="R224" s="103"/>
      <c r="S224" s="103"/>
      <c r="T224" s="103"/>
      <c r="U224" s="103"/>
      <c r="V224" s="84"/>
      <c r="W224" s="86"/>
      <c r="X224" s="95"/>
      <c r="Y224" s="88"/>
    </row>
    <row r="225" spans="1:25" x14ac:dyDescent="0.2">
      <c r="A225" s="395"/>
      <c r="B225" s="512"/>
      <c r="C225" s="68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6"/>
      <c r="X225" s="93"/>
      <c r="Y225" s="102"/>
    </row>
    <row r="226" spans="1:25" x14ac:dyDescent="0.2">
      <c r="A226" s="395"/>
      <c r="B226" s="512"/>
      <c r="C226" s="68"/>
      <c r="D226" s="84"/>
      <c r="E226" s="84"/>
      <c r="F226" s="84"/>
      <c r="G226" s="84"/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6"/>
      <c r="X226" s="93"/>
      <c r="Y226" s="102"/>
    </row>
    <row r="227" spans="1:25" x14ac:dyDescent="0.2">
      <c r="A227" s="395"/>
      <c r="B227" s="512"/>
      <c r="C227" s="68"/>
      <c r="D227" s="84"/>
      <c r="E227" s="84"/>
      <c r="F227" s="84"/>
      <c r="G227" s="84"/>
      <c r="H227" s="84"/>
      <c r="I227" s="84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6"/>
      <c r="X227" s="93"/>
      <c r="Y227" s="102"/>
    </row>
    <row r="228" spans="1:25" x14ac:dyDescent="0.2">
      <c r="A228" s="395"/>
      <c r="B228" s="512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103"/>
      <c r="O228" s="103"/>
      <c r="P228" s="103"/>
      <c r="Q228" s="103"/>
      <c r="R228" s="103"/>
      <c r="S228" s="103"/>
      <c r="T228" s="103"/>
      <c r="U228" s="103"/>
      <c r="V228" s="84"/>
      <c r="W228" s="86"/>
      <c r="X228" s="95"/>
      <c r="Y228" s="88"/>
    </row>
    <row r="229" spans="1:25" x14ac:dyDescent="0.2">
      <c r="A229" s="395"/>
      <c r="B229" s="513"/>
      <c r="C229" s="68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6"/>
      <c r="X229" s="93"/>
      <c r="Y229" s="102"/>
    </row>
    <row r="230" spans="1:25" x14ac:dyDescent="0.2">
      <c r="A230" s="395"/>
      <c r="B230" s="513"/>
      <c r="C230" s="68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6"/>
      <c r="X230" s="93"/>
      <c r="Y230" s="102"/>
    </row>
    <row r="231" spans="1:25" x14ac:dyDescent="0.2">
      <c r="A231" s="395"/>
      <c r="B231" s="513"/>
      <c r="C231" s="68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6"/>
      <c r="X231" s="93"/>
      <c r="Y231" s="102"/>
    </row>
    <row r="232" spans="1:25" x14ac:dyDescent="0.2">
      <c r="A232" s="395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104"/>
      <c r="O232" s="104"/>
      <c r="P232" s="104"/>
      <c r="Q232" s="104"/>
      <c r="R232" s="104"/>
      <c r="S232" s="104"/>
      <c r="T232" s="104"/>
      <c r="U232" s="104"/>
      <c r="V232" s="93"/>
      <c r="W232" s="86"/>
      <c r="X232" s="68"/>
      <c r="Y232" s="68"/>
    </row>
    <row r="233" spans="1:25" x14ac:dyDescent="0.2">
      <c r="A233" s="395"/>
    </row>
    <row r="234" spans="1:25" x14ac:dyDescent="0.2">
      <c r="A234" s="395"/>
      <c r="F234" s="574"/>
      <c r="G234" s="574"/>
      <c r="H234" s="402"/>
      <c r="I234" s="402"/>
      <c r="J234" s="402"/>
      <c r="K234" s="402"/>
      <c r="L234" s="402"/>
      <c r="M234" s="574"/>
      <c r="N234" s="574"/>
      <c r="O234" s="574"/>
      <c r="P234" s="574"/>
    </row>
    <row r="235" spans="1:25" x14ac:dyDescent="0.2">
      <c r="A235" s="395"/>
      <c r="C235" s="402"/>
      <c r="D235" s="402"/>
      <c r="E235" s="402"/>
      <c r="F235" s="402"/>
      <c r="G235" s="402"/>
      <c r="H235" s="395"/>
      <c r="I235" s="395"/>
      <c r="J235" s="395"/>
      <c r="K235" s="395"/>
      <c r="N235" s="402"/>
      <c r="O235" s="395"/>
    </row>
    <row r="236" spans="1:25" x14ac:dyDescent="0.2">
      <c r="A236" s="395"/>
      <c r="C236" s="398"/>
      <c r="D236" s="402"/>
      <c r="E236" s="402"/>
      <c r="F236" s="92"/>
      <c r="G236" s="92"/>
      <c r="H236" s="398"/>
      <c r="I236" s="398"/>
      <c r="J236" s="398"/>
      <c r="K236" s="398"/>
      <c r="L236" s="519"/>
      <c r="M236" s="519"/>
      <c r="N236" s="515"/>
      <c r="O236" s="398"/>
    </row>
    <row r="237" spans="1:25" x14ac:dyDescent="0.2">
      <c r="A237" s="395"/>
      <c r="C237" s="398"/>
      <c r="D237" s="402"/>
      <c r="F237" s="92"/>
      <c r="G237" s="92"/>
      <c r="H237" s="398"/>
      <c r="I237" s="398"/>
      <c r="J237" s="398"/>
      <c r="K237" s="398"/>
      <c r="N237" s="515"/>
      <c r="O237" s="398"/>
      <c r="Q237" s="93"/>
      <c r="R237" s="93"/>
      <c r="S237" s="93"/>
      <c r="T237" s="93"/>
      <c r="U237" s="93"/>
      <c r="V237" s="68"/>
      <c r="W237" s="86"/>
      <c r="X237" s="68"/>
      <c r="Y237" s="68"/>
    </row>
    <row r="238" spans="1:25" x14ac:dyDescent="0.2">
      <c r="A238" s="395"/>
      <c r="B238" s="513"/>
      <c r="C238" s="398"/>
      <c r="D238" s="402"/>
      <c r="F238" s="100"/>
      <c r="G238" s="100"/>
      <c r="H238" s="398"/>
      <c r="I238" s="398"/>
      <c r="J238" s="398"/>
      <c r="K238" s="398"/>
      <c r="N238" s="516"/>
      <c r="O238" s="398"/>
      <c r="Q238" s="93"/>
      <c r="R238" s="93"/>
      <c r="S238" s="93"/>
      <c r="T238" s="93"/>
      <c r="U238" s="93"/>
      <c r="V238" s="93"/>
      <c r="W238" s="86"/>
      <c r="X238" s="93"/>
      <c r="Y238" s="102"/>
    </row>
    <row r="239" spans="1:25" x14ac:dyDescent="0.2">
      <c r="A239" s="395"/>
      <c r="B239" s="513"/>
      <c r="C239" s="398"/>
      <c r="D239" s="402"/>
      <c r="F239" s="100"/>
      <c r="G239" s="100"/>
      <c r="H239" s="398"/>
      <c r="I239" s="398"/>
      <c r="J239" s="398"/>
      <c r="K239" s="398"/>
      <c r="N239" s="516"/>
      <c r="O239" s="398"/>
      <c r="Q239" s="93"/>
      <c r="R239" s="93"/>
      <c r="S239" s="93"/>
      <c r="T239" s="93"/>
      <c r="U239" s="93"/>
      <c r="V239" s="93"/>
      <c r="W239" s="86"/>
      <c r="X239" s="93"/>
      <c r="Y239" s="102"/>
    </row>
    <row r="240" spans="1:25" x14ac:dyDescent="0.2">
      <c r="A240" s="395"/>
      <c r="B240" s="513"/>
      <c r="C240" s="517"/>
      <c r="F240" s="100"/>
      <c r="G240" s="100"/>
      <c r="H240" s="398"/>
      <c r="I240" s="398"/>
      <c r="J240" s="398"/>
      <c r="K240" s="398"/>
      <c r="N240" s="516"/>
      <c r="O240" s="398"/>
      <c r="Q240" s="93"/>
      <c r="R240" s="93"/>
      <c r="S240" s="93"/>
      <c r="T240" s="93"/>
      <c r="U240" s="93"/>
      <c r="V240" s="93"/>
      <c r="W240" s="86"/>
      <c r="X240" s="93"/>
      <c r="Y240" s="102"/>
    </row>
    <row r="241" spans="1:25" x14ac:dyDescent="0.2">
      <c r="A241" s="395"/>
      <c r="B241" s="513"/>
      <c r="C241" s="517"/>
      <c r="F241" s="100"/>
      <c r="G241" s="100"/>
      <c r="H241" s="398"/>
      <c r="I241" s="398"/>
      <c r="J241" s="398"/>
      <c r="K241" s="398"/>
      <c r="N241" s="516"/>
      <c r="O241" s="398"/>
      <c r="Q241" s="93"/>
      <c r="R241" s="68"/>
      <c r="S241" s="68"/>
      <c r="T241" s="68"/>
      <c r="U241" s="68"/>
      <c r="V241" s="68"/>
      <c r="W241" s="86"/>
      <c r="X241" s="68"/>
      <c r="Y241" s="68"/>
    </row>
    <row r="242" spans="1:25" x14ac:dyDescent="0.2">
      <c r="A242" s="395"/>
      <c r="B242" s="513"/>
      <c r="C242" s="398"/>
      <c r="D242" s="402"/>
      <c r="F242" s="100"/>
      <c r="G242" s="100"/>
      <c r="H242" s="398"/>
      <c r="I242" s="398"/>
      <c r="J242" s="398"/>
      <c r="K242" s="398"/>
      <c r="N242" s="515"/>
      <c r="O242" s="398"/>
      <c r="Q242" s="93"/>
      <c r="R242" s="93"/>
      <c r="S242" s="93"/>
      <c r="T242" s="93"/>
      <c r="U242" s="93"/>
      <c r="V242" s="93"/>
      <c r="W242" s="86"/>
      <c r="X242" s="93"/>
      <c r="Y242" s="102"/>
    </row>
    <row r="243" spans="1:25" x14ac:dyDescent="0.2">
      <c r="A243" s="395"/>
      <c r="B243" s="513"/>
      <c r="C243" s="398"/>
      <c r="D243" s="402"/>
      <c r="F243" s="100"/>
      <c r="G243" s="100"/>
      <c r="H243" s="398"/>
      <c r="I243" s="398"/>
      <c r="J243" s="398"/>
      <c r="K243" s="398"/>
      <c r="N243" s="515"/>
      <c r="O243" s="398"/>
      <c r="R243" s="93"/>
      <c r="S243" s="93"/>
      <c r="T243" s="93"/>
      <c r="U243" s="93"/>
      <c r="V243" s="93"/>
      <c r="W243" s="86"/>
      <c r="X243" s="93"/>
      <c r="Y243" s="102"/>
    </row>
    <row r="244" spans="1:25" x14ac:dyDescent="0.2">
      <c r="A244" s="395"/>
      <c r="B244" s="513"/>
      <c r="C244" s="398"/>
      <c r="D244" s="402"/>
      <c r="F244" s="100"/>
      <c r="G244" s="100"/>
      <c r="H244" s="398"/>
      <c r="I244" s="398"/>
      <c r="J244" s="398"/>
      <c r="K244" s="398"/>
      <c r="N244" s="516"/>
      <c r="O244" s="398"/>
      <c r="Q244" s="93"/>
      <c r="R244" s="93"/>
      <c r="S244" s="93"/>
      <c r="T244" s="93"/>
      <c r="U244" s="93"/>
      <c r="V244" s="93"/>
      <c r="W244" s="86"/>
      <c r="X244" s="93"/>
      <c r="Y244" s="102"/>
    </row>
    <row r="245" spans="1:25" x14ac:dyDescent="0.2">
      <c r="A245" s="395"/>
      <c r="C245" s="74"/>
      <c r="F245" s="92"/>
      <c r="G245" s="92"/>
      <c r="H245" s="398"/>
      <c r="I245" s="398"/>
      <c r="J245" s="398"/>
      <c r="K245" s="398"/>
      <c r="N245" s="515"/>
      <c r="O245" s="398"/>
      <c r="Q245" s="93"/>
      <c r="V245" s="68"/>
      <c r="W245" s="68"/>
      <c r="X245" s="68"/>
      <c r="Y245" s="68"/>
    </row>
    <row r="246" spans="1:25" x14ac:dyDescent="0.2">
      <c r="A246" s="395"/>
      <c r="B246" s="513"/>
      <c r="C246" s="395"/>
      <c r="N246" s="515"/>
      <c r="O246" s="395"/>
      <c r="Q246" s="93"/>
      <c r="R246" s="93"/>
      <c r="S246" s="93"/>
      <c r="T246" s="93"/>
      <c r="U246" s="93"/>
      <c r="V246" s="93"/>
      <c r="W246" s="86"/>
      <c r="X246" s="93"/>
      <c r="Y246" s="102"/>
    </row>
    <row r="247" spans="1:25" x14ac:dyDescent="0.2">
      <c r="A247" s="395"/>
      <c r="B247" s="513"/>
      <c r="Q247" s="93"/>
      <c r="R247" s="93"/>
      <c r="S247" s="93"/>
      <c r="T247" s="93"/>
      <c r="U247" s="93"/>
      <c r="V247" s="93"/>
      <c r="W247" s="86"/>
      <c r="X247" s="93"/>
      <c r="Y247" s="102"/>
    </row>
    <row r="248" spans="1:25" x14ac:dyDescent="0.2">
      <c r="A248" s="395"/>
      <c r="B248" s="513"/>
      <c r="Q248" s="68"/>
      <c r="R248" s="93"/>
      <c r="S248" s="93"/>
      <c r="T248" s="93"/>
      <c r="U248" s="93"/>
      <c r="V248" s="93"/>
      <c r="W248" s="86"/>
      <c r="X248" s="93"/>
      <c r="Y248" s="102"/>
    </row>
    <row r="249" spans="1:25" x14ac:dyDescent="0.2">
      <c r="A249" s="395"/>
      <c r="B249" s="513"/>
      <c r="Q249" s="68"/>
      <c r="R249" s="93"/>
      <c r="S249" s="93"/>
      <c r="T249" s="93"/>
      <c r="U249" s="93"/>
      <c r="V249" s="68"/>
      <c r="W249" s="68"/>
      <c r="X249" s="68"/>
      <c r="Y249" s="68"/>
    </row>
    <row r="250" spans="1:25" x14ac:dyDescent="0.2">
      <c r="A250" s="395"/>
      <c r="B250" s="494"/>
      <c r="C250" s="68"/>
      <c r="Q250" s="68"/>
      <c r="R250" s="68"/>
      <c r="S250" s="68"/>
      <c r="T250" s="68"/>
      <c r="U250" s="68"/>
      <c r="V250" s="68"/>
      <c r="W250" s="68"/>
      <c r="X250" s="68"/>
      <c r="Y250" s="68"/>
    </row>
    <row r="251" spans="1:25" x14ac:dyDescent="0.2">
      <c r="A251" s="395"/>
      <c r="B251" s="494"/>
      <c r="C251" s="68"/>
      <c r="Q251" s="68"/>
      <c r="R251" s="68"/>
      <c r="S251" s="68"/>
      <c r="T251" s="68"/>
      <c r="U251" s="68"/>
      <c r="V251" s="68"/>
      <c r="W251" s="68"/>
      <c r="X251" s="68"/>
      <c r="Y251" s="68"/>
    </row>
    <row r="252" spans="1:25" x14ac:dyDescent="0.2">
      <c r="A252" s="395"/>
      <c r="B252" s="494"/>
      <c r="C252" s="68"/>
      <c r="Q252" s="68"/>
      <c r="R252" s="68"/>
      <c r="S252" s="68"/>
      <c r="T252" s="68"/>
      <c r="U252" s="68"/>
      <c r="V252" s="68"/>
      <c r="W252" s="68"/>
      <c r="X252" s="68"/>
      <c r="Y252" s="68"/>
    </row>
    <row r="253" spans="1:25" x14ac:dyDescent="0.2">
      <c r="A253" s="395"/>
      <c r="B253" s="494"/>
      <c r="C253" s="68"/>
      <c r="O253" s="68"/>
      <c r="P253" s="405"/>
      <c r="Q253" s="405"/>
      <c r="R253" s="68"/>
      <c r="S253" s="68"/>
      <c r="T253" s="68"/>
      <c r="U253" s="68"/>
      <c r="V253" s="68"/>
      <c r="W253" s="68"/>
      <c r="X253" s="68"/>
      <c r="Y253" s="68"/>
    </row>
    <row r="254" spans="1:25" x14ac:dyDescent="0.2">
      <c r="A254" s="395"/>
      <c r="B254" s="494"/>
      <c r="C254" s="68"/>
      <c r="O254" s="68"/>
      <c r="P254" s="405"/>
      <c r="Q254" s="405"/>
      <c r="R254" s="68"/>
      <c r="S254" s="68"/>
      <c r="T254" s="68"/>
      <c r="U254" s="68"/>
      <c r="V254" s="68"/>
      <c r="W254" s="68"/>
      <c r="X254" s="68"/>
      <c r="Y254" s="68"/>
    </row>
    <row r="255" spans="1:25" x14ac:dyDescent="0.2">
      <c r="A255" s="395"/>
      <c r="B255" s="395"/>
      <c r="C255" s="68"/>
      <c r="O255" s="68"/>
      <c r="P255" s="405"/>
      <c r="Q255" s="405"/>
      <c r="R255" s="405"/>
      <c r="S255" s="405"/>
      <c r="T255" s="405"/>
      <c r="U255" s="405"/>
      <c r="V255" s="405"/>
      <c r="W255" s="405"/>
      <c r="X255" s="405"/>
      <c r="Y255" s="405"/>
    </row>
    <row r="256" spans="1:25" x14ac:dyDescent="0.2">
      <c r="A256" s="395"/>
      <c r="B256" s="395"/>
      <c r="C256" s="68"/>
      <c r="P256" s="405"/>
      <c r="Q256" s="405"/>
      <c r="R256" s="405"/>
      <c r="S256" s="405"/>
      <c r="T256" s="405"/>
      <c r="U256" s="405"/>
      <c r="V256" s="405"/>
      <c r="W256" s="405"/>
      <c r="X256" s="405"/>
      <c r="Y256" s="405"/>
    </row>
    <row r="257" spans="1:25" x14ac:dyDescent="0.2">
      <c r="A257" s="395"/>
      <c r="B257" s="395"/>
      <c r="D257" s="395"/>
      <c r="E257" s="395"/>
      <c r="F257" s="395"/>
      <c r="G257" s="395"/>
      <c r="H257" s="395"/>
      <c r="I257" s="395"/>
      <c r="J257" s="395"/>
      <c r="K257" s="395"/>
      <c r="L257" s="395"/>
      <c r="M257" s="395"/>
      <c r="N257" s="395"/>
      <c r="O257" s="395"/>
      <c r="P257" s="395"/>
      <c r="Q257" s="395"/>
      <c r="R257" s="405"/>
      <c r="S257" s="405"/>
      <c r="T257" s="405"/>
      <c r="U257" s="405"/>
      <c r="V257" s="405"/>
      <c r="W257" s="405"/>
      <c r="X257" s="405"/>
      <c r="Y257" s="405"/>
    </row>
    <row r="258" spans="1:25" x14ac:dyDescent="0.2">
      <c r="A258" s="395"/>
      <c r="B258" s="395"/>
      <c r="R258" s="405"/>
      <c r="S258" s="405"/>
      <c r="T258" s="405"/>
      <c r="U258" s="405"/>
      <c r="V258" s="405"/>
      <c r="W258" s="405"/>
      <c r="X258" s="405"/>
      <c r="Y258" s="405"/>
    </row>
    <row r="259" spans="1:25" x14ac:dyDescent="0.2">
      <c r="A259" s="395"/>
      <c r="B259" s="395"/>
      <c r="R259" s="395"/>
      <c r="S259" s="395"/>
      <c r="T259" s="395"/>
      <c r="U259" s="395"/>
      <c r="V259" s="395"/>
      <c r="W259" s="395"/>
      <c r="X259" s="395"/>
      <c r="Y259" s="395"/>
    </row>
    <row r="260" spans="1:25" x14ac:dyDescent="0.2">
      <c r="A260" s="395"/>
      <c r="B260" s="395"/>
      <c r="C260" s="395"/>
      <c r="D260" s="395"/>
      <c r="E260" s="395"/>
      <c r="F260" s="395"/>
      <c r="G260" s="395"/>
      <c r="H260" s="395"/>
      <c r="I260" s="395"/>
      <c r="J260" s="395"/>
      <c r="K260" s="395"/>
      <c r="L260" s="395"/>
      <c r="M260" s="395"/>
      <c r="N260" s="395"/>
      <c r="O260" s="395"/>
      <c r="P260" s="395"/>
      <c r="Q260" s="395"/>
      <c r="R260" s="395"/>
      <c r="S260" s="395"/>
      <c r="T260" s="395"/>
      <c r="U260" s="395"/>
      <c r="V260" s="395"/>
      <c r="W260" s="395"/>
      <c r="X260" s="395"/>
      <c r="Y260" s="395"/>
    </row>
    <row r="261" spans="1:25" x14ac:dyDescent="0.2">
      <c r="A261" s="395"/>
      <c r="B261" s="395"/>
      <c r="C261" s="395"/>
      <c r="D261" s="395"/>
      <c r="E261" s="395"/>
      <c r="F261" s="395"/>
      <c r="G261" s="395"/>
      <c r="H261" s="395"/>
      <c r="I261" s="395"/>
      <c r="J261" s="395"/>
      <c r="K261" s="395"/>
      <c r="L261" s="395"/>
      <c r="M261" s="395"/>
      <c r="N261" s="395"/>
      <c r="O261" s="395"/>
      <c r="P261" s="395"/>
      <c r="Q261" s="395"/>
      <c r="R261" s="395"/>
      <c r="S261" s="395"/>
      <c r="T261" s="395"/>
      <c r="U261" s="395"/>
      <c r="V261" s="395"/>
      <c r="W261" s="395"/>
      <c r="X261" s="395"/>
      <c r="Y261" s="395"/>
    </row>
    <row r="262" spans="1:25" x14ac:dyDescent="0.2">
      <c r="A262" s="395"/>
      <c r="B262" s="395"/>
      <c r="C262" s="395"/>
      <c r="D262" s="395"/>
      <c r="E262" s="395"/>
      <c r="F262" s="395"/>
      <c r="G262" s="395"/>
      <c r="H262" s="395"/>
      <c r="I262" s="395"/>
      <c r="J262" s="395"/>
      <c r="K262" s="395"/>
      <c r="L262" s="395"/>
      <c r="M262" s="398"/>
      <c r="N262" s="398"/>
      <c r="O262" s="395"/>
      <c r="P262" s="398"/>
      <c r="Q262" s="398"/>
      <c r="R262" s="398"/>
      <c r="S262" s="398"/>
      <c r="T262" s="398"/>
      <c r="U262" s="398"/>
      <c r="V262" s="398"/>
      <c r="W262" s="395"/>
      <c r="X262" s="395"/>
      <c r="Y262" s="398"/>
    </row>
    <row r="263" spans="1:25" x14ac:dyDescent="0.2">
      <c r="A263" s="395"/>
      <c r="B263" s="395"/>
      <c r="C263" s="395"/>
      <c r="D263" s="395"/>
      <c r="E263" s="395"/>
      <c r="F263" s="395"/>
      <c r="G263" s="395"/>
      <c r="H263" s="395"/>
      <c r="I263" s="395"/>
      <c r="J263" s="395"/>
      <c r="K263" s="395"/>
      <c r="L263" s="395"/>
      <c r="M263" s="399"/>
      <c r="N263" s="398"/>
      <c r="O263" s="395"/>
      <c r="P263" s="395"/>
      <c r="Q263" s="395"/>
      <c r="R263" s="395"/>
      <c r="S263" s="395"/>
      <c r="T263" s="395"/>
      <c r="U263" s="399"/>
      <c r="V263" s="399"/>
      <c r="W263" s="398"/>
      <c r="X263" s="395"/>
      <c r="Y263" s="399"/>
    </row>
    <row r="264" spans="1:25" x14ac:dyDescent="0.2">
      <c r="A264" s="395"/>
      <c r="B264" s="395"/>
      <c r="C264" s="395"/>
      <c r="D264" s="395"/>
      <c r="E264" s="395"/>
      <c r="F264" s="395"/>
      <c r="G264" s="395"/>
      <c r="H264" s="395"/>
      <c r="I264" s="395"/>
      <c r="J264" s="395"/>
      <c r="K264" s="395"/>
      <c r="L264" s="395"/>
      <c r="M264" s="399"/>
      <c r="N264" s="398"/>
      <c r="O264" s="399"/>
      <c r="P264" s="395"/>
      <c r="Q264" s="395"/>
      <c r="R264" s="395"/>
      <c r="S264" s="395"/>
      <c r="T264" s="395"/>
      <c r="U264" s="395"/>
      <c r="V264" s="398"/>
      <c r="W264" s="398"/>
      <c r="X264" s="395"/>
      <c r="Y264" s="399"/>
    </row>
    <row r="265" spans="1:25" x14ac:dyDescent="0.2">
      <c r="A265" s="395"/>
      <c r="B265" s="395"/>
      <c r="C265" s="395"/>
      <c r="D265" s="395"/>
      <c r="E265" s="395"/>
      <c r="F265" s="395"/>
      <c r="G265" s="395"/>
      <c r="H265" s="395"/>
      <c r="I265" s="395"/>
      <c r="J265" s="395"/>
      <c r="K265" s="395"/>
      <c r="L265" s="395"/>
      <c r="M265" s="399"/>
      <c r="N265" s="398"/>
      <c r="O265" s="399"/>
      <c r="P265" s="395"/>
      <c r="Q265" s="395"/>
      <c r="R265" s="395"/>
      <c r="S265" s="395"/>
      <c r="T265" s="395"/>
      <c r="U265" s="395"/>
      <c r="V265" s="399"/>
      <c r="W265" s="398"/>
      <c r="X265" s="395"/>
      <c r="Y265" s="399"/>
    </row>
    <row r="266" spans="1:25" x14ac:dyDescent="0.2">
      <c r="A266" s="395"/>
      <c r="B266" s="395"/>
      <c r="C266" s="395"/>
      <c r="D266" s="395"/>
      <c r="E266" s="395"/>
      <c r="F266" s="395"/>
      <c r="G266" s="395"/>
      <c r="H266" s="395"/>
      <c r="I266" s="395"/>
      <c r="J266" s="395"/>
      <c r="K266" s="395"/>
      <c r="L266" s="395"/>
      <c r="M266" s="402"/>
      <c r="N266" s="395"/>
      <c r="O266" s="395"/>
      <c r="P266" s="395"/>
      <c r="Q266" s="395"/>
      <c r="R266" s="395"/>
      <c r="S266" s="395"/>
      <c r="T266" s="395"/>
      <c r="U266" s="395"/>
      <c r="V266" s="395"/>
      <c r="W266" s="395"/>
      <c r="X266" s="395"/>
      <c r="Y266" s="395"/>
    </row>
    <row r="267" spans="1:25" x14ac:dyDescent="0.2">
      <c r="A267" s="395"/>
      <c r="B267" s="395"/>
      <c r="C267" s="401"/>
      <c r="D267" s="401"/>
      <c r="E267" s="401"/>
      <c r="F267" s="401"/>
      <c r="G267" s="401"/>
      <c r="H267" s="401"/>
      <c r="I267" s="401"/>
      <c r="J267" s="401"/>
      <c r="K267" s="401"/>
      <c r="L267" s="401"/>
      <c r="M267" s="401"/>
      <c r="N267" s="401"/>
      <c r="O267" s="401"/>
      <c r="P267" s="401"/>
      <c r="Q267" s="401"/>
      <c r="R267" s="401"/>
      <c r="S267" s="401"/>
      <c r="T267" s="401"/>
      <c r="U267" s="401"/>
      <c r="V267" s="401"/>
      <c r="W267" s="401"/>
      <c r="X267" s="401"/>
      <c r="Y267" s="401"/>
    </row>
    <row r="268" spans="1:25" x14ac:dyDescent="0.2">
      <c r="A268" s="395"/>
      <c r="B268" s="395"/>
      <c r="C268" s="402"/>
      <c r="D268" s="402"/>
      <c r="E268" s="402"/>
      <c r="F268" s="402"/>
      <c r="G268" s="402"/>
      <c r="H268" s="402"/>
      <c r="I268" s="402"/>
      <c r="J268" s="402"/>
      <c r="K268" s="402"/>
      <c r="L268" s="402"/>
      <c r="M268" s="402"/>
      <c r="N268" s="402"/>
      <c r="O268" s="402"/>
      <c r="P268" s="402"/>
      <c r="Q268" s="402"/>
      <c r="R268" s="402"/>
      <c r="S268" s="402"/>
      <c r="T268" s="402"/>
      <c r="U268" s="402"/>
      <c r="V268" s="402"/>
      <c r="W268" s="402"/>
      <c r="X268" s="398"/>
      <c r="Y268" s="402"/>
    </row>
    <row r="269" spans="1:25" x14ac:dyDescent="0.2">
      <c r="A269" s="395"/>
      <c r="B269" s="402"/>
      <c r="C269" s="402"/>
      <c r="D269" s="402"/>
      <c r="E269" s="402"/>
      <c r="F269" s="402"/>
      <c r="G269" s="401"/>
      <c r="H269" s="401"/>
      <c r="I269" s="401"/>
      <c r="J269" s="401"/>
      <c r="K269" s="401"/>
      <c r="L269" s="401"/>
      <c r="M269" s="401"/>
      <c r="N269" s="401"/>
      <c r="O269" s="401"/>
      <c r="P269" s="401"/>
      <c r="Q269" s="401"/>
      <c r="R269" s="401"/>
      <c r="S269" s="401"/>
      <c r="T269" s="401"/>
      <c r="U269" s="401"/>
      <c r="V269" s="401"/>
      <c r="W269" s="401"/>
      <c r="X269" s="401"/>
      <c r="Y269" s="401"/>
    </row>
    <row r="270" spans="1:25" x14ac:dyDescent="0.2">
      <c r="A270" s="395"/>
      <c r="B270" s="402"/>
      <c r="C270" s="402"/>
      <c r="D270" s="402"/>
      <c r="E270" s="402"/>
      <c r="F270" s="402"/>
      <c r="G270" s="401"/>
      <c r="H270" s="525"/>
      <c r="I270" s="525"/>
      <c r="J270" s="525"/>
      <c r="K270" s="525"/>
      <c r="L270" s="525"/>
      <c r="M270" s="401"/>
      <c r="N270" s="402"/>
      <c r="O270" s="402"/>
      <c r="P270" s="401"/>
      <c r="Q270" s="401"/>
      <c r="R270" s="525"/>
      <c r="S270" s="525"/>
      <c r="T270" s="525"/>
      <c r="U270" s="401"/>
      <c r="V270" s="401"/>
      <c r="W270" s="401"/>
      <c r="X270" s="402"/>
      <c r="Y270" s="402"/>
    </row>
    <row r="271" spans="1:25" x14ac:dyDescent="0.2">
      <c r="A271" s="395"/>
      <c r="B271" s="526"/>
      <c r="C271" s="101"/>
      <c r="D271" s="101"/>
      <c r="E271" s="101"/>
      <c r="F271" s="101"/>
      <c r="G271" s="401"/>
      <c r="H271" s="101"/>
      <c r="I271" s="101"/>
      <c r="J271" s="101"/>
      <c r="K271" s="101"/>
      <c r="L271" s="101"/>
      <c r="M271" s="101"/>
      <c r="N271" s="401"/>
      <c r="O271" s="401"/>
      <c r="P271" s="401"/>
      <c r="Q271" s="401"/>
      <c r="R271" s="101"/>
      <c r="S271" s="101"/>
      <c r="T271" s="101"/>
      <c r="U271" s="101"/>
      <c r="V271" s="101"/>
      <c r="W271" s="101"/>
      <c r="X271" s="402"/>
      <c r="Y271" s="402"/>
    </row>
    <row r="272" spans="1:25" x14ac:dyDescent="0.2">
      <c r="A272" s="395"/>
      <c r="B272" s="511"/>
      <c r="C272" s="68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84"/>
      <c r="O272" s="84"/>
      <c r="P272" s="93"/>
      <c r="Q272" s="93"/>
      <c r="R272" s="93"/>
      <c r="S272" s="93"/>
      <c r="T272" s="93"/>
      <c r="U272" s="93"/>
      <c r="V272" s="84"/>
      <c r="W272" s="86"/>
      <c r="X272" s="88"/>
      <c r="Y272" s="88"/>
    </row>
    <row r="273" spans="1:25" x14ac:dyDescent="0.2">
      <c r="A273" s="395"/>
      <c r="B273" s="511"/>
      <c r="C273" s="68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500"/>
      <c r="O273" s="84"/>
      <c r="P273" s="84"/>
      <c r="Q273" s="84"/>
      <c r="R273" s="84"/>
      <c r="S273" s="84"/>
      <c r="T273" s="84"/>
      <c r="U273" s="93"/>
      <c r="V273" s="93"/>
      <c r="W273" s="86"/>
      <c r="X273" s="95"/>
      <c r="Y273" s="88"/>
    </row>
    <row r="274" spans="1:25" x14ac:dyDescent="0.2">
      <c r="A274" s="395"/>
      <c r="B274" s="511"/>
      <c r="C274" s="68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500"/>
      <c r="O274" s="84"/>
      <c r="P274" s="84"/>
      <c r="Q274" s="84"/>
      <c r="R274" s="84"/>
      <c r="S274" s="84"/>
      <c r="T274" s="84"/>
      <c r="U274" s="93"/>
      <c r="V274" s="93"/>
      <c r="W274" s="86"/>
      <c r="X274" s="95"/>
      <c r="Y274" s="88"/>
    </row>
    <row r="275" spans="1:25" x14ac:dyDescent="0.2">
      <c r="A275" s="395"/>
      <c r="B275" s="511"/>
      <c r="C275" s="68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500"/>
      <c r="O275" s="84"/>
      <c r="P275" s="84"/>
      <c r="Q275" s="84"/>
      <c r="R275" s="84"/>
      <c r="S275" s="84"/>
      <c r="T275" s="84"/>
      <c r="U275" s="93"/>
      <c r="V275" s="93"/>
      <c r="W275" s="86"/>
      <c r="X275" s="95"/>
      <c r="Y275" s="88"/>
    </row>
    <row r="276" spans="1:25" x14ac:dyDescent="0.2">
      <c r="A276" s="395"/>
      <c r="B276" s="494"/>
      <c r="C276" s="68"/>
      <c r="D276" s="500"/>
      <c r="E276" s="93"/>
      <c r="F276" s="93"/>
      <c r="G276" s="84"/>
      <c r="H276" s="84"/>
      <c r="I276" s="84"/>
      <c r="J276" s="84"/>
      <c r="K276" s="84"/>
      <c r="L276" s="84"/>
      <c r="M276" s="93"/>
      <c r="N276" s="500"/>
      <c r="O276" s="84"/>
      <c r="P276" s="84"/>
      <c r="Q276" s="84"/>
      <c r="R276" s="84"/>
      <c r="S276" s="84"/>
      <c r="T276" s="84"/>
      <c r="U276" s="93"/>
      <c r="V276" s="93"/>
      <c r="W276" s="86"/>
      <c r="X276" s="95"/>
      <c r="Y276" s="88"/>
    </row>
    <row r="277" spans="1:25" x14ac:dyDescent="0.2">
      <c r="A277" s="395"/>
      <c r="B277" s="512"/>
      <c r="C277" s="68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500"/>
      <c r="O277" s="84"/>
      <c r="P277" s="84"/>
      <c r="Q277" s="84"/>
      <c r="R277" s="84"/>
      <c r="S277" s="84"/>
      <c r="T277" s="84"/>
      <c r="U277" s="93"/>
      <c r="V277" s="93"/>
      <c r="W277" s="86"/>
      <c r="X277" s="95"/>
      <c r="Y277" s="88"/>
    </row>
    <row r="278" spans="1:25" x14ac:dyDescent="0.2">
      <c r="A278" s="395"/>
      <c r="B278" s="512"/>
      <c r="C278" s="68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84"/>
      <c r="P278" s="84"/>
      <c r="Q278" s="84"/>
      <c r="R278" s="84"/>
      <c r="S278" s="84"/>
      <c r="T278" s="84"/>
      <c r="U278" s="93"/>
      <c r="V278" s="93"/>
      <c r="W278" s="86"/>
      <c r="X278" s="95"/>
      <c r="Y278" s="88"/>
    </row>
    <row r="279" spans="1:25" x14ac:dyDescent="0.2">
      <c r="A279" s="395"/>
      <c r="B279" s="512"/>
      <c r="C279" s="68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84"/>
      <c r="P279" s="84"/>
      <c r="Q279" s="84"/>
      <c r="R279" s="84"/>
      <c r="S279" s="84"/>
      <c r="T279" s="84"/>
      <c r="U279" s="93"/>
      <c r="V279" s="93"/>
      <c r="W279" s="86"/>
      <c r="X279" s="95"/>
      <c r="Y279" s="88"/>
    </row>
    <row r="280" spans="1:25" x14ac:dyDescent="0.2">
      <c r="A280" s="395"/>
      <c r="B280" s="512"/>
      <c r="C280" s="68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84"/>
      <c r="P280" s="84"/>
      <c r="Q280" s="84"/>
      <c r="R280" s="84"/>
      <c r="S280" s="84"/>
      <c r="T280" s="84"/>
      <c r="U280" s="93"/>
      <c r="V280" s="93"/>
      <c r="W280" s="86"/>
      <c r="X280" s="95"/>
      <c r="Y280" s="88"/>
    </row>
    <row r="281" spans="1:25" x14ac:dyDescent="0.2">
      <c r="A281" s="395"/>
      <c r="B281" s="494"/>
      <c r="C281" s="68"/>
      <c r="D281" s="500"/>
      <c r="E281" s="93"/>
      <c r="F281" s="93"/>
      <c r="G281" s="84"/>
      <c r="H281" s="84"/>
      <c r="I281" s="84"/>
      <c r="J281" s="84"/>
      <c r="K281" s="84"/>
      <c r="L281" s="84"/>
      <c r="M281" s="93"/>
      <c r="N281" s="93"/>
      <c r="O281" s="84"/>
      <c r="P281" s="84"/>
      <c r="Q281" s="84"/>
      <c r="R281" s="84"/>
      <c r="S281" s="84"/>
      <c r="T281" s="84"/>
      <c r="U281" s="93"/>
      <c r="V281" s="93"/>
      <c r="W281" s="86"/>
      <c r="X281" s="95"/>
      <c r="Y281" s="88"/>
    </row>
    <row r="282" spans="1:25" x14ac:dyDescent="0.2">
      <c r="A282" s="395"/>
      <c r="B282" s="513"/>
      <c r="C282" s="68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84"/>
      <c r="P282" s="84"/>
      <c r="Q282" s="84"/>
      <c r="R282" s="84"/>
      <c r="S282" s="84"/>
      <c r="T282" s="84"/>
      <c r="U282" s="93"/>
      <c r="V282" s="93"/>
      <c r="W282" s="86"/>
      <c r="X282" s="95"/>
      <c r="Y282" s="88"/>
    </row>
    <row r="283" spans="1:25" x14ac:dyDescent="0.2">
      <c r="A283" s="395"/>
      <c r="B283" s="513"/>
      <c r="C283" s="68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</row>
    <row r="284" spans="1:25" x14ac:dyDescent="0.2">
      <c r="A284" s="395"/>
      <c r="B284" s="513"/>
      <c r="C284" s="68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</row>
    <row r="285" spans="1:25" x14ac:dyDescent="0.2">
      <c r="A285" s="395"/>
      <c r="B285" s="513"/>
      <c r="C285" s="68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</row>
    <row r="286" spans="1:25" x14ac:dyDescent="0.2">
      <c r="A286" s="395"/>
      <c r="B286" s="494"/>
      <c r="C286" s="68"/>
      <c r="D286" s="395"/>
      <c r="E286" s="395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</row>
    <row r="287" spans="1:25" x14ac:dyDescent="0.2">
      <c r="A287" s="395"/>
      <c r="B287" s="513"/>
      <c r="C287" s="68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</row>
    <row r="288" spans="1:25" x14ac:dyDescent="0.2">
      <c r="A288" s="395"/>
      <c r="B288" s="513"/>
      <c r="C288" s="68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</row>
    <row r="289" spans="1:25" x14ac:dyDescent="0.2">
      <c r="A289" s="395"/>
      <c r="B289" s="513"/>
      <c r="C289" s="68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</row>
    <row r="290" spans="1:25" x14ac:dyDescent="0.2">
      <c r="A290" s="395"/>
      <c r="B290" s="513"/>
      <c r="C290" s="68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</row>
    <row r="291" spans="1:25" x14ac:dyDescent="0.2">
      <c r="A291" s="395"/>
      <c r="B291" s="494"/>
      <c r="C291" s="68"/>
      <c r="D291" s="395"/>
      <c r="E291" s="395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</row>
    <row r="292" spans="1:25" x14ac:dyDescent="0.2">
      <c r="A292" s="395"/>
      <c r="B292" s="513"/>
      <c r="C292" s="68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</row>
    <row r="293" spans="1:25" x14ac:dyDescent="0.2">
      <c r="A293" s="395"/>
      <c r="B293" s="513"/>
      <c r="C293" s="68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</row>
    <row r="294" spans="1:25" x14ac:dyDescent="0.2">
      <c r="A294" s="395"/>
      <c r="B294" s="513"/>
      <c r="C294" s="68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</row>
    <row r="295" spans="1:25" x14ac:dyDescent="0.2">
      <c r="A295" s="395"/>
      <c r="B295" s="513"/>
      <c r="C295" s="68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</row>
    <row r="296" spans="1:25" x14ac:dyDescent="0.2">
      <c r="A296" s="395"/>
      <c r="B296" s="494"/>
      <c r="C296" s="68"/>
      <c r="D296" s="395"/>
      <c r="E296" s="395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</row>
    <row r="297" spans="1:25" x14ac:dyDescent="0.2">
      <c r="A297" s="395"/>
      <c r="B297" s="513"/>
      <c r="C297" s="68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</row>
    <row r="298" spans="1:25" x14ac:dyDescent="0.2">
      <c r="A298" s="395"/>
      <c r="B298" s="513"/>
      <c r="C298" s="68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P298" s="68"/>
      <c r="Q298" s="68"/>
      <c r="R298" s="68"/>
      <c r="S298" s="68"/>
      <c r="T298" s="68"/>
      <c r="U298" s="68"/>
      <c r="V298" s="68"/>
      <c r="W298" s="68"/>
      <c r="X298" s="68"/>
      <c r="Y298" s="68"/>
    </row>
    <row r="299" spans="1:25" x14ac:dyDescent="0.2">
      <c r="A299" s="395"/>
      <c r="B299" s="513"/>
      <c r="C299" s="68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P299" s="68"/>
      <c r="Q299" s="68"/>
      <c r="R299" s="68"/>
      <c r="S299" s="68"/>
      <c r="T299" s="68"/>
      <c r="U299" s="68"/>
      <c r="V299" s="68"/>
      <c r="W299" s="68"/>
      <c r="X299" s="68"/>
      <c r="Y299" s="68"/>
    </row>
    <row r="300" spans="1:25" x14ac:dyDescent="0.2">
      <c r="A300" s="395"/>
      <c r="B300" s="513"/>
      <c r="C300" s="68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P300" s="68"/>
      <c r="Q300" s="68"/>
      <c r="R300" s="68"/>
      <c r="S300" s="68"/>
      <c r="T300" s="68"/>
      <c r="U300" s="68"/>
      <c r="V300" s="68"/>
      <c r="W300" s="68"/>
      <c r="X300" s="68"/>
      <c r="Y300" s="68"/>
    </row>
    <row r="301" spans="1:25" x14ac:dyDescent="0.2">
      <c r="A301" s="395"/>
      <c r="B301" s="494"/>
      <c r="P301" s="68"/>
      <c r="Q301" s="68"/>
      <c r="R301" s="68"/>
      <c r="S301" s="68"/>
      <c r="T301" s="68"/>
      <c r="U301" s="68"/>
      <c r="V301" s="68"/>
      <c r="W301" s="68"/>
      <c r="X301" s="68"/>
      <c r="Y301" s="68"/>
    </row>
    <row r="302" spans="1:25" x14ac:dyDescent="0.2">
      <c r="A302" s="395"/>
      <c r="B302" s="494"/>
      <c r="C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</row>
    <row r="303" spans="1:25" x14ac:dyDescent="0.2">
      <c r="A303" s="395"/>
      <c r="B303" s="494"/>
      <c r="C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</row>
    <row r="304" spans="1:25" x14ac:dyDescent="0.2">
      <c r="A304" s="395"/>
      <c r="B304" s="494"/>
      <c r="C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</row>
    <row r="305" spans="1:25" x14ac:dyDescent="0.2">
      <c r="A305" s="395"/>
      <c r="B305" s="494"/>
      <c r="C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</row>
    <row r="306" spans="1:25" x14ac:dyDescent="0.2">
      <c r="A306" s="395"/>
      <c r="B306" s="395"/>
      <c r="C306" s="68"/>
      <c r="O306" s="68"/>
      <c r="P306" s="405"/>
      <c r="Q306" s="405"/>
      <c r="R306" s="405"/>
      <c r="S306" s="405"/>
      <c r="T306" s="405"/>
      <c r="U306" s="405"/>
      <c r="V306" s="405"/>
      <c r="W306" s="405"/>
      <c r="X306" s="405"/>
      <c r="Y306" s="405"/>
    </row>
    <row r="307" spans="1:25" x14ac:dyDescent="0.2">
      <c r="A307" s="395"/>
      <c r="B307" s="395"/>
      <c r="C307" s="68"/>
      <c r="O307" s="68"/>
      <c r="P307" s="405"/>
      <c r="Q307" s="405"/>
      <c r="R307" s="405"/>
      <c r="S307" s="405"/>
      <c r="T307" s="405"/>
      <c r="U307" s="405"/>
      <c r="V307" s="405"/>
      <c r="W307" s="405"/>
      <c r="X307" s="405"/>
      <c r="Y307" s="405"/>
    </row>
    <row r="308" spans="1:25" x14ac:dyDescent="0.2">
      <c r="A308" s="395"/>
      <c r="B308" s="395"/>
      <c r="O308" s="68"/>
      <c r="P308" s="405"/>
      <c r="Q308" s="405"/>
      <c r="R308" s="405"/>
      <c r="S308" s="405"/>
      <c r="T308" s="405"/>
      <c r="U308" s="405"/>
      <c r="V308" s="405"/>
      <c r="W308" s="405"/>
      <c r="X308" s="405"/>
      <c r="Y308" s="405"/>
    </row>
    <row r="309" spans="1:25" x14ac:dyDescent="0.2">
      <c r="A309" s="395"/>
      <c r="B309" s="395"/>
      <c r="C309" s="68"/>
      <c r="P309" s="405"/>
      <c r="Q309" s="405"/>
      <c r="R309" s="405"/>
      <c r="S309" s="405"/>
      <c r="T309" s="405"/>
      <c r="U309" s="405"/>
      <c r="V309" s="405"/>
      <c r="W309" s="405"/>
      <c r="X309" s="405"/>
      <c r="Y309" s="405"/>
    </row>
    <row r="310" spans="1:25" x14ac:dyDescent="0.2">
      <c r="A310" s="395"/>
      <c r="B310" s="395"/>
      <c r="C310" s="395"/>
      <c r="D310" s="395"/>
      <c r="E310" s="395"/>
      <c r="F310" s="395"/>
      <c r="G310" s="395"/>
      <c r="H310" s="395"/>
      <c r="I310" s="395"/>
      <c r="J310" s="395"/>
      <c r="K310" s="395"/>
      <c r="L310" s="395"/>
      <c r="M310" s="395"/>
      <c r="N310" s="395"/>
      <c r="O310" s="395"/>
      <c r="P310" s="395"/>
      <c r="Q310" s="395"/>
      <c r="R310" s="395"/>
      <c r="S310" s="395"/>
      <c r="T310" s="395"/>
      <c r="U310" s="395"/>
      <c r="V310" s="395"/>
      <c r="W310" s="395"/>
      <c r="X310" s="395"/>
      <c r="Y310" s="395"/>
    </row>
    <row r="311" spans="1:25" x14ac:dyDescent="0.2">
      <c r="A311" s="395"/>
      <c r="B311" s="395"/>
      <c r="C311" s="395"/>
      <c r="D311" s="395"/>
      <c r="E311" s="395"/>
      <c r="F311" s="395"/>
      <c r="G311" s="395"/>
      <c r="H311" s="395"/>
      <c r="I311" s="395"/>
      <c r="J311" s="395"/>
      <c r="K311" s="395"/>
      <c r="L311" s="395"/>
      <c r="M311" s="395"/>
      <c r="N311" s="395"/>
      <c r="O311" s="395"/>
      <c r="P311" s="395"/>
      <c r="Q311" s="395"/>
      <c r="R311" s="395"/>
      <c r="S311" s="395"/>
      <c r="T311" s="395"/>
      <c r="U311" s="395"/>
      <c r="V311" s="395"/>
      <c r="W311" s="395"/>
      <c r="X311" s="395"/>
      <c r="Y311" s="395"/>
    </row>
    <row r="312" spans="1:25" x14ac:dyDescent="0.2">
      <c r="A312" s="395"/>
      <c r="B312" s="395"/>
      <c r="C312" s="395"/>
      <c r="D312" s="395"/>
      <c r="E312" s="395"/>
      <c r="F312" s="395"/>
      <c r="G312" s="395"/>
      <c r="H312" s="395"/>
      <c r="I312" s="395"/>
      <c r="J312" s="395"/>
      <c r="K312" s="395"/>
      <c r="L312" s="395"/>
      <c r="M312" s="395"/>
      <c r="N312" s="395"/>
      <c r="O312" s="395"/>
      <c r="P312" s="395"/>
      <c r="Q312" s="395"/>
      <c r="R312" s="395"/>
      <c r="S312" s="395"/>
      <c r="T312" s="395"/>
      <c r="U312" s="395"/>
      <c r="V312" s="395"/>
      <c r="W312" s="395"/>
      <c r="X312" s="395"/>
      <c r="Y312" s="395"/>
    </row>
    <row r="313" spans="1:25" x14ac:dyDescent="0.2">
      <c r="A313" s="395"/>
      <c r="B313" s="395"/>
      <c r="C313" s="395"/>
      <c r="D313" s="395"/>
      <c r="E313" s="395"/>
      <c r="F313" s="395"/>
      <c r="G313" s="395"/>
      <c r="H313" s="395"/>
      <c r="I313" s="395"/>
      <c r="J313" s="395"/>
      <c r="K313" s="395"/>
      <c r="L313" s="395"/>
      <c r="M313" s="398"/>
      <c r="N313" s="398"/>
      <c r="O313" s="395"/>
      <c r="P313" s="398"/>
      <c r="Q313" s="398"/>
      <c r="R313" s="398"/>
      <c r="S313" s="398"/>
      <c r="T313" s="398"/>
      <c r="U313" s="398"/>
      <c r="V313" s="398"/>
      <c r="W313" s="395"/>
      <c r="X313" s="395"/>
      <c r="Y313" s="398"/>
    </row>
    <row r="314" spans="1:25" x14ac:dyDescent="0.2">
      <c r="A314" s="395"/>
      <c r="B314" s="395"/>
      <c r="C314" s="395"/>
      <c r="D314" s="395"/>
      <c r="E314" s="395"/>
      <c r="F314" s="395"/>
      <c r="G314" s="395"/>
      <c r="H314" s="395"/>
      <c r="I314" s="395"/>
      <c r="J314" s="395"/>
      <c r="K314" s="395"/>
      <c r="L314" s="395"/>
      <c r="M314" s="399"/>
      <c r="N314" s="398"/>
      <c r="O314" s="395"/>
      <c r="P314" s="395"/>
      <c r="Q314" s="395"/>
      <c r="R314" s="395"/>
      <c r="S314" s="395"/>
      <c r="T314" s="395"/>
      <c r="U314" s="399"/>
      <c r="V314" s="399"/>
      <c r="W314" s="398"/>
      <c r="X314" s="395"/>
      <c r="Y314" s="399"/>
    </row>
    <row r="315" spans="1:25" x14ac:dyDescent="0.2">
      <c r="A315" s="395"/>
      <c r="B315" s="395"/>
      <c r="C315" s="395"/>
      <c r="D315" s="395"/>
      <c r="E315" s="395"/>
      <c r="F315" s="395"/>
      <c r="G315" s="395"/>
      <c r="H315" s="395"/>
      <c r="I315" s="395"/>
      <c r="J315" s="395"/>
      <c r="K315" s="395"/>
      <c r="L315" s="395"/>
      <c r="M315" s="399"/>
      <c r="N315" s="398"/>
      <c r="O315" s="399"/>
      <c r="P315" s="395"/>
      <c r="Q315" s="395"/>
      <c r="R315" s="395"/>
      <c r="S315" s="395"/>
      <c r="T315" s="395"/>
      <c r="U315" s="395"/>
      <c r="V315" s="398"/>
      <c r="W315" s="398"/>
      <c r="X315" s="395"/>
      <c r="Y315" s="399"/>
    </row>
    <row r="316" spans="1:25" x14ac:dyDescent="0.2">
      <c r="A316" s="395"/>
      <c r="B316" s="395"/>
      <c r="C316" s="395"/>
      <c r="D316" s="395"/>
      <c r="E316" s="395"/>
      <c r="F316" s="395"/>
      <c r="G316" s="395"/>
      <c r="H316" s="395"/>
      <c r="I316" s="395"/>
      <c r="J316" s="395"/>
      <c r="K316" s="395"/>
      <c r="L316" s="395"/>
      <c r="M316" s="399"/>
      <c r="N316" s="398"/>
      <c r="O316" s="399"/>
      <c r="P316" s="395"/>
      <c r="Q316" s="395"/>
      <c r="R316" s="395"/>
      <c r="S316" s="395"/>
      <c r="T316" s="395"/>
      <c r="U316" s="395"/>
      <c r="V316" s="399"/>
      <c r="W316" s="398"/>
      <c r="X316" s="395"/>
      <c r="Y316" s="399"/>
    </row>
    <row r="317" spans="1:25" x14ac:dyDescent="0.2">
      <c r="A317" s="395"/>
      <c r="B317" s="395"/>
      <c r="C317" s="395"/>
      <c r="D317" s="395"/>
      <c r="E317" s="395"/>
      <c r="F317" s="395"/>
      <c r="G317" s="395"/>
      <c r="H317" s="395"/>
      <c r="I317" s="395"/>
      <c r="J317" s="395"/>
      <c r="K317" s="395"/>
      <c r="L317" s="395"/>
      <c r="M317" s="402"/>
      <c r="N317" s="395"/>
      <c r="O317" s="395"/>
      <c r="P317" s="395"/>
      <c r="Q317" s="395"/>
      <c r="R317" s="395"/>
      <c r="S317" s="395"/>
      <c r="T317" s="395"/>
      <c r="U317" s="395"/>
      <c r="V317" s="395"/>
      <c r="W317" s="395"/>
      <c r="X317" s="395"/>
      <c r="Y317" s="395"/>
    </row>
    <row r="318" spans="1:25" x14ac:dyDescent="0.2">
      <c r="A318" s="395"/>
      <c r="B318" s="395"/>
      <c r="C318" s="401"/>
      <c r="D318" s="401"/>
      <c r="E318" s="401"/>
      <c r="F318" s="401"/>
      <c r="G318" s="401"/>
      <c r="H318" s="401"/>
      <c r="I318" s="401"/>
      <c r="J318" s="401"/>
      <c r="K318" s="401"/>
      <c r="L318" s="401"/>
      <c r="M318" s="401"/>
      <c r="N318" s="401"/>
      <c r="O318" s="401"/>
      <c r="P318" s="401"/>
      <c r="Q318" s="401"/>
      <c r="R318" s="401"/>
      <c r="S318" s="401"/>
      <c r="T318" s="401"/>
      <c r="U318" s="401"/>
      <c r="V318" s="401"/>
      <c r="W318" s="401"/>
      <c r="X318" s="401"/>
      <c r="Y318" s="401"/>
    </row>
    <row r="319" spans="1:25" x14ac:dyDescent="0.2">
      <c r="A319" s="395"/>
      <c r="B319" s="395"/>
      <c r="C319" s="402"/>
      <c r="D319" s="402"/>
      <c r="E319" s="402"/>
      <c r="F319" s="402"/>
      <c r="G319" s="402"/>
      <c r="H319" s="402"/>
      <c r="I319" s="402"/>
      <c r="J319" s="402"/>
      <c r="K319" s="402"/>
      <c r="L319" s="402"/>
      <c r="M319" s="402"/>
      <c r="N319" s="402"/>
      <c r="O319" s="402"/>
      <c r="P319" s="402"/>
      <c r="Q319" s="402"/>
      <c r="R319" s="402"/>
      <c r="S319" s="402"/>
      <c r="T319" s="402"/>
      <c r="U319" s="402"/>
      <c r="V319" s="402"/>
      <c r="W319" s="402"/>
      <c r="X319" s="398"/>
      <c r="Y319" s="402"/>
    </row>
    <row r="320" spans="1:25" x14ac:dyDescent="0.2">
      <c r="A320" s="395"/>
      <c r="B320" s="402"/>
      <c r="C320" s="402"/>
      <c r="D320" s="402"/>
      <c r="E320" s="402"/>
      <c r="F320" s="402"/>
      <c r="G320" s="401"/>
      <c r="H320" s="401"/>
      <c r="I320" s="401"/>
      <c r="J320" s="401"/>
      <c r="K320" s="401"/>
      <c r="L320" s="401"/>
      <c r="M320" s="401"/>
      <c r="N320" s="401"/>
      <c r="O320" s="401"/>
      <c r="P320" s="401"/>
      <c r="Q320" s="401"/>
      <c r="R320" s="401"/>
      <c r="S320" s="401"/>
      <c r="T320" s="401"/>
      <c r="U320" s="401"/>
      <c r="V320" s="401"/>
      <c r="W320" s="401"/>
      <c r="X320" s="401"/>
      <c r="Y320" s="401"/>
    </row>
    <row r="321" spans="1:25" x14ac:dyDescent="0.2">
      <c r="A321" s="395"/>
      <c r="B321" s="402"/>
      <c r="C321" s="402"/>
      <c r="D321" s="402"/>
      <c r="E321" s="402"/>
      <c r="F321" s="402"/>
      <c r="G321" s="401"/>
      <c r="H321" s="525"/>
      <c r="I321" s="525"/>
      <c r="J321" s="525"/>
      <c r="K321" s="525"/>
      <c r="L321" s="525"/>
      <c r="M321" s="401"/>
      <c r="N321" s="402"/>
      <c r="O321" s="402"/>
      <c r="P321" s="401"/>
      <c r="Q321" s="401"/>
      <c r="R321" s="525"/>
      <c r="S321" s="525"/>
      <c r="T321" s="525"/>
      <c r="U321" s="401"/>
      <c r="V321" s="401"/>
      <c r="W321" s="401"/>
      <c r="X321" s="402"/>
      <c r="Y321" s="402"/>
    </row>
    <row r="322" spans="1:25" x14ac:dyDescent="0.2">
      <c r="A322" s="395"/>
      <c r="B322" s="526"/>
      <c r="C322" s="101"/>
      <c r="D322" s="101"/>
      <c r="E322" s="101"/>
      <c r="F322" s="101"/>
      <c r="G322" s="401"/>
      <c r="H322" s="101"/>
      <c r="I322" s="101"/>
      <c r="J322" s="101"/>
      <c r="K322" s="101"/>
      <c r="L322" s="101"/>
      <c r="M322" s="101"/>
      <c r="N322" s="401"/>
      <c r="O322" s="401"/>
      <c r="P322" s="401"/>
      <c r="Q322" s="401"/>
      <c r="R322" s="101"/>
      <c r="S322" s="101"/>
      <c r="T322" s="101"/>
      <c r="U322" s="101"/>
      <c r="V322" s="101"/>
      <c r="W322" s="101"/>
      <c r="X322" s="402"/>
      <c r="Y322" s="402"/>
    </row>
    <row r="323" spans="1:25" x14ac:dyDescent="0.2">
      <c r="A323" s="395"/>
      <c r="B323" s="511"/>
      <c r="C323" s="68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84"/>
      <c r="O323" s="84"/>
      <c r="P323" s="93"/>
      <c r="Q323" s="93"/>
      <c r="R323" s="93"/>
      <c r="S323" s="93"/>
      <c r="T323" s="93"/>
      <c r="U323" s="93"/>
      <c r="V323" s="84"/>
      <c r="W323" s="86"/>
      <c r="X323" s="88"/>
      <c r="Y323" s="88"/>
    </row>
    <row r="324" spans="1:25" x14ac:dyDescent="0.2">
      <c r="A324" s="395"/>
      <c r="B324" s="511"/>
      <c r="C324" s="68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500"/>
      <c r="O324" s="84"/>
      <c r="P324" s="84"/>
      <c r="Q324" s="84"/>
      <c r="R324" s="84"/>
      <c r="S324" s="84"/>
      <c r="T324" s="84"/>
      <c r="U324" s="93"/>
      <c r="V324" s="93"/>
      <c r="W324" s="86"/>
      <c r="X324" s="95"/>
      <c r="Y324" s="88"/>
    </row>
    <row r="325" spans="1:25" x14ac:dyDescent="0.2">
      <c r="A325" s="395"/>
      <c r="B325" s="511"/>
      <c r="C325" s="68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500"/>
      <c r="O325" s="84"/>
      <c r="P325" s="84"/>
      <c r="Q325" s="84"/>
      <c r="R325" s="84"/>
      <c r="S325" s="84"/>
      <c r="T325" s="84"/>
      <c r="U325" s="93"/>
      <c r="V325" s="93"/>
      <c r="W325" s="86"/>
      <c r="X325" s="95"/>
      <c r="Y325" s="88"/>
    </row>
    <row r="326" spans="1:25" x14ac:dyDescent="0.2">
      <c r="A326" s="395"/>
      <c r="B326" s="511"/>
      <c r="C326" s="68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500"/>
      <c r="O326" s="84"/>
      <c r="P326" s="84"/>
      <c r="Q326" s="84"/>
      <c r="R326" s="84"/>
      <c r="S326" s="84"/>
      <c r="T326" s="84"/>
      <c r="U326" s="93"/>
      <c r="V326" s="93"/>
      <c r="W326" s="86"/>
      <c r="X326" s="95"/>
      <c r="Y326" s="88"/>
    </row>
    <row r="327" spans="1:25" x14ac:dyDescent="0.2">
      <c r="A327" s="395"/>
      <c r="B327" s="494"/>
      <c r="C327" s="68"/>
      <c r="D327" s="500"/>
      <c r="E327" s="93"/>
      <c r="F327" s="93"/>
      <c r="G327" s="84"/>
      <c r="H327" s="84"/>
      <c r="I327" s="84"/>
      <c r="J327" s="84"/>
      <c r="K327" s="84"/>
      <c r="L327" s="84"/>
      <c r="M327" s="93"/>
      <c r="N327" s="500"/>
      <c r="O327" s="84"/>
      <c r="P327" s="84"/>
      <c r="Q327" s="84"/>
      <c r="R327" s="84"/>
      <c r="S327" s="84"/>
      <c r="T327" s="84"/>
      <c r="U327" s="93"/>
      <c r="V327" s="93"/>
      <c r="W327" s="86"/>
      <c r="X327" s="95"/>
      <c r="Y327" s="88"/>
    </row>
    <row r="328" spans="1:25" x14ac:dyDescent="0.2">
      <c r="A328" s="395"/>
      <c r="B328" s="512"/>
      <c r="C328" s="68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500"/>
      <c r="O328" s="84"/>
      <c r="P328" s="84"/>
      <c r="Q328" s="84"/>
      <c r="R328" s="84"/>
      <c r="S328" s="84"/>
      <c r="T328" s="84"/>
      <c r="U328" s="93"/>
      <c r="V328" s="93"/>
      <c r="W328" s="86"/>
      <c r="X328" s="95"/>
      <c r="Y328" s="88"/>
    </row>
    <row r="329" spans="1:25" x14ac:dyDescent="0.2">
      <c r="A329" s="395"/>
      <c r="B329" s="512"/>
      <c r="C329" s="68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84"/>
      <c r="P329" s="84"/>
      <c r="Q329" s="84"/>
      <c r="R329" s="84"/>
      <c r="S329" s="84"/>
      <c r="T329" s="84"/>
      <c r="U329" s="93"/>
      <c r="V329" s="93"/>
      <c r="W329" s="86"/>
      <c r="X329" s="95"/>
      <c r="Y329" s="88"/>
    </row>
    <row r="330" spans="1:25" x14ac:dyDescent="0.2">
      <c r="A330" s="395"/>
      <c r="B330" s="512"/>
      <c r="C330" s="68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84"/>
      <c r="P330" s="84"/>
      <c r="Q330" s="84"/>
      <c r="R330" s="84"/>
      <c r="S330" s="84"/>
      <c r="T330" s="84"/>
      <c r="U330" s="93"/>
      <c r="V330" s="93"/>
      <c r="W330" s="86"/>
      <c r="X330" s="95"/>
      <c r="Y330" s="88"/>
    </row>
    <row r="331" spans="1:25" x14ac:dyDescent="0.2">
      <c r="A331" s="395"/>
      <c r="B331" s="512"/>
      <c r="C331" s="68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84"/>
      <c r="P331" s="84"/>
      <c r="Q331" s="84"/>
      <c r="R331" s="84"/>
      <c r="S331" s="84"/>
      <c r="T331" s="84"/>
      <c r="U331" s="93"/>
      <c r="V331" s="93"/>
      <c r="W331" s="86"/>
      <c r="X331" s="95"/>
      <c r="Y331" s="88"/>
    </row>
    <row r="332" spans="1:25" x14ac:dyDescent="0.2">
      <c r="A332" s="395"/>
      <c r="B332" s="494"/>
      <c r="C332" s="68"/>
      <c r="D332" s="500"/>
      <c r="E332" s="93"/>
      <c r="F332" s="93"/>
      <c r="G332" s="84"/>
      <c r="H332" s="84"/>
      <c r="I332" s="84"/>
      <c r="J332" s="84"/>
      <c r="K332" s="84"/>
      <c r="L332" s="84"/>
      <c r="M332" s="93"/>
      <c r="N332" s="93"/>
      <c r="O332" s="84"/>
      <c r="P332" s="84"/>
      <c r="Q332" s="84"/>
      <c r="R332" s="84"/>
      <c r="S332" s="84"/>
      <c r="T332" s="84"/>
      <c r="U332" s="93"/>
      <c r="V332" s="93"/>
      <c r="W332" s="86"/>
      <c r="X332" s="95"/>
      <c r="Y332" s="88"/>
    </row>
    <row r="333" spans="1:25" x14ac:dyDescent="0.2">
      <c r="A333" s="395"/>
      <c r="B333" s="513"/>
      <c r="C333" s="68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84"/>
      <c r="P333" s="84"/>
      <c r="Q333" s="84"/>
      <c r="R333" s="84"/>
      <c r="S333" s="84"/>
      <c r="T333" s="84"/>
      <c r="U333" s="93"/>
      <c r="V333" s="93"/>
      <c r="W333" s="86"/>
      <c r="X333" s="95"/>
      <c r="Y333" s="88"/>
    </row>
    <row r="334" spans="1:25" x14ac:dyDescent="0.2">
      <c r="A334" s="395"/>
      <c r="B334" s="513"/>
      <c r="C334" s="68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</row>
    <row r="335" spans="1:25" x14ac:dyDescent="0.2">
      <c r="A335" s="395"/>
      <c r="B335" s="513"/>
      <c r="C335" s="68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</row>
    <row r="336" spans="1:25" x14ac:dyDescent="0.2">
      <c r="A336" s="395"/>
      <c r="B336" s="513"/>
      <c r="C336" s="68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</row>
    <row r="337" spans="1:25" x14ac:dyDescent="0.2">
      <c r="A337" s="395"/>
      <c r="B337" s="494"/>
      <c r="C337" s="68"/>
      <c r="D337" s="395"/>
      <c r="E337" s="395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</row>
    <row r="338" spans="1:25" x14ac:dyDescent="0.2">
      <c r="A338" s="395"/>
      <c r="B338" s="513"/>
      <c r="C338" s="68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</row>
    <row r="339" spans="1:25" x14ac:dyDescent="0.2">
      <c r="A339" s="395"/>
      <c r="B339" s="513"/>
      <c r="C339" s="68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</row>
    <row r="340" spans="1:25" x14ac:dyDescent="0.2">
      <c r="A340" s="395"/>
      <c r="B340" s="513"/>
      <c r="C340" s="68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</row>
    <row r="341" spans="1:25" x14ac:dyDescent="0.2">
      <c r="A341" s="395"/>
      <c r="B341" s="513"/>
      <c r="C341" s="68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</row>
    <row r="342" spans="1:25" x14ac:dyDescent="0.2">
      <c r="A342" s="395"/>
      <c r="B342" s="494"/>
      <c r="C342" s="68"/>
      <c r="D342" s="395"/>
      <c r="E342" s="395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</row>
    <row r="343" spans="1:25" x14ac:dyDescent="0.2">
      <c r="A343" s="395"/>
      <c r="B343" s="513"/>
      <c r="C343" s="68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</row>
    <row r="344" spans="1:25" x14ac:dyDescent="0.2">
      <c r="A344" s="395"/>
      <c r="B344" s="513"/>
      <c r="C344" s="68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</row>
    <row r="345" spans="1:25" x14ac:dyDescent="0.2">
      <c r="A345" s="395"/>
      <c r="B345" s="513"/>
      <c r="C345" s="68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</row>
    <row r="346" spans="1:25" x14ac:dyDescent="0.2">
      <c r="A346" s="395"/>
      <c r="B346" s="513"/>
      <c r="C346" s="68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</row>
    <row r="347" spans="1:25" x14ac:dyDescent="0.2">
      <c r="A347" s="395"/>
      <c r="B347" s="494"/>
      <c r="C347" s="68"/>
      <c r="D347" s="395"/>
      <c r="E347" s="395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</row>
    <row r="348" spans="1:25" x14ac:dyDescent="0.2">
      <c r="A348" s="395"/>
      <c r="B348" s="513"/>
      <c r="C348" s="68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</row>
    <row r="349" spans="1:25" x14ac:dyDescent="0.2">
      <c r="A349" s="395"/>
      <c r="B349" s="513"/>
      <c r="C349" s="68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P349" s="68"/>
      <c r="Q349" s="68"/>
      <c r="R349" s="68"/>
      <c r="S349" s="68"/>
      <c r="T349" s="68"/>
      <c r="U349" s="68"/>
      <c r="V349" s="68"/>
      <c r="W349" s="68"/>
      <c r="X349" s="68"/>
      <c r="Y349" s="68"/>
    </row>
    <row r="350" spans="1:25" x14ac:dyDescent="0.2">
      <c r="A350" s="395"/>
      <c r="B350" s="513"/>
      <c r="C350" s="68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P350" s="68"/>
      <c r="Q350" s="68"/>
      <c r="R350" s="68"/>
      <c r="S350" s="68"/>
      <c r="T350" s="68"/>
      <c r="U350" s="68"/>
      <c r="V350" s="68"/>
      <c r="W350" s="68"/>
      <c r="X350" s="68"/>
      <c r="Y350" s="68"/>
    </row>
    <row r="351" spans="1:25" x14ac:dyDescent="0.2">
      <c r="A351" s="395"/>
      <c r="B351" s="513"/>
      <c r="C351" s="68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P351" s="68"/>
      <c r="Q351" s="68"/>
      <c r="R351" s="68"/>
      <c r="S351" s="68"/>
      <c r="T351" s="68"/>
      <c r="U351" s="68"/>
      <c r="V351" s="68"/>
      <c r="W351" s="68"/>
      <c r="X351" s="68"/>
      <c r="Y351" s="68"/>
    </row>
    <row r="352" spans="1:25" x14ac:dyDescent="0.2">
      <c r="A352" s="395"/>
      <c r="B352" s="494"/>
      <c r="P352" s="68"/>
      <c r="Q352" s="68"/>
      <c r="R352" s="68"/>
      <c r="S352" s="68"/>
      <c r="T352" s="68"/>
      <c r="U352" s="68"/>
      <c r="V352" s="68"/>
      <c r="W352" s="68"/>
      <c r="X352" s="68"/>
      <c r="Y352" s="68"/>
    </row>
    <row r="353" spans="1:25" x14ac:dyDescent="0.2">
      <c r="A353" s="395"/>
      <c r="B353" s="494"/>
      <c r="C353" s="68"/>
      <c r="N353" s="68"/>
      <c r="O353" s="68"/>
      <c r="Q353" s="68"/>
      <c r="R353" s="68"/>
      <c r="S353" s="68"/>
      <c r="T353" s="68"/>
      <c r="U353" s="68"/>
      <c r="V353" s="68"/>
      <c r="W353" s="68"/>
      <c r="X353" s="68"/>
      <c r="Y353" s="68"/>
    </row>
    <row r="354" spans="1:25" x14ac:dyDescent="0.2">
      <c r="A354" s="395"/>
      <c r="B354" s="494"/>
      <c r="C354" s="68"/>
      <c r="N354" s="68"/>
      <c r="O354" s="68"/>
      <c r="Q354" s="68"/>
      <c r="R354" s="68"/>
      <c r="S354" s="68"/>
      <c r="T354" s="68"/>
      <c r="U354" s="68"/>
      <c r="V354" s="68"/>
      <c r="W354" s="68"/>
      <c r="X354" s="68"/>
      <c r="Y354" s="68"/>
    </row>
    <row r="355" spans="1:25" x14ac:dyDescent="0.2">
      <c r="A355" s="395"/>
      <c r="B355" s="494"/>
      <c r="C355" s="68"/>
      <c r="N355" s="68"/>
      <c r="O355" s="68"/>
      <c r="Q355" s="68"/>
      <c r="R355" s="68"/>
      <c r="S355" s="68"/>
      <c r="T355" s="68"/>
      <c r="U355" s="68"/>
      <c r="V355" s="68"/>
      <c r="W355" s="68"/>
      <c r="X355" s="68"/>
      <c r="Y355" s="68"/>
    </row>
    <row r="356" spans="1:25" x14ac:dyDescent="0.2">
      <c r="A356" s="395"/>
      <c r="B356" s="494"/>
      <c r="C356" s="68"/>
      <c r="N356" s="68"/>
      <c r="O356" s="68"/>
      <c r="Q356" s="68"/>
      <c r="R356" s="68"/>
      <c r="S356" s="68"/>
      <c r="T356" s="68"/>
      <c r="U356" s="68"/>
      <c r="V356" s="68"/>
      <c r="W356" s="68"/>
      <c r="X356" s="68"/>
      <c r="Y356" s="68"/>
    </row>
    <row r="357" spans="1:25" x14ac:dyDescent="0.2">
      <c r="A357" s="395"/>
      <c r="B357" s="395"/>
      <c r="C357" s="68"/>
      <c r="N357" s="405"/>
      <c r="O357" s="68"/>
      <c r="Q357" s="405"/>
      <c r="R357" s="405"/>
      <c r="S357" s="405"/>
      <c r="T357" s="405"/>
      <c r="U357" s="405"/>
      <c r="V357" s="405"/>
      <c r="W357" s="405"/>
      <c r="X357" s="405"/>
      <c r="Y357" s="405"/>
    </row>
    <row r="358" spans="1:25" x14ac:dyDescent="0.2">
      <c r="A358" s="395"/>
      <c r="B358" s="395"/>
      <c r="C358" s="68"/>
      <c r="N358" s="405"/>
      <c r="O358" s="68"/>
      <c r="Q358" s="405"/>
      <c r="R358" s="405"/>
      <c r="S358" s="405"/>
      <c r="T358" s="405"/>
      <c r="U358" s="405"/>
      <c r="V358" s="405"/>
      <c r="W358" s="405"/>
      <c r="X358" s="405"/>
      <c r="Y358" s="405"/>
    </row>
    <row r="359" spans="1:25" x14ac:dyDescent="0.2">
      <c r="A359" s="395"/>
      <c r="B359" s="395"/>
      <c r="N359" s="405"/>
      <c r="O359" s="68"/>
      <c r="Q359" s="405"/>
      <c r="R359" s="405"/>
      <c r="S359" s="405"/>
      <c r="T359" s="405"/>
      <c r="U359" s="405"/>
      <c r="V359" s="405"/>
      <c r="W359" s="405"/>
      <c r="X359" s="405"/>
      <c r="Y359" s="405"/>
    </row>
    <row r="360" spans="1:25" x14ac:dyDescent="0.2">
      <c r="A360" s="395"/>
      <c r="B360" s="395"/>
      <c r="C360" s="68"/>
      <c r="N360" s="405"/>
      <c r="Q360" s="405"/>
      <c r="R360" s="405"/>
      <c r="S360" s="405"/>
      <c r="T360" s="405"/>
      <c r="U360" s="405"/>
      <c r="V360" s="405"/>
      <c r="W360" s="405"/>
      <c r="X360" s="405"/>
      <c r="Y360" s="405"/>
    </row>
    <row r="361" spans="1:25" x14ac:dyDescent="0.2">
      <c r="A361" s="395"/>
      <c r="B361" s="395"/>
      <c r="C361" s="395"/>
      <c r="D361" s="395"/>
      <c r="E361" s="395"/>
      <c r="F361" s="395"/>
      <c r="G361" s="395"/>
      <c r="H361" s="395"/>
      <c r="I361" s="395"/>
      <c r="J361" s="395"/>
      <c r="K361" s="395"/>
      <c r="L361" s="395"/>
      <c r="M361" s="395"/>
      <c r="N361" s="395"/>
      <c r="O361" s="395"/>
      <c r="P361" s="395"/>
      <c r="Q361" s="395"/>
      <c r="R361" s="395"/>
      <c r="S361" s="395"/>
      <c r="T361" s="395"/>
      <c r="U361" s="395"/>
      <c r="V361" s="395"/>
      <c r="W361" s="395"/>
      <c r="X361" s="395"/>
      <c r="Y361" s="395"/>
    </row>
    <row r="362" spans="1:25" x14ac:dyDescent="0.2">
      <c r="A362" s="395"/>
      <c r="B362" s="395"/>
      <c r="C362" s="395"/>
      <c r="D362" s="395"/>
      <c r="E362" s="395"/>
      <c r="F362" s="395"/>
      <c r="G362" s="395"/>
      <c r="H362" s="395"/>
      <c r="I362" s="395"/>
      <c r="J362" s="395"/>
      <c r="K362" s="395"/>
      <c r="L362" s="395"/>
      <c r="M362" s="395"/>
      <c r="N362" s="395"/>
      <c r="O362" s="395"/>
      <c r="P362" s="395"/>
      <c r="Q362" s="395"/>
      <c r="R362" s="395"/>
      <c r="S362" s="395"/>
      <c r="T362" s="395"/>
      <c r="U362" s="395"/>
      <c r="V362" s="395"/>
      <c r="W362" s="395"/>
      <c r="X362" s="395"/>
      <c r="Y362" s="395"/>
    </row>
  </sheetData>
  <mergeCells count="38">
    <mergeCell ref="B112:C112"/>
    <mergeCell ref="D112:M112"/>
    <mergeCell ref="N112:U112"/>
    <mergeCell ref="B59:C59"/>
    <mergeCell ref="B60:C60"/>
    <mergeCell ref="D60:M60"/>
    <mergeCell ref="N60:U60"/>
    <mergeCell ref="B111:C111"/>
    <mergeCell ref="G5:Q5"/>
    <mergeCell ref="B7:C7"/>
    <mergeCell ref="B8:C8"/>
    <mergeCell ref="D8:M8"/>
    <mergeCell ref="N8:U8"/>
    <mergeCell ref="B216:C216"/>
    <mergeCell ref="B217:C217"/>
    <mergeCell ref="D217:M217"/>
    <mergeCell ref="N217:U217"/>
    <mergeCell ref="M132:Q132"/>
    <mergeCell ref="F132:J132"/>
    <mergeCell ref="W8:X8"/>
    <mergeCell ref="Y8:Z8"/>
    <mergeCell ref="W60:X60"/>
    <mergeCell ref="Y60:Z60"/>
    <mergeCell ref="W112:X112"/>
    <mergeCell ref="Y112:Z112"/>
    <mergeCell ref="I35:J35"/>
    <mergeCell ref="V217:W217"/>
    <mergeCell ref="X217:Y217"/>
    <mergeCell ref="F234:G234"/>
    <mergeCell ref="M234:P234"/>
    <mergeCell ref="G214:Q214"/>
    <mergeCell ref="F182:G182"/>
    <mergeCell ref="M182:P182"/>
    <mergeCell ref="F35:G35"/>
    <mergeCell ref="F89:G89"/>
    <mergeCell ref="G109:Q109"/>
    <mergeCell ref="I89:J89"/>
    <mergeCell ref="G57:Q57"/>
  </mergeCells>
  <printOptions horizontalCentered="1" verticalCentered="1"/>
  <pageMargins left="0.5" right="0.5" top="1.25" bottom="0.35" header="0.5" footer="0.5"/>
  <pageSetup scale="53" fitToHeight="0" orientation="landscape" r:id="rId1"/>
  <headerFooter alignWithMargins="0"/>
  <rowBreaks count="2" manualBreakCount="2">
    <brk id="52" max="24" man="1"/>
    <brk id="104" max="20" man="1"/>
  </rowBreaks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3633-D725-4E44-AD81-E2E75FC7E55F}">
  <sheetPr>
    <pageSetUpPr fitToPage="1"/>
  </sheetPr>
  <dimension ref="A1:AM108"/>
  <sheetViews>
    <sheetView zoomScale="90" zoomScaleNormal="90" workbookViewId="0"/>
  </sheetViews>
  <sheetFormatPr defaultColWidth="9.140625" defaultRowHeight="12.75" x14ac:dyDescent="0.2"/>
  <cols>
    <col min="1" max="1" width="3.5703125" style="503" customWidth="1"/>
    <col min="2" max="2" width="6.140625" style="503" customWidth="1"/>
    <col min="3" max="3" width="11" style="503" customWidth="1"/>
    <col min="4" max="4" width="11.5703125" style="503" customWidth="1"/>
    <col min="5" max="5" width="11.42578125" style="503" customWidth="1"/>
    <col min="6" max="6" width="11.28515625" style="503" customWidth="1"/>
    <col min="7" max="8" width="10.85546875" style="503" customWidth="1"/>
    <col min="9" max="9" width="12.5703125" style="503" customWidth="1"/>
    <col min="10" max="10" width="9.42578125" style="503" customWidth="1"/>
    <col min="11" max="11" width="11.140625" style="503" bestFit="1" customWidth="1"/>
    <col min="12" max="12" width="10.7109375" style="503" customWidth="1"/>
    <col min="13" max="13" width="11.42578125" style="503" customWidth="1"/>
    <col min="14" max="14" width="11.28515625" style="503" customWidth="1"/>
    <col min="15" max="15" width="11.7109375" style="503" customWidth="1"/>
    <col min="16" max="16" width="10.42578125" style="503" customWidth="1"/>
    <col min="17" max="17" width="11.140625" style="503" customWidth="1"/>
    <col min="18" max="18" width="9.7109375" style="503" customWidth="1"/>
    <col min="19" max="19" width="11.42578125" style="503" customWidth="1"/>
    <col min="20" max="20" width="9.42578125" style="503" customWidth="1"/>
    <col min="21" max="21" width="11.42578125" style="503" customWidth="1"/>
    <col min="22" max="22" width="12.42578125" style="503" customWidth="1"/>
    <col min="23" max="23" width="12.7109375" style="503" customWidth="1"/>
    <col min="24" max="24" width="11.140625" style="503" customWidth="1"/>
    <col min="25" max="25" width="11.28515625" style="503" customWidth="1"/>
    <col min="26" max="27" width="8.5703125" style="503" customWidth="1"/>
    <col min="28" max="32" width="9.140625" style="503"/>
    <col min="33" max="34" width="9.28515625" style="503" bestFit="1" customWidth="1"/>
    <col min="35" max="35" width="9.140625" style="503"/>
    <col min="36" max="39" width="9.28515625" style="503" bestFit="1" customWidth="1"/>
    <col min="40" max="16384" width="9.140625" style="503"/>
  </cols>
  <sheetData>
    <row r="1" spans="1:36" ht="13.5" thickBot="1" x14ac:dyDescent="0.25">
      <c r="A1" s="396" t="s">
        <v>943</v>
      </c>
      <c r="B1" s="396"/>
      <c r="C1" s="396"/>
      <c r="D1" s="396"/>
      <c r="E1" s="396"/>
      <c r="F1" s="396"/>
      <c r="G1" s="396"/>
      <c r="H1" s="396"/>
      <c r="I1" s="396"/>
      <c r="J1" s="396" t="s">
        <v>944</v>
      </c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578"/>
      <c r="Z1" s="578"/>
      <c r="AA1" s="578" t="s">
        <v>1025</v>
      </c>
      <c r="AB1" s="578"/>
    </row>
    <row r="2" spans="1:36" x14ac:dyDescent="0.2">
      <c r="A2" s="395" t="s">
        <v>307</v>
      </c>
      <c r="B2" s="395"/>
      <c r="C2" s="395"/>
      <c r="D2" s="395"/>
      <c r="E2" s="395"/>
      <c r="F2" s="395"/>
      <c r="H2" s="395" t="s">
        <v>1037</v>
      </c>
      <c r="I2" s="395"/>
      <c r="J2" s="395" t="s">
        <v>947</v>
      </c>
      <c r="K2" s="395"/>
      <c r="L2" s="395"/>
      <c r="M2" s="398"/>
      <c r="N2" s="398"/>
      <c r="O2" s="398"/>
      <c r="P2" s="395"/>
      <c r="Q2" s="398"/>
      <c r="R2" s="398"/>
      <c r="S2" s="398"/>
      <c r="T2" s="398"/>
      <c r="U2" s="398"/>
      <c r="V2" s="398"/>
      <c r="W2" s="397"/>
      <c r="X2" s="397" t="s">
        <v>847</v>
      </c>
      <c r="Y2" s="395"/>
      <c r="Z2" s="407"/>
      <c r="AA2" s="397"/>
    </row>
    <row r="3" spans="1:36" x14ac:dyDescent="0.2">
      <c r="A3" s="395"/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9"/>
      <c r="N3" s="398"/>
      <c r="O3" s="398"/>
      <c r="P3" s="395"/>
      <c r="Q3" s="395"/>
      <c r="R3" s="395"/>
      <c r="S3" s="395"/>
      <c r="T3" s="395"/>
      <c r="U3" s="395"/>
      <c r="V3" s="399"/>
      <c r="W3" s="399"/>
      <c r="X3" s="399" t="s">
        <v>919</v>
      </c>
      <c r="Y3" s="398" t="s">
        <v>920</v>
      </c>
      <c r="Z3" s="395"/>
      <c r="AA3" s="399"/>
    </row>
    <row r="4" spans="1:36" x14ac:dyDescent="0.2">
      <c r="A4" s="395" t="s">
        <v>310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9"/>
      <c r="N4" s="398"/>
      <c r="O4" s="398"/>
      <c r="P4" s="399"/>
      <c r="Q4" s="395"/>
      <c r="R4" s="395"/>
      <c r="S4" s="395"/>
      <c r="T4" s="395"/>
      <c r="U4" s="395"/>
      <c r="V4" s="395"/>
      <c r="Y4" s="398" t="s">
        <v>937</v>
      </c>
      <c r="Z4" s="395"/>
      <c r="AA4" s="399"/>
    </row>
    <row r="5" spans="1:36" x14ac:dyDescent="0.2">
      <c r="A5" s="395"/>
      <c r="B5" s="395"/>
      <c r="C5" s="395"/>
      <c r="D5" s="395"/>
      <c r="E5" s="395"/>
      <c r="F5" s="395"/>
      <c r="G5" s="395"/>
      <c r="H5" s="575" t="s">
        <v>1026</v>
      </c>
      <c r="I5" s="575"/>
      <c r="J5" s="575"/>
      <c r="K5" s="575"/>
      <c r="L5" s="575"/>
      <c r="M5" s="575"/>
      <c r="N5" s="575"/>
      <c r="O5" s="575"/>
      <c r="P5" s="575"/>
      <c r="Q5" s="575"/>
      <c r="R5" s="575"/>
      <c r="S5" s="395"/>
      <c r="T5" s="395"/>
      <c r="U5" s="395"/>
      <c r="V5" s="395"/>
      <c r="Y5" s="398" t="s">
        <v>938</v>
      </c>
      <c r="Z5" s="395"/>
      <c r="AA5" s="399"/>
    </row>
    <row r="6" spans="1:36" ht="13.5" thickBot="1" x14ac:dyDescent="0.25">
      <c r="A6" s="396" t="s">
        <v>1642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400"/>
      <c r="N6" s="396"/>
      <c r="O6" s="396"/>
      <c r="P6" s="396"/>
      <c r="Q6" s="396"/>
      <c r="R6" s="396"/>
      <c r="S6" s="396"/>
      <c r="T6" s="396"/>
      <c r="U6" s="396"/>
      <c r="V6" s="396"/>
      <c r="W6" s="504"/>
      <c r="X6" s="504"/>
      <c r="Y6" s="396" t="s">
        <v>311</v>
      </c>
      <c r="Z6" s="396"/>
      <c r="AA6" s="396"/>
      <c r="AB6" s="504"/>
    </row>
    <row r="7" spans="1:36" x14ac:dyDescent="0.2">
      <c r="A7" s="395"/>
      <c r="B7" s="577" t="s">
        <v>949</v>
      </c>
      <c r="C7" s="577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</row>
    <row r="8" spans="1:36" x14ac:dyDescent="0.2">
      <c r="A8" s="395"/>
      <c r="B8" s="574" t="s">
        <v>448</v>
      </c>
      <c r="C8" s="574"/>
      <c r="D8" s="576" t="s">
        <v>950</v>
      </c>
      <c r="E8" s="576"/>
      <c r="F8" s="576"/>
      <c r="G8" s="576"/>
      <c r="H8" s="576"/>
      <c r="I8" s="576"/>
      <c r="J8" s="576"/>
      <c r="K8" s="576"/>
      <c r="L8" s="576"/>
      <c r="M8" s="576"/>
      <c r="N8" s="576" t="s">
        <v>951</v>
      </c>
      <c r="O8" s="576"/>
      <c r="P8" s="576"/>
      <c r="Q8" s="576"/>
      <c r="R8" s="576"/>
      <c r="S8" s="576"/>
      <c r="T8" s="576"/>
      <c r="U8" s="576"/>
      <c r="V8" s="576"/>
      <c r="W8" s="576" t="s">
        <v>952</v>
      </c>
      <c r="X8" s="576"/>
      <c r="Y8" s="576" t="s">
        <v>953</v>
      </c>
      <c r="Z8" s="576"/>
    </row>
    <row r="9" spans="1:36" x14ac:dyDescent="0.2">
      <c r="A9" s="395"/>
      <c r="B9" s="402" t="s">
        <v>848</v>
      </c>
      <c r="C9" s="402" t="s">
        <v>849</v>
      </c>
      <c r="D9" s="505" t="s">
        <v>850</v>
      </c>
      <c r="E9" s="402" t="s">
        <v>851</v>
      </c>
      <c r="F9" s="402" t="s">
        <v>954</v>
      </c>
      <c r="G9" s="401" t="s">
        <v>955</v>
      </c>
      <c r="H9" s="401" t="s">
        <v>956</v>
      </c>
      <c r="I9" s="401" t="s">
        <v>957</v>
      </c>
      <c r="J9" s="401" t="s">
        <v>958</v>
      </c>
      <c r="K9" s="506" t="s">
        <v>959</v>
      </c>
      <c r="L9" s="506" t="s">
        <v>960</v>
      </c>
      <c r="M9" s="507" t="s">
        <v>961</v>
      </c>
      <c r="N9" s="401" t="s">
        <v>962</v>
      </c>
      <c r="O9" s="401" t="s">
        <v>963</v>
      </c>
      <c r="P9" s="401" t="s">
        <v>964</v>
      </c>
      <c r="Q9" s="401" t="s">
        <v>965</v>
      </c>
      <c r="R9" s="401" t="s">
        <v>966</v>
      </c>
      <c r="S9" s="401" t="s">
        <v>967</v>
      </c>
      <c r="T9" s="401" t="s">
        <v>968</v>
      </c>
      <c r="U9" s="506" t="s">
        <v>969</v>
      </c>
      <c r="V9" s="507" t="s">
        <v>970</v>
      </c>
      <c r="W9" s="507" t="s">
        <v>971</v>
      </c>
      <c r="X9" s="401" t="s">
        <v>972</v>
      </c>
      <c r="Y9" s="401" t="s">
        <v>1020</v>
      </c>
      <c r="Z9" s="401" t="s">
        <v>1027</v>
      </c>
    </row>
    <row r="10" spans="1:36" x14ac:dyDescent="0.2">
      <c r="A10" s="395" t="s">
        <v>314</v>
      </c>
      <c r="B10" s="402" t="s">
        <v>973</v>
      </c>
      <c r="C10" s="402"/>
      <c r="D10" s="508" t="s">
        <v>974</v>
      </c>
      <c r="E10" s="402" t="s">
        <v>975</v>
      </c>
      <c r="F10" s="402" t="s">
        <v>976</v>
      </c>
      <c r="G10" s="401" t="s">
        <v>977</v>
      </c>
      <c r="H10" s="402" t="s">
        <v>978</v>
      </c>
      <c r="I10" s="402" t="s">
        <v>1693</v>
      </c>
      <c r="J10" s="402" t="s">
        <v>979</v>
      </c>
      <c r="K10" s="402" t="s">
        <v>1690</v>
      </c>
      <c r="L10" s="402" t="s">
        <v>980</v>
      </c>
      <c r="M10" s="509" t="s">
        <v>718</v>
      </c>
      <c r="N10" s="402" t="s">
        <v>974</v>
      </c>
      <c r="O10" s="402" t="s">
        <v>975</v>
      </c>
      <c r="P10" s="401" t="s">
        <v>976</v>
      </c>
      <c r="Q10" s="401" t="s">
        <v>977</v>
      </c>
      <c r="R10" s="402" t="s">
        <v>978</v>
      </c>
      <c r="S10" s="402" t="s">
        <v>1693</v>
      </c>
      <c r="T10" s="402" t="s">
        <v>979</v>
      </c>
      <c r="U10" s="402" t="s">
        <v>980</v>
      </c>
      <c r="V10" s="509" t="s">
        <v>718</v>
      </c>
      <c r="W10" s="401" t="s">
        <v>981</v>
      </c>
      <c r="X10" s="509" t="s">
        <v>982</v>
      </c>
      <c r="Y10" s="402" t="s">
        <v>983</v>
      </c>
      <c r="Z10" s="402" t="s">
        <v>984</v>
      </c>
    </row>
    <row r="11" spans="1:36" ht="13.5" thickBot="1" x14ac:dyDescent="0.25">
      <c r="A11" s="396" t="s">
        <v>320</v>
      </c>
      <c r="B11" s="510" t="s">
        <v>985</v>
      </c>
      <c r="C11" s="80" t="s">
        <v>986</v>
      </c>
      <c r="D11" s="81" t="s">
        <v>987</v>
      </c>
      <c r="E11" s="80" t="s">
        <v>988</v>
      </c>
      <c r="F11" s="80" t="s">
        <v>988</v>
      </c>
      <c r="G11" s="403" t="s">
        <v>988</v>
      </c>
      <c r="H11" s="80" t="s">
        <v>988</v>
      </c>
      <c r="I11" s="80" t="s">
        <v>1694</v>
      </c>
      <c r="J11" s="80" t="s">
        <v>988</v>
      </c>
      <c r="K11" s="80" t="s">
        <v>1691</v>
      </c>
      <c r="L11" s="80" t="s">
        <v>988</v>
      </c>
      <c r="M11" s="82"/>
      <c r="N11" s="403" t="s">
        <v>987</v>
      </c>
      <c r="O11" s="403" t="s">
        <v>988</v>
      </c>
      <c r="P11" s="403" t="s">
        <v>988</v>
      </c>
      <c r="Q11" s="403" t="s">
        <v>988</v>
      </c>
      <c r="R11" s="80" t="s">
        <v>988</v>
      </c>
      <c r="S11" s="80" t="s">
        <v>1694</v>
      </c>
      <c r="T11" s="80" t="s">
        <v>988</v>
      </c>
      <c r="U11" s="80" t="s">
        <v>988</v>
      </c>
      <c r="V11" s="82"/>
      <c r="W11" s="80" t="s">
        <v>1695</v>
      </c>
      <c r="X11" s="82" t="s">
        <v>1696</v>
      </c>
      <c r="Y11" s="400" t="s">
        <v>1697</v>
      </c>
      <c r="Z11" s="400" t="s">
        <v>1698</v>
      </c>
      <c r="AA11" s="101"/>
    </row>
    <row r="12" spans="1:36" x14ac:dyDescent="0.2">
      <c r="A12" s="395">
        <v>1</v>
      </c>
      <c r="B12" s="511">
        <v>1000</v>
      </c>
      <c r="C12" s="68">
        <f>+B12*730*0.35</f>
        <v>255499.99999999997</v>
      </c>
      <c r="D12" s="85">
        <f>+$G$26+$B12*$G$27+($C12*$G$30)/100</f>
        <v>15127.91</v>
      </c>
      <c r="E12" s="84">
        <f>+$C12*$G$34/100</f>
        <v>9721.7749999999996</v>
      </c>
      <c r="F12" s="84">
        <f>+$B12*$G$37</f>
        <v>670</v>
      </c>
      <c r="G12" s="84">
        <f>+$B12*$G$38</f>
        <v>170</v>
      </c>
      <c r="H12" s="84">
        <f>+$C12*$G$40/100</f>
        <v>181.405</v>
      </c>
      <c r="I12" s="84">
        <f>+$B12*$G$39</f>
        <v>860</v>
      </c>
      <c r="J12" s="84">
        <f>+$B12*$G$41</f>
        <v>600</v>
      </c>
      <c r="K12" s="84">
        <f>+$C12*$G$42/100</f>
        <v>68.984999999999985</v>
      </c>
      <c r="L12" s="84">
        <f>+SUM(D12:K12)*0.025641</f>
        <v>702.56532307499992</v>
      </c>
      <c r="M12" s="84">
        <f>SUM(D12:L12)</f>
        <v>28102.640323074997</v>
      </c>
      <c r="N12" s="85">
        <f>+$L$26+$B12*$L$27+($C12*$L$30)/100</f>
        <v>16358.565000000001</v>
      </c>
      <c r="O12" s="84">
        <f>+$C12*$L$34/100</f>
        <v>9721.7749999999996</v>
      </c>
      <c r="P12" s="84">
        <f>+$B12*$L$37</f>
        <v>670</v>
      </c>
      <c r="Q12" s="84">
        <f>+$B12*$L$38</f>
        <v>170</v>
      </c>
      <c r="R12" s="84">
        <f>+$C12*$L$40/100</f>
        <v>181.405</v>
      </c>
      <c r="S12" s="84">
        <f>+$B12*$L$39</f>
        <v>860</v>
      </c>
      <c r="T12" s="84">
        <f>+$B12*$L$41</f>
        <v>600</v>
      </c>
      <c r="U12" s="84">
        <f>+SUM(N12:T12)*0.025641</f>
        <v>732.35170354499996</v>
      </c>
      <c r="V12" s="84">
        <f>SUM(N12:U12)</f>
        <v>29294.096703544998</v>
      </c>
      <c r="W12" s="107">
        <f>V12-M12</f>
        <v>1191.456380470001</v>
      </c>
      <c r="X12" s="86">
        <f>+W12/M12</f>
        <v>4.2396599279381574E-2</v>
      </c>
      <c r="Y12" s="96">
        <f>+M12/C12 *100</f>
        <v>10.999076447387475</v>
      </c>
      <c r="Z12" s="108">
        <f>+V12/C12*100</f>
        <v>11.465399883970646</v>
      </c>
      <c r="AA12" s="500"/>
      <c r="AB12" s="109"/>
    </row>
    <row r="13" spans="1:36" x14ac:dyDescent="0.2">
      <c r="A13" s="395">
        <v>2</v>
      </c>
      <c r="B13" s="511">
        <v>1000</v>
      </c>
      <c r="C13" s="68">
        <f>+B13*730*0.6</f>
        <v>438000</v>
      </c>
      <c r="D13" s="107">
        <f>+$G$26+$B13*$G$27+($C13*$G$30)/100</f>
        <v>17029.560000000001</v>
      </c>
      <c r="E13" s="84">
        <f>+$C13*$G$34/100</f>
        <v>16665.900000000001</v>
      </c>
      <c r="F13" s="84">
        <f>+$B13*$G$37</f>
        <v>670</v>
      </c>
      <c r="G13" s="84">
        <f>+$B13*$G$38</f>
        <v>170</v>
      </c>
      <c r="H13" s="84">
        <f>+$C13*$G$40/100</f>
        <v>310.98</v>
      </c>
      <c r="I13" s="84">
        <f>+$B13*$G$39</f>
        <v>860</v>
      </c>
      <c r="J13" s="84">
        <f>+$B13*$G$41</f>
        <v>600</v>
      </c>
      <c r="K13" s="84">
        <f>+$C13*$G$42/100</f>
        <v>118.26</v>
      </c>
      <c r="L13" s="84">
        <f t="shared" ref="L13:L22" si="0">+SUM(D13:K13)*0.025641</f>
        <v>933.96573270000033</v>
      </c>
      <c r="M13" s="84">
        <f>SUM(D13:L13)</f>
        <v>37358.665732700014</v>
      </c>
      <c r="N13" s="107">
        <f>+$L$26+$B13*$L$27+($C13*$L$30)/100</f>
        <v>18298.54</v>
      </c>
      <c r="O13" s="84">
        <f>+$C13*$L$34/100</f>
        <v>16665.900000000001</v>
      </c>
      <c r="P13" s="84">
        <f>+$B13*$L$37</f>
        <v>670</v>
      </c>
      <c r="Q13" s="84">
        <f>+$B13*$L$38</f>
        <v>170</v>
      </c>
      <c r="R13" s="84">
        <f>+$C13*$L$40/100</f>
        <v>310.98</v>
      </c>
      <c r="S13" s="84">
        <f>+$B13*$L$39</f>
        <v>860</v>
      </c>
      <c r="T13" s="84">
        <f>+$B13*$L$41</f>
        <v>600</v>
      </c>
      <c r="U13" s="84">
        <f>+SUM(N13:T13)*0.025641</f>
        <v>963.47134422000022</v>
      </c>
      <c r="V13" s="84">
        <f>SUM(N13:U13)</f>
        <v>38538.891344220006</v>
      </c>
      <c r="W13" s="107">
        <f>+V13-M13</f>
        <v>1180.2256115199925</v>
      </c>
      <c r="X13" s="86">
        <f>+W13/M13</f>
        <v>3.1591749554560296E-2</v>
      </c>
      <c r="Y13" s="110">
        <f>+M13/C13 *100</f>
        <v>8.5293757380593647</v>
      </c>
      <c r="Z13" s="108">
        <f>+V13/C13*100</f>
        <v>8.7988336402328784</v>
      </c>
      <c r="AA13" s="500"/>
      <c r="AB13" s="111"/>
    </row>
    <row r="14" spans="1:36" x14ac:dyDescent="0.2">
      <c r="A14" s="395">
        <v>3</v>
      </c>
      <c r="B14" s="511">
        <v>1000</v>
      </c>
      <c r="C14" s="68">
        <f>+B14*730*0.9</f>
        <v>657000</v>
      </c>
      <c r="D14" s="107">
        <f>+$H$26+($B14*$H$28+$B14*$H29)+$C14/100*$H$31*0.25+$C14/100*H32*0.75</f>
        <v>19210.912499999999</v>
      </c>
      <c r="E14" s="84">
        <f>+$C14*$H$35/100*0.25+C14*$H$36/100*0.75</f>
        <v>24903.584999999999</v>
      </c>
      <c r="F14" s="84">
        <f>+$B14*$G$37</f>
        <v>670</v>
      </c>
      <c r="G14" s="84">
        <f>+$B14*$H$38</f>
        <v>170</v>
      </c>
      <c r="H14" s="84">
        <f>+$C14*$H$40/100</f>
        <v>466.47000000000008</v>
      </c>
      <c r="I14" s="84">
        <f>+$B14*$H$39</f>
        <v>860</v>
      </c>
      <c r="J14" s="84">
        <f>+$B14*$H$41</f>
        <v>600</v>
      </c>
      <c r="K14" s="84">
        <f>+$C14*$G$42/100</f>
        <v>177.39</v>
      </c>
      <c r="L14" s="84">
        <f t="shared" si="0"/>
        <v>1206.6233446575</v>
      </c>
      <c r="M14" s="84">
        <f>SUM(D14:L14)</f>
        <v>48264.980844657497</v>
      </c>
      <c r="N14" s="107">
        <f>+$M$26+($B14*$M$28+$B14*$M29)+$C14/100*$M$31*0.25+$C14/100*M32*0.4+$C14/100*M33*0.35</f>
        <v>20731.301500000001</v>
      </c>
      <c r="O14" s="84">
        <f>+$C14*$M$35/100*0.25+C14*$M$36/100*0.75</f>
        <v>24903.584999999999</v>
      </c>
      <c r="P14" s="84">
        <f>+$B14*$L$37</f>
        <v>670</v>
      </c>
      <c r="Q14" s="84">
        <f>+$B14*$M$38</f>
        <v>170</v>
      </c>
      <c r="R14" s="84">
        <f>+$C14*$M$40/100</f>
        <v>466.47000000000008</v>
      </c>
      <c r="S14" s="84">
        <f>+$B14*$M$39</f>
        <v>860</v>
      </c>
      <c r="T14" s="84">
        <f>+$B14*$M$41</f>
        <v>600</v>
      </c>
      <c r="U14" s="84">
        <f>+SUM(N14:T14)*0.025641</f>
        <v>1241.0591820165</v>
      </c>
      <c r="V14" s="84">
        <f>SUM(N14:U14)</f>
        <v>49642.415682016501</v>
      </c>
      <c r="W14" s="107">
        <f>+V14-M14</f>
        <v>1377.4348373590037</v>
      </c>
      <c r="X14" s="86">
        <f>+W14/M14</f>
        <v>2.8539011375397105E-2</v>
      </c>
      <c r="Y14" s="110">
        <f>+M14/C14 *100</f>
        <v>7.3462680128854636</v>
      </c>
      <c r="Z14" s="108">
        <f>+V14/C14*100</f>
        <v>7.5559232392719178</v>
      </c>
      <c r="AA14" s="500"/>
      <c r="AB14" s="111"/>
      <c r="AE14" s="395"/>
      <c r="AG14" s="86"/>
      <c r="AH14" s="94"/>
      <c r="AJ14" s="111"/>
    </row>
    <row r="15" spans="1:36" x14ac:dyDescent="0.2">
      <c r="A15" s="395">
        <v>4</v>
      </c>
      <c r="D15" s="112"/>
      <c r="E15" s="113"/>
      <c r="F15" s="84"/>
      <c r="G15" s="113"/>
      <c r="H15" s="113"/>
      <c r="I15" s="113"/>
      <c r="J15" s="84"/>
      <c r="K15" s="84"/>
      <c r="L15" s="84"/>
      <c r="M15" s="113"/>
      <c r="N15" s="112"/>
      <c r="O15" s="113"/>
      <c r="P15" s="84"/>
      <c r="Q15" s="113"/>
      <c r="R15" s="113"/>
      <c r="S15" s="113"/>
      <c r="T15" s="84"/>
      <c r="U15" s="84"/>
      <c r="V15" s="113"/>
      <c r="W15" s="107"/>
      <c r="X15" s="86"/>
      <c r="Y15" s="114"/>
      <c r="Z15" s="115"/>
      <c r="AC15" s="74"/>
      <c r="AD15" s="395"/>
      <c r="AE15" s="395"/>
      <c r="AF15" s="68"/>
      <c r="AG15" s="86"/>
      <c r="AH15" s="94"/>
    </row>
    <row r="16" spans="1:36" x14ac:dyDescent="0.2">
      <c r="A16" s="395">
        <v>5</v>
      </c>
      <c r="B16" s="512">
        <v>2500</v>
      </c>
      <c r="C16" s="68">
        <f>+B16*730*0.35</f>
        <v>638750</v>
      </c>
      <c r="D16" s="107">
        <f>+$G$26+$B16*$G$27+($C16*$G$30)/100</f>
        <v>36941.375</v>
      </c>
      <c r="E16" s="84">
        <f>+$C16*$G$34/100</f>
        <v>24304.4375</v>
      </c>
      <c r="F16" s="84">
        <f>+$B16*$G$37</f>
        <v>1675</v>
      </c>
      <c r="G16" s="84">
        <f>+$B16*$G$38</f>
        <v>425.00000000000006</v>
      </c>
      <c r="H16" s="84">
        <f>+$C16*$G$40/100</f>
        <v>453.51250000000005</v>
      </c>
      <c r="I16" s="84">
        <f>+$B16*$G$39</f>
        <v>2150</v>
      </c>
      <c r="J16" s="84">
        <f>+$B16*$G$41</f>
        <v>1500</v>
      </c>
      <c r="K16" s="84">
        <f>+$C16*$G$42/100</f>
        <v>172.46250000000001</v>
      </c>
      <c r="L16" s="84">
        <f t="shared" si="0"/>
        <v>1733.8902532874997</v>
      </c>
      <c r="M16" s="84">
        <f>SUM(D16:L16)</f>
        <v>69355.677753287484</v>
      </c>
      <c r="N16" s="107">
        <f>+$L$26+$B16*$L$27+($C16*$L$30)/100</f>
        <v>39932.512499999997</v>
      </c>
      <c r="O16" s="84">
        <f>+$C16*$L$34/100</f>
        <v>24304.4375</v>
      </c>
      <c r="P16" s="84">
        <f>+$B16*$L$37</f>
        <v>1675</v>
      </c>
      <c r="Q16" s="84">
        <f>+$B16*$L$38</f>
        <v>425.00000000000006</v>
      </c>
      <c r="R16" s="84">
        <f>+$C16*$L$40/100</f>
        <v>453.51250000000005</v>
      </c>
      <c r="S16" s="84">
        <f>+$B16*$L$39</f>
        <v>2150</v>
      </c>
      <c r="T16" s="84">
        <f>+$B16*$L$41</f>
        <v>1500</v>
      </c>
      <c r="U16" s="84">
        <f>+SUM(N16:T16)*0.025641</f>
        <v>1806.1638989624998</v>
      </c>
      <c r="V16" s="84">
        <f>SUM(N16:U16)</f>
        <v>72246.6263989625</v>
      </c>
      <c r="W16" s="107">
        <f>+V16-M16</f>
        <v>2890.9486456750165</v>
      </c>
      <c r="X16" s="86">
        <f>+W16/M16</f>
        <v>4.1682941315327057E-2</v>
      </c>
      <c r="Y16" s="110">
        <f>+M16/C16 *100</f>
        <v>10.85803174219765</v>
      </c>
      <c r="Z16" s="108">
        <f>+V16/C16*100</f>
        <v>11.310626442107633</v>
      </c>
      <c r="AA16" s="500"/>
      <c r="AC16" s="74"/>
      <c r="AD16" s="395"/>
      <c r="AE16" s="395"/>
      <c r="AF16" s="68"/>
      <c r="AG16" s="86"/>
      <c r="AH16" s="94"/>
      <c r="AI16" s="68"/>
      <c r="AJ16" s="93"/>
    </row>
    <row r="17" spans="1:39" x14ac:dyDescent="0.2">
      <c r="A17" s="395">
        <v>6</v>
      </c>
      <c r="B17" s="512">
        <v>2500</v>
      </c>
      <c r="C17" s="68">
        <f>+B17*730*0.6</f>
        <v>1095000</v>
      </c>
      <c r="D17" s="107">
        <f>+$G$26+$B17*$G$27+($C17*$G$30)/100</f>
        <v>41695.5</v>
      </c>
      <c r="E17" s="84">
        <f>+$C17*$G$34/100</f>
        <v>41664.75</v>
      </c>
      <c r="F17" s="84">
        <f>+$B17*$G$37</f>
        <v>1675</v>
      </c>
      <c r="G17" s="84">
        <f>+$B17*$G$38</f>
        <v>425.00000000000006</v>
      </c>
      <c r="H17" s="84">
        <f>+$C17*$G$40/100</f>
        <v>777.45000000000016</v>
      </c>
      <c r="I17" s="84">
        <f>+$B17*$G$39</f>
        <v>2150</v>
      </c>
      <c r="J17" s="84">
        <f>+$B17*$G$41</f>
        <v>1500</v>
      </c>
      <c r="K17" s="84">
        <f>+$C17*$G$42/100</f>
        <v>295.64999999999998</v>
      </c>
      <c r="L17" s="84">
        <f t="shared" si="0"/>
        <v>2312.3912773499997</v>
      </c>
      <c r="M17" s="84">
        <f>SUM(D17:L17)</f>
        <v>92495.741277349996</v>
      </c>
      <c r="N17" s="107">
        <f>+$L$26+$B17*$L$27+($C17*$L$30)/100</f>
        <v>44782.45</v>
      </c>
      <c r="O17" s="84">
        <f>+$C17*$L$34/100</f>
        <v>41664.75</v>
      </c>
      <c r="P17" s="84">
        <f>+$B17*$L$37</f>
        <v>1675</v>
      </c>
      <c r="Q17" s="84">
        <f>+$B17*$L$38</f>
        <v>425.00000000000006</v>
      </c>
      <c r="R17" s="84">
        <f>+$C17*$L$40/100</f>
        <v>777.45000000000016</v>
      </c>
      <c r="S17" s="84">
        <f>+$B17*$L$39</f>
        <v>2150</v>
      </c>
      <c r="T17" s="84">
        <f>+$B17*$L$41</f>
        <v>1500</v>
      </c>
      <c r="U17" s="84">
        <f>+SUM(N17:T17)*0.025641</f>
        <v>2383.9630006499997</v>
      </c>
      <c r="V17" s="84">
        <f>SUM(N17:U17)</f>
        <v>95358.613000649988</v>
      </c>
      <c r="W17" s="107">
        <f>+V17-M17</f>
        <v>2862.8717232999916</v>
      </c>
      <c r="X17" s="86">
        <f>+W17/M17</f>
        <v>3.0951389585771562E-2</v>
      </c>
      <c r="Y17" s="110">
        <f>+M17/C17 *100</f>
        <v>8.447099660031963</v>
      </c>
      <c r="Z17" s="108">
        <f>+V17/C17*100</f>
        <v>8.7085491324794511</v>
      </c>
      <c r="AA17" s="500"/>
      <c r="AC17" s="74"/>
      <c r="AD17" s="395"/>
      <c r="AE17" s="395"/>
      <c r="AF17" s="68"/>
      <c r="AG17" s="68"/>
      <c r="AH17" s="116"/>
      <c r="AI17" s="68"/>
      <c r="AJ17" s="93"/>
    </row>
    <row r="18" spans="1:39" x14ac:dyDescent="0.2">
      <c r="A18" s="395">
        <v>7</v>
      </c>
      <c r="B18" s="512">
        <v>2500</v>
      </c>
      <c r="C18" s="68">
        <f>+B18*730*0.9</f>
        <v>1642500</v>
      </c>
      <c r="D18" s="107">
        <f>+$H$26+($B18*$H$28+$B18*$H29)+$C18/100*$H$31*0.25+$C18/100*H32*0.75</f>
        <v>47148.881250000006</v>
      </c>
      <c r="E18" s="84">
        <f>+$C18*$H$35/100*0.25+C18*$H$36/100*0.75</f>
        <v>62258.962500000009</v>
      </c>
      <c r="F18" s="84">
        <f>+$B18*$G$37</f>
        <v>1675</v>
      </c>
      <c r="G18" s="84">
        <f>+$B18*$H$38</f>
        <v>425.00000000000006</v>
      </c>
      <c r="H18" s="84">
        <f>+$C18*$H$40/100</f>
        <v>1166.1750000000002</v>
      </c>
      <c r="I18" s="84">
        <f>+$B18*$H$39</f>
        <v>2150</v>
      </c>
      <c r="J18" s="84">
        <f>+$B18*$H$41</f>
        <v>1500</v>
      </c>
      <c r="K18" s="84">
        <f>+$C18*$G$42/100</f>
        <v>443.47500000000002</v>
      </c>
      <c r="L18" s="84">
        <f t="shared" si="0"/>
        <v>2994.0353072437506</v>
      </c>
      <c r="M18" s="84">
        <f>SUM(D18:L18)</f>
        <v>119761.52905724378</v>
      </c>
      <c r="N18" s="107">
        <f>+$M$26+($B18*$M$28+$B18*$M29)+$C18/100*$M$31*0.25+$C18/100*M32*0.4+$C18/100*M33*0.35</f>
        <v>50864.353749999995</v>
      </c>
      <c r="O18" s="84">
        <f>+$C18*$M$35/100*0.25+C18*$M$36/100*0.75</f>
        <v>62258.962500000009</v>
      </c>
      <c r="P18" s="84">
        <f>+$B18*$L$37</f>
        <v>1675</v>
      </c>
      <c r="Q18" s="84">
        <f>+$B18*$M$38</f>
        <v>425.00000000000006</v>
      </c>
      <c r="R18" s="84">
        <f>+$C18*$M$40/100</f>
        <v>1166.1750000000002</v>
      </c>
      <c r="S18" s="84">
        <f>+$B18*$M$39</f>
        <v>2150</v>
      </c>
      <c r="T18" s="84">
        <f>+$B18*$M$41</f>
        <v>1500</v>
      </c>
      <c r="U18" s="84">
        <f>+SUM(N18:T18)*0.025641</f>
        <v>3077.9325951412502</v>
      </c>
      <c r="V18" s="84">
        <f>SUM(N18:U18)</f>
        <v>123117.42384514125</v>
      </c>
      <c r="W18" s="107">
        <f>+V18-M18</f>
        <v>3355.8947878974723</v>
      </c>
      <c r="X18" s="86">
        <f>+W18/M18</f>
        <v>2.8021475797068499E-2</v>
      </c>
      <c r="Y18" s="110">
        <f>+M18/C18 *100</f>
        <v>7.2914172942005351</v>
      </c>
      <c r="Z18" s="108">
        <f>+V18/C18*100</f>
        <v>7.495733567436301</v>
      </c>
      <c r="AA18" s="500"/>
    </row>
    <row r="19" spans="1:39" x14ac:dyDescent="0.2">
      <c r="A19" s="395">
        <v>8</v>
      </c>
      <c r="D19" s="112"/>
      <c r="E19" s="113"/>
      <c r="F19" s="84"/>
      <c r="G19" s="113"/>
      <c r="H19" s="113"/>
      <c r="I19" s="113"/>
      <c r="J19" s="84"/>
      <c r="K19" s="84"/>
      <c r="L19" s="84"/>
      <c r="M19" s="113"/>
      <c r="N19" s="112"/>
      <c r="O19" s="113"/>
      <c r="P19" s="84"/>
      <c r="Q19" s="113"/>
      <c r="R19" s="113"/>
      <c r="S19" s="113"/>
      <c r="T19" s="84"/>
      <c r="U19" s="84"/>
      <c r="V19" s="113"/>
      <c r="W19" s="107"/>
      <c r="X19" s="86"/>
      <c r="Y19" s="114"/>
      <c r="Z19" s="115"/>
      <c r="AB19" s="68"/>
      <c r="AC19" s="395"/>
      <c r="AD19" s="395"/>
      <c r="AE19" s="68"/>
      <c r="AF19" s="68"/>
      <c r="AG19" s="117"/>
      <c r="AH19" s="117"/>
      <c r="AI19" s="117"/>
      <c r="AJ19" s="118"/>
      <c r="AK19" s="117"/>
    </row>
    <row r="20" spans="1:39" x14ac:dyDescent="0.2">
      <c r="A20" s="395">
        <v>9</v>
      </c>
      <c r="B20" s="513">
        <v>5000</v>
      </c>
      <c r="C20" s="68">
        <f>+B20*730*0.35</f>
        <v>1277500</v>
      </c>
      <c r="D20" s="107">
        <f>+$G$26+$B20*$G$27+($C20*$G$30)/100</f>
        <v>73297.150000000009</v>
      </c>
      <c r="E20" s="84">
        <f>+$C20*$G$34/100</f>
        <v>48608.875</v>
      </c>
      <c r="F20" s="84">
        <f>+$B20*$G$37</f>
        <v>3350</v>
      </c>
      <c r="G20" s="84">
        <f>+$B20*$G$38</f>
        <v>850.00000000000011</v>
      </c>
      <c r="H20" s="84">
        <f>+$C20*$G$40/100</f>
        <v>907.02500000000009</v>
      </c>
      <c r="I20" s="84">
        <f>+$B20*$G$39</f>
        <v>4300</v>
      </c>
      <c r="J20" s="84">
        <f>+$B20*$G$41</f>
        <v>3000</v>
      </c>
      <c r="K20" s="84">
        <f>+$C20*$G$42/100</f>
        <v>344.92500000000001</v>
      </c>
      <c r="L20" s="84">
        <f t="shared" si="0"/>
        <v>3452.7651369749997</v>
      </c>
      <c r="M20" s="84">
        <f>SUM(D20:L20)</f>
        <v>138110.74013697499</v>
      </c>
      <c r="N20" s="107">
        <f>+$L$26+$B20*$L$27+($C20*$L$30)/100</f>
        <v>79222.425000000003</v>
      </c>
      <c r="O20" s="84">
        <f>+$C20*$L$34/100</f>
        <v>48608.875</v>
      </c>
      <c r="P20" s="84">
        <f>+$B20*$L$37</f>
        <v>3350</v>
      </c>
      <c r="Q20" s="84">
        <f>+$B20*$L$38</f>
        <v>850.00000000000011</v>
      </c>
      <c r="R20" s="84">
        <f>+$C20*$L$40/100</f>
        <v>907.02500000000009</v>
      </c>
      <c r="S20" s="84">
        <f>+$B20*$L$39</f>
        <v>4300</v>
      </c>
      <c r="T20" s="84">
        <f>+$B20*$L$41</f>
        <v>3000</v>
      </c>
      <c r="U20" s="84">
        <f>+SUM(N20:T20)*0.025641</f>
        <v>3595.8508913249998</v>
      </c>
      <c r="V20" s="84">
        <f>SUM(N20:U20)</f>
        <v>143834.17589132499</v>
      </c>
      <c r="W20" s="107">
        <f>V20-M20</f>
        <v>5723.4357543500082</v>
      </c>
      <c r="X20" s="86">
        <f>+W20/M20</f>
        <v>4.1440917257221557E-2</v>
      </c>
      <c r="Y20" s="110">
        <f>+M20/C20 *100</f>
        <v>10.811016840467708</v>
      </c>
      <c r="Z20" s="108">
        <f>+V20/C20*100</f>
        <v>11.259035294819961</v>
      </c>
      <c r="AA20" s="500"/>
      <c r="AB20" s="74"/>
      <c r="AC20" s="395"/>
      <c r="AD20" s="395"/>
      <c r="AE20" s="68"/>
      <c r="AF20" s="68"/>
      <c r="AG20" s="73"/>
      <c r="AH20" s="402"/>
      <c r="AJ20" s="73"/>
      <c r="AK20" s="73"/>
      <c r="AL20" s="73"/>
      <c r="AM20" s="73"/>
    </row>
    <row r="21" spans="1:39" x14ac:dyDescent="0.2">
      <c r="A21" s="395">
        <v>10</v>
      </c>
      <c r="B21" s="513">
        <v>5000</v>
      </c>
      <c r="C21" s="68">
        <f>+B21*730*0.6</f>
        <v>2190000</v>
      </c>
      <c r="D21" s="107">
        <f>+$G$26+$B21*$G$27+($C21*$G$30)/100</f>
        <v>82805.400000000009</v>
      </c>
      <c r="E21" s="84">
        <f>+$C21*$G$34/100</f>
        <v>83329.5</v>
      </c>
      <c r="F21" s="84">
        <f>+$B21*$G$37</f>
        <v>3350</v>
      </c>
      <c r="G21" s="84">
        <f>+$B21*$G$38</f>
        <v>850.00000000000011</v>
      </c>
      <c r="H21" s="84">
        <f>+$C21*$G$40/100</f>
        <v>1554.9000000000003</v>
      </c>
      <c r="I21" s="84">
        <f>+$B21*$G$39</f>
        <v>4300</v>
      </c>
      <c r="J21" s="84">
        <f>+$B21*$G$41</f>
        <v>3000</v>
      </c>
      <c r="K21" s="84">
        <f>+$C21*$G$42/100</f>
        <v>591.29999999999995</v>
      </c>
      <c r="L21" s="84">
        <f t="shared" si="0"/>
        <v>4609.7671851000005</v>
      </c>
      <c r="M21" s="84">
        <f>SUM(D21:L21)</f>
        <v>184390.86718510001</v>
      </c>
      <c r="N21" s="107">
        <f>+$L$26+$B21*$L$27+($C21*$L$30)/100</f>
        <v>88922.300000000017</v>
      </c>
      <c r="O21" s="84">
        <f>+$C21*$L$34/100</f>
        <v>83329.5</v>
      </c>
      <c r="P21" s="84">
        <f>+$B21*$L$37</f>
        <v>3350</v>
      </c>
      <c r="Q21" s="84">
        <f>+$B21*$L$38</f>
        <v>850.00000000000011</v>
      </c>
      <c r="R21" s="84">
        <f>+$C21*$L$40/100</f>
        <v>1554.9000000000003</v>
      </c>
      <c r="S21" s="84">
        <f>+$B21*$L$39</f>
        <v>4300</v>
      </c>
      <c r="T21" s="84">
        <f>+$B21*$L$41</f>
        <v>3000</v>
      </c>
      <c r="U21" s="84">
        <f>+SUM(N21:T21)*0.025641</f>
        <v>4751.4490947000004</v>
      </c>
      <c r="V21" s="84">
        <f>SUM(N21:U21)</f>
        <v>190058.1490947</v>
      </c>
      <c r="W21" s="107">
        <f>+V21-M21</f>
        <v>5667.2819095999876</v>
      </c>
      <c r="X21" s="86">
        <f>+W21/M21</f>
        <v>3.0735155141446945E-2</v>
      </c>
      <c r="Y21" s="110">
        <f>+M21/C21 *100</f>
        <v>8.4196743006894987</v>
      </c>
      <c r="Z21" s="108">
        <f>+V21/C21*100</f>
        <v>8.6784542965616431</v>
      </c>
      <c r="AA21" s="500"/>
      <c r="AB21" s="74"/>
      <c r="AC21" s="395"/>
      <c r="AD21" s="395"/>
      <c r="AE21" s="68"/>
      <c r="AG21" s="93"/>
      <c r="AH21" s="93"/>
      <c r="AJ21" s="84"/>
      <c r="AK21" s="84"/>
      <c r="AL21" s="84"/>
      <c r="AM21" s="84"/>
    </row>
    <row r="22" spans="1:39" x14ac:dyDescent="0.2">
      <c r="A22" s="395">
        <v>11</v>
      </c>
      <c r="B22" s="513">
        <v>5000</v>
      </c>
      <c r="C22" s="68">
        <f>+B22*730*0.9</f>
        <v>3285000</v>
      </c>
      <c r="D22" s="107">
        <f>+$H$26+($B22*$H$28+$B22*$H29)+$C22/100*$H$31*0.25+$C22/100*H32*0.75</f>
        <v>93712.162500000006</v>
      </c>
      <c r="E22" s="84">
        <f>+$C22*$H$35/100*0.25+C22*$H$36/100*0.75</f>
        <v>124517.92500000002</v>
      </c>
      <c r="F22" s="84">
        <f>+$B22*$G$37</f>
        <v>3350</v>
      </c>
      <c r="G22" s="84">
        <f>+$B22*$H$38</f>
        <v>850.00000000000011</v>
      </c>
      <c r="H22" s="84">
        <f>+$C22*$H$40/100</f>
        <v>2332.3500000000004</v>
      </c>
      <c r="I22" s="84">
        <f>+$B22*$H$39</f>
        <v>4300</v>
      </c>
      <c r="J22" s="84">
        <f>+$B22*$H$41</f>
        <v>3000</v>
      </c>
      <c r="K22" s="84">
        <f>+$C22*$G$42/100</f>
        <v>886.95</v>
      </c>
      <c r="L22" s="84">
        <f t="shared" si="0"/>
        <v>5973.0552448875014</v>
      </c>
      <c r="M22" s="84">
        <f>SUM(D22:L22)</f>
        <v>238922.44274488755</v>
      </c>
      <c r="N22" s="107">
        <f>+$M$26+($B22*$M$28+$B22*$M29)+$C22/100*$M$31*0.25+$C22/100*M32*0.4+$C22/100*M33*0.35</f>
        <v>101086.1075</v>
      </c>
      <c r="O22" s="84">
        <f>+$C22*$M$35/100*0.25+C22*$M$36/100*0.75</f>
        <v>124517.92500000002</v>
      </c>
      <c r="P22" s="84">
        <f>+$B22*$L$37</f>
        <v>3350</v>
      </c>
      <c r="Q22" s="84">
        <f>+$B22*$M$38</f>
        <v>850.00000000000011</v>
      </c>
      <c r="R22" s="84">
        <f>+$C22*$M$40/100</f>
        <v>2332.3500000000004</v>
      </c>
      <c r="S22" s="84">
        <f>+$B22*$M$39</f>
        <v>4300</v>
      </c>
      <c r="T22" s="84">
        <f>+$B22*$M$41</f>
        <v>3000</v>
      </c>
      <c r="U22" s="84">
        <f>+SUM(N22:T22)*0.025641</f>
        <v>6139.3882836825014</v>
      </c>
      <c r="V22" s="84">
        <f>SUM(N22:U22)</f>
        <v>245575.77078368253</v>
      </c>
      <c r="W22" s="107">
        <f>V22-M22</f>
        <v>6653.3280387949781</v>
      </c>
      <c r="X22" s="86">
        <f>+W22/M22</f>
        <v>2.7847229261334622E-2</v>
      </c>
      <c r="Y22" s="110">
        <f>+M22/C22 *100</f>
        <v>7.2731337213055562</v>
      </c>
      <c r="Z22" s="108">
        <f>+V22/C22*100</f>
        <v>7.475670343491096</v>
      </c>
      <c r="AA22" s="500"/>
      <c r="AB22" s="74"/>
      <c r="AC22" s="395"/>
      <c r="AD22" s="395"/>
      <c r="AE22" s="68"/>
      <c r="AF22" s="68"/>
      <c r="AG22" s="93"/>
      <c r="AH22" s="500"/>
      <c r="AI22" s="395"/>
      <c r="AJ22" s="93"/>
      <c r="AK22" s="500"/>
    </row>
    <row r="23" spans="1:39" x14ac:dyDescent="0.2">
      <c r="A23" s="395">
        <v>12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93"/>
      <c r="Y23" s="86"/>
      <c r="Z23" s="68"/>
      <c r="AA23" s="68"/>
      <c r="AF23" s="68"/>
      <c r="AH23" s="395"/>
      <c r="AI23" s="116"/>
      <c r="AJ23" s="395"/>
      <c r="AK23" s="116"/>
      <c r="AL23" s="116"/>
    </row>
    <row r="24" spans="1:39" x14ac:dyDescent="0.2">
      <c r="A24" s="395">
        <v>13</v>
      </c>
      <c r="G24" s="574" t="s">
        <v>983</v>
      </c>
      <c r="H24" s="574"/>
      <c r="I24" s="574"/>
      <c r="J24" s="402"/>
      <c r="K24" s="402"/>
      <c r="L24" s="574" t="s">
        <v>984</v>
      </c>
      <c r="M24" s="574"/>
      <c r="N24" s="574"/>
      <c r="R24" s="395"/>
      <c r="AF24" s="68"/>
      <c r="AH24" s="395"/>
      <c r="AI24" s="116"/>
      <c r="AJ24" s="395"/>
      <c r="AK24" s="116"/>
      <c r="AL24" s="116"/>
    </row>
    <row r="25" spans="1:39" x14ac:dyDescent="0.2">
      <c r="A25" s="395">
        <v>14</v>
      </c>
      <c r="C25" s="402"/>
      <c r="D25" s="402"/>
      <c r="E25" s="402"/>
      <c r="F25" s="402"/>
      <c r="G25" s="402" t="s">
        <v>818</v>
      </c>
      <c r="H25" s="402" t="s">
        <v>933</v>
      </c>
      <c r="I25" s="402"/>
      <c r="J25" s="402"/>
      <c r="K25" s="402"/>
      <c r="L25" s="402" t="s">
        <v>818</v>
      </c>
      <c r="M25" s="402" t="s">
        <v>933</v>
      </c>
      <c r="N25" s="395"/>
      <c r="AB25" s="514"/>
      <c r="AC25" s="74"/>
      <c r="AD25" s="395"/>
      <c r="AE25" s="395"/>
      <c r="AF25" s="68"/>
      <c r="AG25" s="68"/>
      <c r="AH25" s="116"/>
      <c r="AI25" s="408"/>
      <c r="AJ25" s="395"/>
      <c r="AK25" s="116"/>
      <c r="AL25" s="116"/>
    </row>
    <row r="26" spans="1:39" x14ac:dyDescent="0.2">
      <c r="A26" s="395">
        <v>15</v>
      </c>
      <c r="C26" s="398" t="s">
        <v>990</v>
      </c>
      <c r="D26" s="402"/>
      <c r="E26" s="402"/>
      <c r="F26" s="402"/>
      <c r="G26" s="92">
        <f>+ROUND('2025 GSLDPR Rate Class E-13c'!J18,2)*30</f>
        <v>585.6</v>
      </c>
      <c r="H26" s="92">
        <f>+ROUND('2025 GSLDPR Rate Class E-13c'!J19,2)*30</f>
        <v>585.6</v>
      </c>
      <c r="I26" s="398" t="s">
        <v>991</v>
      </c>
      <c r="J26" s="398"/>
      <c r="K26" s="398"/>
      <c r="L26" s="515">
        <f>+ROUND('2025 GSLDPR Rate Class E-13c'!Q18,2)*30</f>
        <v>642.6</v>
      </c>
      <c r="M26" s="515">
        <f>+ROUND('2025 GSLDPR Rate Class E-13c'!Q19,2)*30</f>
        <v>642.6</v>
      </c>
      <c r="N26" s="398" t="s">
        <v>991</v>
      </c>
      <c r="AC26" s="74"/>
      <c r="AF26" s="68"/>
      <c r="AH26" s="116"/>
      <c r="AI26" s="408"/>
      <c r="AJ26" s="395"/>
      <c r="AK26" s="116"/>
      <c r="AL26" s="116"/>
    </row>
    <row r="27" spans="1:39" x14ac:dyDescent="0.2">
      <c r="A27" s="395">
        <v>16</v>
      </c>
      <c r="C27" s="398" t="s">
        <v>992</v>
      </c>
      <c r="D27" s="402"/>
      <c r="G27" s="92">
        <f>ROUND(+'2025 GSLDPR Rate Class E-13c'!J30,2)</f>
        <v>11.88</v>
      </c>
      <c r="H27" s="92">
        <v>0</v>
      </c>
      <c r="I27" s="398" t="s">
        <v>1018</v>
      </c>
      <c r="J27" s="398"/>
      <c r="K27" s="398"/>
      <c r="L27" s="515">
        <f>ROUND(+'2025 GSLDPR Rate Class E-13c'!Q30,2)</f>
        <v>13</v>
      </c>
      <c r="M27" s="515">
        <v>0</v>
      </c>
      <c r="N27" s="398" t="s">
        <v>1018</v>
      </c>
      <c r="S27" s="93"/>
      <c r="T27" s="93"/>
      <c r="U27" s="93"/>
      <c r="V27" s="93"/>
      <c r="W27" s="93"/>
      <c r="X27" s="68"/>
      <c r="Y27" s="86"/>
      <c r="Z27" s="68"/>
      <c r="AA27" s="68"/>
      <c r="AF27" s="68"/>
      <c r="AH27" s="395"/>
      <c r="AI27" s="395"/>
      <c r="AJ27" s="395"/>
      <c r="AK27" s="116"/>
      <c r="AL27" s="116"/>
    </row>
    <row r="28" spans="1:39" x14ac:dyDescent="0.2">
      <c r="A28" s="395">
        <v>17</v>
      </c>
      <c r="C28" s="398" t="s">
        <v>1028</v>
      </c>
      <c r="D28" s="402"/>
      <c r="G28" s="92">
        <v>0</v>
      </c>
      <c r="H28" s="92">
        <f>ROUND(+'2025 GSLDPR Rate Class E-13c'!J31,2)</f>
        <v>3.77</v>
      </c>
      <c r="I28" s="398" t="s">
        <v>1018</v>
      </c>
      <c r="J28" s="398"/>
      <c r="K28" s="398"/>
      <c r="L28" s="515">
        <v>0</v>
      </c>
      <c r="M28" s="515">
        <f>+ROUND('2025 GSLDPR Rate Class E-13c'!Q31,2)</f>
        <v>2.93</v>
      </c>
      <c r="N28" s="398" t="s">
        <v>1018</v>
      </c>
      <c r="S28" s="93"/>
      <c r="T28" s="93"/>
      <c r="U28" s="93"/>
      <c r="V28" s="93"/>
      <c r="W28" s="93"/>
      <c r="X28" s="68"/>
      <c r="Y28" s="86"/>
      <c r="Z28" s="68"/>
      <c r="AA28" s="68"/>
      <c r="AF28" s="68"/>
      <c r="AH28" s="395"/>
      <c r="AI28" s="395"/>
      <c r="AJ28" s="395"/>
      <c r="AK28" s="116"/>
      <c r="AL28" s="116"/>
    </row>
    <row r="29" spans="1:39" x14ac:dyDescent="0.2">
      <c r="A29" s="395">
        <v>18</v>
      </c>
      <c r="C29" s="398" t="s">
        <v>1029</v>
      </c>
      <c r="D29" s="402"/>
      <c r="G29" s="92">
        <v>0</v>
      </c>
      <c r="H29" s="92">
        <f>ROUND(+'2025 GSLDPR Rate Class E-13c'!J32,2)</f>
        <v>8.08</v>
      </c>
      <c r="I29" s="398" t="s">
        <v>1018</v>
      </c>
      <c r="J29" s="398"/>
      <c r="K29" s="398"/>
      <c r="L29" s="515">
        <v>0</v>
      </c>
      <c r="M29" s="515">
        <f>+ROUND('2025 GSLDPR Rate Class E-13c'!Q32,2)</f>
        <v>10.07</v>
      </c>
      <c r="N29" s="398" t="s">
        <v>1018</v>
      </c>
      <c r="S29" s="93"/>
      <c r="T29" s="93"/>
      <c r="U29" s="93"/>
      <c r="V29" s="93"/>
      <c r="W29" s="93"/>
      <c r="X29" s="68"/>
      <c r="Y29" s="86"/>
      <c r="Z29" s="68"/>
      <c r="AA29" s="68"/>
      <c r="AF29" s="68"/>
      <c r="AH29" s="395"/>
      <c r="AI29" s="395"/>
      <c r="AJ29" s="395"/>
      <c r="AK29" s="116"/>
      <c r="AL29" s="116"/>
    </row>
    <row r="30" spans="1:39" x14ac:dyDescent="0.2">
      <c r="A30" s="395">
        <v>19</v>
      </c>
      <c r="C30" s="398" t="s">
        <v>993</v>
      </c>
      <c r="D30" s="402"/>
      <c r="G30" s="100">
        <f>+ROUND('2025 GSLDPR Rate Class E-13c'!J23,5)*100</f>
        <v>1.042</v>
      </c>
      <c r="H30" s="92">
        <v>0</v>
      </c>
      <c r="I30" s="398" t="s">
        <v>1019</v>
      </c>
      <c r="J30" s="398"/>
      <c r="K30" s="398"/>
      <c r="L30" s="516">
        <f>+ROUND('2025 GSLDPR Rate Class E-13c'!Q23,5)*100</f>
        <v>1.0630000000000002</v>
      </c>
      <c r="M30" s="515">
        <v>0</v>
      </c>
      <c r="N30" s="398" t="s">
        <v>1019</v>
      </c>
      <c r="S30" s="93"/>
      <c r="T30" s="93"/>
      <c r="U30" s="93"/>
      <c r="V30" s="93"/>
      <c r="W30" s="93"/>
      <c r="X30" s="68"/>
      <c r="Y30" s="86"/>
      <c r="Z30" s="68"/>
      <c r="AA30" s="68"/>
      <c r="AF30" s="68"/>
      <c r="AH30" s="395"/>
      <c r="AI30" s="395"/>
      <c r="AJ30" s="395"/>
      <c r="AK30" s="116"/>
      <c r="AL30" s="116"/>
    </row>
    <row r="31" spans="1:39" x14ac:dyDescent="0.2">
      <c r="A31" s="395">
        <v>20</v>
      </c>
      <c r="B31" s="513"/>
      <c r="C31" s="517" t="s">
        <v>1011</v>
      </c>
      <c r="D31" s="402"/>
      <c r="G31" s="100">
        <v>0</v>
      </c>
      <c r="H31" s="100">
        <f>+ROUND('2025 GSLDPR Rate Class E-13c'!J24,5)*100</f>
        <v>1.5840000000000001</v>
      </c>
      <c r="I31" s="398" t="s">
        <v>1019</v>
      </c>
      <c r="J31" s="398"/>
      <c r="K31" s="398"/>
      <c r="L31" s="515">
        <v>0</v>
      </c>
      <c r="M31" s="516">
        <f>+ROUND('2025 GSLDPR Rate Class E-13c'!Q24,5)*100</f>
        <v>1.7330000000000001</v>
      </c>
      <c r="N31" s="398" t="s">
        <v>1019</v>
      </c>
      <c r="S31" s="93"/>
      <c r="T31" s="93"/>
      <c r="U31" s="93"/>
      <c r="V31" s="93"/>
      <c r="W31" s="93"/>
      <c r="X31" s="93"/>
      <c r="Y31" s="86"/>
      <c r="Z31" s="93"/>
      <c r="AA31" s="102"/>
      <c r="AC31" s="74"/>
      <c r="AD31" s="395"/>
      <c r="AE31" s="395"/>
      <c r="AF31" s="68"/>
      <c r="AG31" s="68"/>
      <c r="AH31" s="408"/>
      <c r="AI31" s="116"/>
      <c r="AK31" s="408"/>
      <c r="AL31" s="116"/>
    </row>
    <row r="32" spans="1:39" x14ac:dyDescent="0.2">
      <c r="A32" s="395">
        <v>21</v>
      </c>
      <c r="B32" s="513"/>
      <c r="C32" s="517" t="s">
        <v>1012</v>
      </c>
      <c r="D32" s="402"/>
      <c r="G32" s="100">
        <v>0</v>
      </c>
      <c r="H32" s="100">
        <f>+ROUND('2025 GSLDPR Rate Class E-13c'!J25,5)*100</f>
        <v>0.84699999999999998</v>
      </c>
      <c r="I32" s="398" t="s">
        <v>1019</v>
      </c>
      <c r="J32" s="398"/>
      <c r="K32" s="398"/>
      <c r="L32" s="516">
        <v>0</v>
      </c>
      <c r="M32" s="516">
        <f>+ROUND('2025 GSLDPR Rate Class E-13c'!Q25,5)*100</f>
        <v>1.056</v>
      </c>
      <c r="N32" s="398" t="s">
        <v>1019</v>
      </c>
      <c r="S32" s="93"/>
      <c r="T32" s="93"/>
      <c r="U32" s="93"/>
      <c r="V32" s="93"/>
      <c r="W32" s="93"/>
      <c r="X32" s="93"/>
      <c r="Y32" s="86"/>
      <c r="Z32" s="93"/>
      <c r="AA32" s="102"/>
      <c r="AC32" s="74"/>
      <c r="AD32" s="395"/>
      <c r="AE32" s="395"/>
      <c r="AF32" s="68"/>
      <c r="AG32" s="68"/>
      <c r="AH32" s="408"/>
      <c r="AI32" s="116"/>
      <c r="AK32" s="408"/>
      <c r="AL32" s="116"/>
    </row>
    <row r="33" spans="1:38" x14ac:dyDescent="0.2">
      <c r="A33" s="395">
        <v>22</v>
      </c>
      <c r="B33" s="513"/>
      <c r="C33" s="517" t="s">
        <v>1643</v>
      </c>
      <c r="G33" s="100">
        <v>0</v>
      </c>
      <c r="H33" s="100">
        <v>0</v>
      </c>
      <c r="I33" s="398" t="s">
        <v>1019</v>
      </c>
      <c r="L33" s="515">
        <v>0</v>
      </c>
      <c r="M33" s="516">
        <f>+ROUND('2025 GSLDPR Rate Class E-13c'!Q26,5)*100</f>
        <v>0.63800000000000001</v>
      </c>
      <c r="N33" s="398" t="s">
        <v>1019</v>
      </c>
      <c r="S33" s="93"/>
      <c r="T33" s="93"/>
      <c r="U33" s="93"/>
      <c r="V33" s="93"/>
      <c r="W33" s="93"/>
      <c r="X33" s="93"/>
      <c r="Y33" s="86"/>
      <c r="Z33" s="93"/>
      <c r="AA33" s="102"/>
      <c r="AF33" s="68"/>
      <c r="AH33" s="408"/>
      <c r="AI33" s="116"/>
      <c r="AK33" s="408"/>
      <c r="AL33" s="116"/>
    </row>
    <row r="34" spans="1:38" x14ac:dyDescent="0.2">
      <c r="A34" s="395">
        <v>23</v>
      </c>
      <c r="B34" s="513"/>
      <c r="C34" s="398" t="s">
        <v>1006</v>
      </c>
      <c r="D34" s="402"/>
      <c r="G34" s="408">
        <f>0.03805*100</f>
        <v>3.8050000000000002</v>
      </c>
      <c r="H34" s="408">
        <v>0</v>
      </c>
      <c r="I34" s="398" t="s">
        <v>1019</v>
      </c>
      <c r="J34" s="398"/>
      <c r="K34" s="398"/>
      <c r="L34" s="408">
        <f>+G34</f>
        <v>3.8050000000000002</v>
      </c>
      <c r="M34" s="408">
        <f>+H34</f>
        <v>0</v>
      </c>
      <c r="N34" s="398" t="s">
        <v>1019</v>
      </c>
      <c r="S34" s="93"/>
      <c r="T34" s="93"/>
      <c r="U34" s="93"/>
      <c r="V34" s="93"/>
      <c r="W34" s="93"/>
      <c r="X34" s="93"/>
      <c r="Y34" s="86"/>
      <c r="Z34" s="93"/>
      <c r="AA34" s="102"/>
      <c r="AF34" s="68"/>
      <c r="AH34" s="408"/>
      <c r="AI34" s="116"/>
      <c r="AK34" s="408"/>
      <c r="AL34" s="116"/>
    </row>
    <row r="35" spans="1:38" x14ac:dyDescent="0.2">
      <c r="A35" s="395">
        <v>24</v>
      </c>
      <c r="B35" s="513"/>
      <c r="C35" s="517" t="s">
        <v>1011</v>
      </c>
      <c r="G35" s="408">
        <v>0</v>
      </c>
      <c r="H35" s="408">
        <f>0.04005*100</f>
        <v>4.0049999999999999</v>
      </c>
      <c r="I35" s="398" t="s">
        <v>1019</v>
      </c>
      <c r="J35" s="398"/>
      <c r="K35" s="398"/>
      <c r="L35" s="408">
        <f t="shared" ref="L35:L41" si="1">+G35</f>
        <v>0</v>
      </c>
      <c r="M35" s="408">
        <f t="shared" ref="M35:M41" si="2">+H35</f>
        <v>4.0049999999999999</v>
      </c>
      <c r="N35" s="398" t="s">
        <v>1019</v>
      </c>
      <c r="S35" s="68"/>
      <c r="T35" s="68"/>
      <c r="U35" s="68"/>
      <c r="V35" s="68"/>
      <c r="W35" s="68"/>
      <c r="X35" s="68"/>
      <c r="Y35" s="86"/>
      <c r="Z35" s="68"/>
      <c r="AA35" s="68"/>
      <c r="AC35" s="74"/>
      <c r="AD35" s="395"/>
      <c r="AE35" s="395"/>
      <c r="AF35" s="68"/>
      <c r="AG35" s="68"/>
      <c r="AH35" s="500"/>
      <c r="AI35" s="500"/>
      <c r="AK35" s="500"/>
      <c r="AL35" s="500"/>
    </row>
    <row r="36" spans="1:38" x14ac:dyDescent="0.2">
      <c r="A36" s="395">
        <v>25</v>
      </c>
      <c r="B36" s="513"/>
      <c r="C36" s="517" t="s">
        <v>1012</v>
      </c>
      <c r="G36" s="408">
        <v>0</v>
      </c>
      <c r="H36" s="408">
        <f>0.03719*100</f>
        <v>3.7190000000000003</v>
      </c>
      <c r="I36" s="398" t="s">
        <v>1019</v>
      </c>
      <c r="J36" s="398"/>
      <c r="K36" s="398"/>
      <c r="L36" s="408">
        <f t="shared" si="1"/>
        <v>0</v>
      </c>
      <c r="M36" s="408">
        <f t="shared" si="2"/>
        <v>3.7190000000000003</v>
      </c>
      <c r="N36" s="398" t="s">
        <v>1019</v>
      </c>
      <c r="S36" s="93"/>
      <c r="T36" s="93"/>
      <c r="U36" s="93"/>
      <c r="V36" s="93"/>
      <c r="W36" s="93"/>
      <c r="X36" s="93"/>
      <c r="Y36" s="86"/>
      <c r="Z36" s="93"/>
      <c r="AA36" s="102"/>
      <c r="AC36" s="74"/>
      <c r="AD36" s="395"/>
      <c r="AE36" s="395"/>
      <c r="AF36" s="68"/>
      <c r="AG36" s="68"/>
      <c r="AH36" s="500"/>
      <c r="AI36" s="500"/>
      <c r="AK36" s="500"/>
      <c r="AL36" s="500"/>
    </row>
    <row r="37" spans="1:38" x14ac:dyDescent="0.2">
      <c r="A37" s="395">
        <v>26</v>
      </c>
      <c r="B37" s="513"/>
      <c r="C37" s="398" t="s">
        <v>997</v>
      </c>
      <c r="D37" s="402"/>
      <c r="G37" s="93">
        <v>0.67</v>
      </c>
      <c r="H37" s="93">
        <v>0.67</v>
      </c>
      <c r="I37" s="398" t="s">
        <v>1018</v>
      </c>
      <c r="J37" s="398"/>
      <c r="K37" s="398"/>
      <c r="L37" s="93">
        <f t="shared" si="1"/>
        <v>0.67</v>
      </c>
      <c r="M37" s="93">
        <f t="shared" si="2"/>
        <v>0.67</v>
      </c>
      <c r="N37" s="398" t="s">
        <v>1018</v>
      </c>
      <c r="S37" s="93"/>
      <c r="T37" s="93"/>
      <c r="U37" s="93"/>
      <c r="V37" s="93"/>
      <c r="W37" s="93"/>
      <c r="X37" s="93"/>
      <c r="Y37" s="86"/>
      <c r="Z37" s="93"/>
      <c r="AA37" s="102"/>
      <c r="AC37" s="74"/>
      <c r="AD37" s="395"/>
      <c r="AE37" s="395"/>
      <c r="AF37" s="68"/>
      <c r="AG37" s="68"/>
      <c r="AH37" s="408"/>
      <c r="AI37" s="408"/>
      <c r="AK37" s="408"/>
      <c r="AL37" s="408"/>
    </row>
    <row r="38" spans="1:38" x14ac:dyDescent="0.2">
      <c r="A38" s="395">
        <v>27</v>
      </c>
      <c r="B38" s="513"/>
      <c r="C38" s="398" t="s">
        <v>998</v>
      </c>
      <c r="D38" s="402"/>
      <c r="G38" s="93">
        <v>0.17</v>
      </c>
      <c r="H38" s="93">
        <v>0.17</v>
      </c>
      <c r="I38" s="398" t="s">
        <v>1018</v>
      </c>
      <c r="J38" s="398"/>
      <c r="K38" s="398"/>
      <c r="L38" s="93">
        <f t="shared" si="1"/>
        <v>0.17</v>
      </c>
      <c r="M38" s="93">
        <f t="shared" si="2"/>
        <v>0.17</v>
      </c>
      <c r="N38" s="398" t="s">
        <v>1018</v>
      </c>
      <c r="S38" s="93"/>
      <c r="T38" s="93"/>
      <c r="U38" s="93"/>
      <c r="V38" s="93"/>
      <c r="W38" s="93"/>
      <c r="X38" s="93"/>
      <c r="Y38" s="86"/>
      <c r="Z38" s="93"/>
      <c r="AA38" s="102"/>
      <c r="AH38" s="395"/>
      <c r="AI38" s="395"/>
      <c r="AJ38" s="395"/>
      <c r="AK38" s="500"/>
      <c r="AL38" s="500"/>
    </row>
    <row r="39" spans="1:38" x14ac:dyDescent="0.2">
      <c r="A39" s="395">
        <v>28</v>
      </c>
      <c r="B39" s="513"/>
      <c r="C39" s="398" t="s">
        <v>999</v>
      </c>
      <c r="D39" s="402"/>
      <c r="G39" s="93">
        <v>0.86</v>
      </c>
      <c r="H39" s="93">
        <v>0.86</v>
      </c>
      <c r="I39" s="398" t="s">
        <v>1018</v>
      </c>
      <c r="J39" s="398"/>
      <c r="K39" s="398"/>
      <c r="L39" s="93">
        <f t="shared" si="1"/>
        <v>0.86</v>
      </c>
      <c r="M39" s="93">
        <f t="shared" si="2"/>
        <v>0.86</v>
      </c>
      <c r="N39" s="398" t="s">
        <v>1018</v>
      </c>
      <c r="S39" s="93"/>
      <c r="T39" s="93"/>
      <c r="U39" s="93"/>
      <c r="V39" s="93"/>
      <c r="W39" s="93"/>
      <c r="X39" s="93"/>
      <c r="Y39" s="86"/>
      <c r="Z39" s="93"/>
      <c r="AA39" s="102"/>
      <c r="AH39" s="395"/>
      <c r="AI39" s="395"/>
      <c r="AJ39" s="395"/>
      <c r="AK39" s="500"/>
      <c r="AL39" s="500"/>
    </row>
    <row r="40" spans="1:38" x14ac:dyDescent="0.2">
      <c r="A40" s="395">
        <v>29</v>
      </c>
      <c r="C40" s="398" t="s">
        <v>1000</v>
      </c>
      <c r="D40" s="402"/>
      <c r="G40" s="408">
        <f>0.00071*100</f>
        <v>7.1000000000000008E-2</v>
      </c>
      <c r="H40" s="408">
        <f>0.00071*100</f>
        <v>7.1000000000000008E-2</v>
      </c>
      <c r="I40" s="398" t="s">
        <v>1019</v>
      </c>
      <c r="J40" s="398"/>
      <c r="K40" s="398"/>
      <c r="L40" s="408">
        <f t="shared" si="1"/>
        <v>7.1000000000000008E-2</v>
      </c>
      <c r="M40" s="408">
        <f t="shared" si="2"/>
        <v>7.1000000000000008E-2</v>
      </c>
      <c r="N40" s="398" t="s">
        <v>1019</v>
      </c>
      <c r="X40" s="68"/>
      <c r="Y40" s="68"/>
      <c r="Z40" s="68"/>
      <c r="AA40" s="68"/>
      <c r="AC40" s="74"/>
      <c r="AD40" s="395"/>
      <c r="AE40" s="395"/>
      <c r="AF40" s="94"/>
      <c r="AH40" s="94"/>
      <c r="AI40" s="94"/>
      <c r="AK40" s="94"/>
      <c r="AL40" s="94"/>
    </row>
    <row r="41" spans="1:38" x14ac:dyDescent="0.2">
      <c r="A41" s="395">
        <v>30</v>
      </c>
      <c r="B41" s="513"/>
      <c r="C41" s="398" t="s">
        <v>1001</v>
      </c>
      <c r="D41" s="402"/>
      <c r="G41" s="500">
        <v>0.6</v>
      </c>
      <c r="H41" s="500">
        <v>0.6</v>
      </c>
      <c r="I41" s="398" t="s">
        <v>1018</v>
      </c>
      <c r="J41" s="398"/>
      <c r="K41" s="398"/>
      <c r="L41" s="500">
        <f t="shared" si="1"/>
        <v>0.6</v>
      </c>
      <c r="M41" s="500">
        <f t="shared" si="2"/>
        <v>0.6</v>
      </c>
      <c r="N41" s="398" t="s">
        <v>1018</v>
      </c>
      <c r="S41" s="93"/>
      <c r="T41" s="93"/>
      <c r="U41" s="93"/>
      <c r="V41" s="93"/>
      <c r="W41" s="93"/>
      <c r="X41" s="93"/>
      <c r="Y41" s="86"/>
      <c r="Z41" s="93"/>
      <c r="AA41" s="102"/>
      <c r="AC41" s="74"/>
      <c r="AK41" s="84"/>
      <c r="AL41" s="84"/>
    </row>
    <row r="42" spans="1:38" x14ac:dyDescent="0.2">
      <c r="A42" s="395">
        <v>31</v>
      </c>
      <c r="B42" s="513"/>
      <c r="C42" s="395" t="s">
        <v>1692</v>
      </c>
      <c r="G42" s="516">
        <v>2.7E-2</v>
      </c>
      <c r="H42" s="516">
        <v>2.7E-2</v>
      </c>
      <c r="I42" s="395" t="s">
        <v>1019</v>
      </c>
      <c r="J42" s="395"/>
      <c r="K42" s="395"/>
      <c r="L42" s="515"/>
      <c r="M42" s="515"/>
      <c r="N42" s="395"/>
      <c r="S42" s="93"/>
      <c r="T42" s="93"/>
      <c r="U42" s="93"/>
      <c r="V42" s="93"/>
      <c r="W42" s="93"/>
      <c r="X42" s="93"/>
      <c r="Y42" s="86"/>
      <c r="Z42" s="93"/>
      <c r="AA42" s="102"/>
    </row>
    <row r="43" spans="1:38" x14ac:dyDescent="0.2">
      <c r="A43" s="395">
        <v>32</v>
      </c>
      <c r="B43" s="513"/>
      <c r="S43" s="93"/>
      <c r="T43" s="93"/>
      <c r="U43" s="93"/>
      <c r="V43" s="93"/>
      <c r="W43" s="93"/>
      <c r="X43" s="93"/>
      <c r="Y43" s="86"/>
      <c r="Z43" s="93"/>
      <c r="AA43" s="102"/>
    </row>
    <row r="44" spans="1:38" x14ac:dyDescent="0.2">
      <c r="A44" s="395">
        <v>33</v>
      </c>
      <c r="C44" s="68" t="s">
        <v>1013</v>
      </c>
      <c r="X44" s="68"/>
      <c r="Y44" s="68"/>
      <c r="Z44" s="68"/>
      <c r="AA44" s="68"/>
      <c r="AH44" s="518"/>
    </row>
    <row r="45" spans="1:38" x14ac:dyDescent="0.2">
      <c r="A45" s="395">
        <v>34</v>
      </c>
      <c r="C45" s="68" t="s">
        <v>1030</v>
      </c>
      <c r="X45" s="68"/>
      <c r="Y45" s="68"/>
      <c r="Z45" s="68"/>
      <c r="AA45" s="68"/>
      <c r="AH45" s="519"/>
    </row>
    <row r="46" spans="1:38" x14ac:dyDescent="0.2">
      <c r="A46" s="395">
        <v>35</v>
      </c>
      <c r="B46" s="494"/>
      <c r="C46" s="68" t="s">
        <v>1031</v>
      </c>
      <c r="S46" s="68"/>
      <c r="T46" s="68"/>
      <c r="U46" s="68"/>
      <c r="V46" s="68"/>
      <c r="W46" s="68"/>
      <c r="X46" s="68"/>
      <c r="Y46" s="68"/>
      <c r="Z46" s="68"/>
      <c r="AA46" s="68"/>
    </row>
    <row r="47" spans="1:38" x14ac:dyDescent="0.2">
      <c r="A47" s="395">
        <v>36</v>
      </c>
      <c r="B47" s="494"/>
      <c r="C47" s="68" t="s">
        <v>1032</v>
      </c>
      <c r="T47" s="68"/>
      <c r="U47" s="68"/>
      <c r="V47" s="68"/>
      <c r="W47" s="68"/>
      <c r="X47" s="68"/>
      <c r="Y47" s="68"/>
      <c r="Z47" s="68"/>
      <c r="AA47" s="68"/>
      <c r="AH47" s="519"/>
    </row>
    <row r="48" spans="1:38" x14ac:dyDescent="0.2">
      <c r="A48" s="395">
        <v>37</v>
      </c>
      <c r="B48" s="494"/>
      <c r="C48" s="68" t="s">
        <v>1689</v>
      </c>
      <c r="T48" s="68"/>
      <c r="U48" s="68"/>
      <c r="V48" s="68"/>
      <c r="W48" s="68"/>
      <c r="X48" s="68"/>
      <c r="Y48" s="68"/>
      <c r="Z48" s="68"/>
      <c r="AA48" s="68"/>
      <c r="AH48" s="519"/>
      <c r="AI48" s="519"/>
    </row>
    <row r="49" spans="1:35" x14ac:dyDescent="0.2">
      <c r="A49" s="395">
        <v>38</v>
      </c>
      <c r="B49" s="494"/>
      <c r="C49" s="68" t="s">
        <v>1038</v>
      </c>
      <c r="T49" s="68"/>
      <c r="U49" s="68"/>
      <c r="V49" s="68"/>
      <c r="W49" s="68"/>
      <c r="X49" s="68"/>
      <c r="Y49" s="68"/>
      <c r="Z49" s="68"/>
      <c r="AA49" s="68"/>
      <c r="AI49" s="519"/>
    </row>
    <row r="50" spans="1:35" x14ac:dyDescent="0.2">
      <c r="A50" s="395">
        <v>39</v>
      </c>
      <c r="B50" s="494"/>
      <c r="O50" s="68"/>
      <c r="P50" s="68"/>
      <c r="Q50" s="68"/>
      <c r="T50" s="68"/>
      <c r="U50" s="68"/>
      <c r="V50" s="68"/>
      <c r="W50" s="68"/>
      <c r="X50" s="68"/>
      <c r="Y50" s="68"/>
      <c r="Z50" s="68"/>
      <c r="AA50" s="68"/>
    </row>
    <row r="51" spans="1:35" x14ac:dyDescent="0.2">
      <c r="A51" s="395">
        <v>40</v>
      </c>
      <c r="B51" s="395"/>
      <c r="O51" s="405"/>
      <c r="P51" s="405"/>
      <c r="Q51" s="68"/>
      <c r="T51" s="405"/>
      <c r="U51" s="405"/>
      <c r="V51" s="405"/>
      <c r="W51" s="405"/>
      <c r="X51" s="405"/>
      <c r="Y51" s="405"/>
      <c r="Z51" s="405"/>
      <c r="AA51" s="405"/>
    </row>
    <row r="52" spans="1:35" x14ac:dyDescent="0.2">
      <c r="A52" s="395">
        <v>41</v>
      </c>
      <c r="B52" s="395"/>
      <c r="C52" s="68"/>
      <c r="O52" s="405"/>
      <c r="P52" s="405"/>
      <c r="Q52" s="68"/>
      <c r="T52" s="405"/>
      <c r="U52" s="405"/>
      <c r="V52" s="405"/>
      <c r="W52" s="405"/>
      <c r="X52" s="405"/>
      <c r="Y52" s="405"/>
      <c r="Z52" s="405"/>
      <c r="AA52" s="405"/>
    </row>
    <row r="53" spans="1:35" ht="13.5" thickBot="1" x14ac:dyDescent="0.25">
      <c r="A53" s="396">
        <v>42</v>
      </c>
      <c r="B53" s="396"/>
      <c r="C53" s="504"/>
      <c r="D53" s="504"/>
      <c r="E53" s="504"/>
      <c r="F53" s="504"/>
      <c r="G53" s="396"/>
      <c r="H53" s="396"/>
      <c r="I53" s="396"/>
      <c r="J53" s="396"/>
      <c r="K53" s="396"/>
      <c r="L53" s="396"/>
      <c r="M53" s="396"/>
      <c r="N53" s="396"/>
      <c r="O53" s="396"/>
      <c r="P53" s="396"/>
      <c r="Q53" s="396"/>
      <c r="R53" s="396"/>
      <c r="S53" s="396"/>
      <c r="T53" s="396"/>
      <c r="U53" s="396"/>
      <c r="V53" s="396"/>
      <c r="W53" s="396"/>
      <c r="X53" s="396"/>
      <c r="Y53" s="396"/>
      <c r="Z53" s="396"/>
      <c r="AA53" s="396"/>
      <c r="AB53" s="504"/>
    </row>
    <row r="54" spans="1:35" x14ac:dyDescent="0.2">
      <c r="A54" s="395" t="s">
        <v>1002</v>
      </c>
      <c r="B54" s="395"/>
      <c r="C54" s="395"/>
      <c r="D54" s="395"/>
      <c r="E54" s="395"/>
      <c r="F54" s="395"/>
      <c r="G54" s="395"/>
      <c r="H54" s="395"/>
      <c r="I54" s="395"/>
      <c r="J54" s="395"/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 t="s">
        <v>1003</v>
      </c>
      <c r="Y54" s="395"/>
      <c r="Z54" s="395"/>
    </row>
    <row r="55" spans="1:35" ht="13.5" thickBot="1" x14ac:dyDescent="0.25">
      <c r="A55" s="396" t="s">
        <v>943</v>
      </c>
      <c r="B55" s="396"/>
      <c r="C55" s="396"/>
      <c r="D55" s="396"/>
      <c r="E55" s="396"/>
      <c r="F55" s="396"/>
      <c r="G55" s="396"/>
      <c r="H55" s="396"/>
      <c r="I55" s="396"/>
      <c r="J55" s="396" t="s">
        <v>944</v>
      </c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6"/>
      <c r="V55" s="396"/>
      <c r="W55" s="396"/>
      <c r="X55" s="396"/>
      <c r="Y55" s="578" t="s">
        <v>1033</v>
      </c>
      <c r="Z55" s="578"/>
      <c r="AA55" s="504"/>
      <c r="AB55" s="504"/>
    </row>
    <row r="56" spans="1:35" x14ac:dyDescent="0.2">
      <c r="A56" s="395" t="s">
        <v>307</v>
      </c>
      <c r="B56" s="395"/>
      <c r="C56" s="395"/>
      <c r="D56" s="395"/>
      <c r="E56" s="395"/>
      <c r="F56" s="395"/>
      <c r="G56" s="395" t="s">
        <v>946</v>
      </c>
      <c r="H56" s="395"/>
      <c r="I56" s="395"/>
      <c r="J56" s="395" t="s">
        <v>947</v>
      </c>
      <c r="K56" s="395"/>
      <c r="L56" s="395"/>
      <c r="M56" s="398"/>
      <c r="N56" s="398"/>
      <c r="O56" s="398"/>
      <c r="P56" s="395"/>
      <c r="Q56" s="398"/>
      <c r="R56" s="398"/>
      <c r="S56" s="398"/>
      <c r="T56" s="398"/>
      <c r="U56" s="398"/>
      <c r="V56" s="398"/>
      <c r="W56" s="397" t="s">
        <v>847</v>
      </c>
      <c r="X56" s="395"/>
      <c r="Y56" s="395"/>
      <c r="Z56" s="398"/>
    </row>
    <row r="57" spans="1:35" x14ac:dyDescent="0.2">
      <c r="A57" s="395"/>
      <c r="B57" s="395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9"/>
      <c r="N57" s="398"/>
      <c r="O57" s="398"/>
      <c r="P57" s="395"/>
      <c r="Q57" s="395"/>
      <c r="R57" s="395"/>
      <c r="S57" s="395"/>
      <c r="T57" s="395"/>
      <c r="U57" s="395"/>
      <c r="V57" s="399"/>
      <c r="W57" s="399" t="s">
        <v>919</v>
      </c>
      <c r="X57" s="398" t="s">
        <v>920</v>
      </c>
      <c r="Y57" s="395"/>
      <c r="Z57" s="399"/>
    </row>
    <row r="58" spans="1:35" x14ac:dyDescent="0.2">
      <c r="A58" s="395" t="s">
        <v>310</v>
      </c>
      <c r="B58" s="395"/>
      <c r="C58" s="395"/>
      <c r="D58" s="395"/>
      <c r="E58" s="395"/>
      <c r="F58" s="395"/>
      <c r="G58" s="395"/>
      <c r="H58" s="395"/>
      <c r="I58" s="395"/>
      <c r="J58" s="395"/>
      <c r="K58" s="395"/>
      <c r="L58" s="395"/>
      <c r="M58" s="399"/>
      <c r="N58" s="398"/>
      <c r="O58" s="398"/>
      <c r="P58" s="399"/>
      <c r="Q58" s="395"/>
      <c r="R58" s="395"/>
      <c r="S58" s="395"/>
      <c r="T58" s="395"/>
      <c r="U58" s="395"/>
      <c r="V58" s="395"/>
      <c r="X58" s="398" t="s">
        <v>937</v>
      </c>
      <c r="Y58" s="395"/>
      <c r="Z58" s="399"/>
    </row>
    <row r="59" spans="1:35" x14ac:dyDescent="0.2">
      <c r="A59" s="395"/>
      <c r="B59" s="395"/>
      <c r="C59" s="395"/>
      <c r="D59" s="395"/>
      <c r="E59" s="395"/>
      <c r="F59" s="395"/>
      <c r="G59" s="395"/>
      <c r="H59" s="575" t="s">
        <v>1034</v>
      </c>
      <c r="I59" s="575"/>
      <c r="J59" s="575"/>
      <c r="K59" s="575"/>
      <c r="L59" s="575"/>
      <c r="M59" s="575"/>
      <c r="N59" s="575"/>
      <c r="O59" s="575"/>
      <c r="P59" s="575"/>
      <c r="Q59" s="575"/>
      <c r="R59" s="575"/>
      <c r="S59" s="395"/>
      <c r="T59" s="395"/>
      <c r="U59" s="395"/>
      <c r="V59" s="395"/>
      <c r="X59" s="398" t="s">
        <v>938</v>
      </c>
      <c r="Y59" s="395"/>
      <c r="Z59" s="399"/>
    </row>
    <row r="60" spans="1:35" ht="13.5" thickBot="1" x14ac:dyDescent="0.25">
      <c r="A60" s="396" t="s">
        <v>1022</v>
      </c>
      <c r="B60" s="396"/>
      <c r="C60" s="396"/>
      <c r="D60" s="396"/>
      <c r="E60" s="396"/>
      <c r="F60" s="396"/>
      <c r="G60" s="396"/>
      <c r="H60" s="396"/>
      <c r="I60" s="396"/>
      <c r="J60" s="396"/>
      <c r="K60" s="396"/>
      <c r="L60" s="396"/>
      <c r="M60" s="400"/>
      <c r="N60" s="396"/>
      <c r="O60" s="396"/>
      <c r="P60" s="396"/>
      <c r="Q60" s="396"/>
      <c r="R60" s="396"/>
      <c r="S60" s="396"/>
      <c r="T60" s="396"/>
      <c r="U60" s="396"/>
      <c r="V60" s="396"/>
      <c r="W60" s="504"/>
      <c r="X60" s="396" t="s">
        <v>311</v>
      </c>
      <c r="Y60" s="396"/>
      <c r="Z60" s="396"/>
      <c r="AA60" s="504"/>
      <c r="AB60" s="504"/>
    </row>
    <row r="61" spans="1:35" x14ac:dyDescent="0.2">
      <c r="A61" s="395"/>
      <c r="B61" s="577" t="s">
        <v>949</v>
      </c>
      <c r="C61" s="577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</row>
    <row r="62" spans="1:35" x14ac:dyDescent="0.2">
      <c r="A62" s="395"/>
      <c r="B62" s="574" t="s">
        <v>453</v>
      </c>
      <c r="C62" s="574"/>
      <c r="D62" s="576" t="s">
        <v>950</v>
      </c>
      <c r="E62" s="576"/>
      <c r="F62" s="576"/>
      <c r="G62" s="576"/>
      <c r="H62" s="576"/>
      <c r="I62" s="576"/>
      <c r="J62" s="576"/>
      <c r="K62" s="576"/>
      <c r="L62" s="576"/>
      <c r="M62" s="576"/>
      <c r="N62" s="576" t="s">
        <v>951</v>
      </c>
      <c r="O62" s="576"/>
      <c r="P62" s="576"/>
      <c r="Q62" s="576"/>
      <c r="R62" s="576"/>
      <c r="S62" s="576"/>
      <c r="T62" s="576"/>
      <c r="U62" s="576"/>
      <c r="V62" s="576"/>
      <c r="W62" s="576" t="s">
        <v>952</v>
      </c>
      <c r="X62" s="576"/>
      <c r="Y62" s="576" t="s">
        <v>953</v>
      </c>
      <c r="Z62" s="576"/>
    </row>
    <row r="63" spans="1:35" x14ac:dyDescent="0.2">
      <c r="A63" s="395"/>
      <c r="B63" s="402" t="s">
        <v>848</v>
      </c>
      <c r="C63" s="402" t="s">
        <v>849</v>
      </c>
      <c r="D63" s="505" t="s">
        <v>850</v>
      </c>
      <c r="E63" s="402" t="s">
        <v>851</v>
      </c>
      <c r="F63" s="402" t="s">
        <v>954</v>
      </c>
      <c r="G63" s="401" t="s">
        <v>955</v>
      </c>
      <c r="H63" s="401" t="s">
        <v>956</v>
      </c>
      <c r="I63" s="401" t="s">
        <v>957</v>
      </c>
      <c r="J63" s="401" t="s">
        <v>958</v>
      </c>
      <c r="K63" s="506" t="s">
        <v>959</v>
      </c>
      <c r="L63" s="506" t="s">
        <v>960</v>
      </c>
      <c r="M63" s="507" t="s">
        <v>961</v>
      </c>
      <c r="N63" s="401" t="s">
        <v>962</v>
      </c>
      <c r="O63" s="401" t="s">
        <v>963</v>
      </c>
      <c r="P63" s="401" t="s">
        <v>964</v>
      </c>
      <c r="Q63" s="401" t="s">
        <v>965</v>
      </c>
      <c r="R63" s="401" t="s">
        <v>966</v>
      </c>
      <c r="S63" s="401" t="s">
        <v>967</v>
      </c>
      <c r="T63" s="401" t="s">
        <v>968</v>
      </c>
      <c r="U63" s="506" t="s">
        <v>969</v>
      </c>
      <c r="V63" s="507" t="s">
        <v>970</v>
      </c>
      <c r="W63" s="507" t="s">
        <v>971</v>
      </c>
      <c r="X63" s="401" t="s">
        <v>972</v>
      </c>
      <c r="Y63" s="401" t="s">
        <v>1020</v>
      </c>
      <c r="Z63" s="401" t="s">
        <v>1027</v>
      </c>
      <c r="AA63" s="520"/>
      <c r="AB63" s="401"/>
    </row>
    <row r="64" spans="1:35" x14ac:dyDescent="0.2">
      <c r="A64" s="395" t="s">
        <v>314</v>
      </c>
      <c r="B64" s="402" t="s">
        <v>973</v>
      </c>
      <c r="C64" s="402"/>
      <c r="D64" s="508" t="s">
        <v>974</v>
      </c>
      <c r="E64" s="402" t="s">
        <v>975</v>
      </c>
      <c r="F64" s="402" t="s">
        <v>976</v>
      </c>
      <c r="G64" s="401" t="s">
        <v>977</v>
      </c>
      <c r="H64" s="402" t="s">
        <v>978</v>
      </c>
      <c r="I64" s="402" t="s">
        <v>1693</v>
      </c>
      <c r="J64" s="402" t="s">
        <v>979</v>
      </c>
      <c r="K64" s="402" t="s">
        <v>1690</v>
      </c>
      <c r="L64" s="402" t="s">
        <v>980</v>
      </c>
      <c r="M64" s="509" t="s">
        <v>718</v>
      </c>
      <c r="N64" s="402" t="s">
        <v>974</v>
      </c>
      <c r="O64" s="402" t="s">
        <v>975</v>
      </c>
      <c r="P64" s="401" t="s">
        <v>976</v>
      </c>
      <c r="Q64" s="401" t="s">
        <v>977</v>
      </c>
      <c r="R64" s="402" t="s">
        <v>978</v>
      </c>
      <c r="S64" s="402" t="s">
        <v>1693</v>
      </c>
      <c r="T64" s="402" t="s">
        <v>979</v>
      </c>
      <c r="U64" s="402" t="s">
        <v>980</v>
      </c>
      <c r="V64" s="509" t="s">
        <v>718</v>
      </c>
      <c r="W64" s="401" t="s">
        <v>981</v>
      </c>
      <c r="X64" s="509" t="s">
        <v>982</v>
      </c>
      <c r="Y64" s="402" t="s">
        <v>983</v>
      </c>
      <c r="Z64" s="402" t="s">
        <v>984</v>
      </c>
    </row>
    <row r="65" spans="1:29" ht="13.5" thickBot="1" x14ac:dyDescent="0.25">
      <c r="A65" s="396" t="s">
        <v>320</v>
      </c>
      <c r="B65" s="510" t="s">
        <v>985</v>
      </c>
      <c r="C65" s="80" t="s">
        <v>986</v>
      </c>
      <c r="D65" s="81" t="s">
        <v>987</v>
      </c>
      <c r="E65" s="80" t="s">
        <v>988</v>
      </c>
      <c r="F65" s="80" t="s">
        <v>988</v>
      </c>
      <c r="G65" s="403" t="s">
        <v>988</v>
      </c>
      <c r="H65" s="80" t="s">
        <v>988</v>
      </c>
      <c r="I65" s="80" t="s">
        <v>1694</v>
      </c>
      <c r="J65" s="80" t="s">
        <v>988</v>
      </c>
      <c r="K65" s="80" t="s">
        <v>1691</v>
      </c>
      <c r="L65" s="80" t="s">
        <v>988</v>
      </c>
      <c r="M65" s="82"/>
      <c r="N65" s="403" t="s">
        <v>987</v>
      </c>
      <c r="O65" s="403" t="s">
        <v>988</v>
      </c>
      <c r="P65" s="403" t="s">
        <v>988</v>
      </c>
      <c r="Q65" s="403" t="s">
        <v>988</v>
      </c>
      <c r="R65" s="80" t="s">
        <v>988</v>
      </c>
      <c r="S65" s="80" t="s">
        <v>1694</v>
      </c>
      <c r="T65" s="80" t="s">
        <v>988</v>
      </c>
      <c r="U65" s="80" t="s">
        <v>988</v>
      </c>
      <c r="V65" s="82"/>
      <c r="W65" s="80" t="s">
        <v>1695</v>
      </c>
      <c r="X65" s="82" t="s">
        <v>1696</v>
      </c>
      <c r="Y65" s="400" t="s">
        <v>1697</v>
      </c>
      <c r="Z65" s="400" t="s">
        <v>1698</v>
      </c>
    </row>
    <row r="66" spans="1:29" x14ac:dyDescent="0.2">
      <c r="A66" s="395">
        <v>1</v>
      </c>
      <c r="B66" s="511">
        <v>10000</v>
      </c>
      <c r="C66" s="68">
        <f>+B66*730*0.35</f>
        <v>2555000</v>
      </c>
      <c r="D66" s="85">
        <f>+$G$80+$B66*$G$81+($C66*$G$84)/100</f>
        <v>124825.04999999999</v>
      </c>
      <c r="E66" s="84">
        <f>+$C66*$G$88/100</f>
        <v>96221.3</v>
      </c>
      <c r="F66" s="84">
        <f>+$B66*$G$91</f>
        <v>7100</v>
      </c>
      <c r="G66" s="84">
        <f>+$B66*$G$92</f>
        <v>1900</v>
      </c>
      <c r="H66" s="84">
        <f>+$C66*$G$94/100</f>
        <v>1890.7</v>
      </c>
      <c r="I66" s="84">
        <f>+$B66*$G$93</f>
        <v>3100</v>
      </c>
      <c r="J66" s="84">
        <f>+$B66*$G$95</f>
        <v>1200</v>
      </c>
      <c r="K66" s="84">
        <f>+$C66*$G$96/100</f>
        <v>153.30000000000001</v>
      </c>
      <c r="L66" s="84">
        <f>+SUM(D66:K66)*0.025641</f>
        <v>6061.2849643499994</v>
      </c>
      <c r="M66" s="84">
        <f>SUM(D66:L66)</f>
        <v>242451.63496434997</v>
      </c>
      <c r="N66" s="85">
        <f>+$L$80+$B66*$L$81+($C66*$L$84)/100</f>
        <v>161243.25</v>
      </c>
      <c r="O66" s="84">
        <f>+$C66*$L$88/100</f>
        <v>96221.3</v>
      </c>
      <c r="P66" s="84">
        <f>+$B66*$L$91</f>
        <v>7100</v>
      </c>
      <c r="Q66" s="84">
        <f>+$B66*$L$92</f>
        <v>1900</v>
      </c>
      <c r="R66" s="84">
        <f>+$C66*$L$94/100</f>
        <v>1890.7</v>
      </c>
      <c r="S66" s="84">
        <f>+$B66*$L$93</f>
        <v>3100</v>
      </c>
      <c r="T66" s="84">
        <f>+$B66*$L$95</f>
        <v>1200</v>
      </c>
      <c r="U66" s="84">
        <f>+SUM(N66:T66)*0.025641</f>
        <v>6991.15326525</v>
      </c>
      <c r="V66" s="84">
        <f>SUM(N66:U66)</f>
        <v>279646.40326524997</v>
      </c>
      <c r="W66" s="107">
        <f>V66-M66</f>
        <v>37194.768300900003</v>
      </c>
      <c r="X66" s="86">
        <f>+W66/M66</f>
        <v>0.15341108467414177</v>
      </c>
      <c r="Y66" s="96">
        <f>+M66/C66 *100</f>
        <v>9.4893007813835606</v>
      </c>
      <c r="Z66" s="108">
        <f>+V66/C66*100</f>
        <v>10.945064707054794</v>
      </c>
      <c r="AA66" s="101"/>
    </row>
    <row r="67" spans="1:29" x14ac:dyDescent="0.2">
      <c r="A67" s="395">
        <v>2</v>
      </c>
      <c r="B67" s="511">
        <v>10000</v>
      </c>
      <c r="C67" s="68">
        <f>+B67*730*0.6</f>
        <v>4380000</v>
      </c>
      <c r="D67" s="107">
        <f>+$G$80+$B67*$G$81+($C67*$G$84)/100</f>
        <v>145830.79999999999</v>
      </c>
      <c r="E67" s="84">
        <f>+$C67*$G$88/100</f>
        <v>164950.79999999999</v>
      </c>
      <c r="F67" s="84">
        <f>+$B67*$G$91</f>
        <v>7100</v>
      </c>
      <c r="G67" s="84">
        <f>+$B67*$G$92</f>
        <v>1900</v>
      </c>
      <c r="H67" s="84">
        <f>+$C67*$G$94/100</f>
        <v>3241.2</v>
      </c>
      <c r="I67" s="84">
        <f>+$B67*$G$93</f>
        <v>3100</v>
      </c>
      <c r="J67" s="84">
        <f>+$B67*$G$95</f>
        <v>1200</v>
      </c>
      <c r="K67" s="84">
        <f t="shared" ref="K67:K76" si="3">+$C67*$G$96/100</f>
        <v>262.8</v>
      </c>
      <c r="L67" s="84">
        <f t="shared" ref="L67:L76" si="4">+SUM(D67:K67)*0.025641</f>
        <v>8399.6223695999997</v>
      </c>
      <c r="M67" s="84">
        <f>SUM(D67:L67)</f>
        <v>335985.22236959997</v>
      </c>
      <c r="N67" s="107">
        <f>+$L$80+$B67*$L$81+($C67*$L$84)/100</f>
        <v>182468</v>
      </c>
      <c r="O67" s="84">
        <f>+$C67*$L$88/100</f>
        <v>164950.79999999999</v>
      </c>
      <c r="P67" s="84">
        <f>+$B67*$L$91</f>
        <v>7100</v>
      </c>
      <c r="Q67" s="84">
        <f>+$B67*$L$92</f>
        <v>1900</v>
      </c>
      <c r="R67" s="84">
        <f>+$C67*$L$94/100</f>
        <v>3241.2</v>
      </c>
      <c r="S67" s="84">
        <f>+$B67*$L$93</f>
        <v>3100</v>
      </c>
      <c r="T67" s="84">
        <f>+$B67*$L$95</f>
        <v>1200</v>
      </c>
      <c r="U67" s="84">
        <f>+SUM(N67:T67)*0.025641</f>
        <v>9332.2983600000007</v>
      </c>
      <c r="V67" s="84">
        <f>SUM(N67:U67)</f>
        <v>373292.29836000002</v>
      </c>
      <c r="W67" s="107">
        <f>+V67-M67</f>
        <v>37307.075990400044</v>
      </c>
      <c r="X67" s="86">
        <f>+W67/M67</f>
        <v>0.11103784781748663</v>
      </c>
      <c r="Y67" s="110">
        <f>+M67/C67 *100</f>
        <v>7.6708954878904096</v>
      </c>
      <c r="Z67" s="108">
        <f>+V67/C67*100</f>
        <v>8.5226552136986307</v>
      </c>
      <c r="AA67" s="500"/>
      <c r="AB67" s="109"/>
    </row>
    <row r="68" spans="1:29" x14ac:dyDescent="0.2">
      <c r="A68" s="395">
        <v>3</v>
      </c>
      <c r="B68" s="511">
        <v>10000</v>
      </c>
      <c r="C68" s="68">
        <f>+B68*730*0.9</f>
        <v>6570000</v>
      </c>
      <c r="D68" s="107">
        <f>+$H$80+($B68*$H$82+$B68*$H83)+$C68/100*$H$85*0.25+$C68/100*H86*0.75</f>
        <v>171000.5</v>
      </c>
      <c r="E68" s="84">
        <f>+$C68*$H$89/100*0.25+C68*$H$90/100*0.75</f>
        <v>246539.25</v>
      </c>
      <c r="F68" s="84">
        <f>+$B68*$G$91</f>
        <v>7100</v>
      </c>
      <c r="G68" s="84">
        <f>+$B68*$H$92</f>
        <v>1900</v>
      </c>
      <c r="H68" s="84">
        <f>+$C68*$H$94/100</f>
        <v>4861.8</v>
      </c>
      <c r="I68" s="84">
        <f>+$B68*$H$93</f>
        <v>3100</v>
      </c>
      <c r="J68" s="84">
        <f>+$B68*$H$95</f>
        <v>1200</v>
      </c>
      <c r="K68" s="84">
        <f t="shared" si="3"/>
        <v>394.2</v>
      </c>
      <c r="L68" s="84">
        <f t="shared" si="4"/>
        <v>11181.931125749999</v>
      </c>
      <c r="M68" s="84">
        <f>SUM(D68:L68)</f>
        <v>447277.68112575001</v>
      </c>
      <c r="N68" s="107">
        <f>+$M$80+($B68*$M$82+$B68*$M83)+$C68/100*$M$85*0.25+$C68/100*M86*0.4+$C68/100*M87*0.35</f>
        <v>209356.82</v>
      </c>
      <c r="O68" s="84">
        <f>+$C68*$M$89/100*0.25+C68*$M$90/100*0.75</f>
        <v>246539.25</v>
      </c>
      <c r="P68" s="84">
        <f>+$B68*$L$91</f>
        <v>7100</v>
      </c>
      <c r="Q68" s="84">
        <f>+$B68*$M$92</f>
        <v>1900</v>
      </c>
      <c r="R68" s="84">
        <f>+$C68*$M$94/100</f>
        <v>4861.8</v>
      </c>
      <c r="S68" s="84">
        <f>+$B68*$M$93</f>
        <v>3100</v>
      </c>
      <c r="T68" s="84">
        <f>+$B68*$M$95</f>
        <v>1200</v>
      </c>
      <c r="U68" s="84">
        <f>+SUM(N68:T68)*0.025641</f>
        <v>12155.31784467</v>
      </c>
      <c r="V68" s="84">
        <f>SUM(N68:U68)</f>
        <v>486213.18784466997</v>
      </c>
      <c r="W68" s="107">
        <f>+V68-M68</f>
        <v>38935.506718919962</v>
      </c>
      <c r="X68" s="86">
        <f>+W68/M68</f>
        <v>8.7049965517893638E-2</v>
      </c>
      <c r="Y68" s="110">
        <f>+M68/C68 *100</f>
        <v>6.8078794691894986</v>
      </c>
      <c r="Z68" s="108">
        <f>+V68/C68*100</f>
        <v>7.4005051422324195</v>
      </c>
      <c r="AA68" s="500"/>
      <c r="AB68" s="111"/>
    </row>
    <row r="69" spans="1:29" x14ac:dyDescent="0.2">
      <c r="A69" s="395">
        <v>4</v>
      </c>
      <c r="D69" s="112"/>
      <c r="E69" s="113"/>
      <c r="F69" s="84"/>
      <c r="G69" s="113"/>
      <c r="H69" s="113"/>
      <c r="I69" s="113"/>
      <c r="J69" s="84"/>
      <c r="K69" s="84"/>
      <c r="L69" s="84"/>
      <c r="M69" s="113"/>
      <c r="N69" s="112"/>
      <c r="O69" s="113"/>
      <c r="P69" s="84"/>
      <c r="Q69" s="113"/>
      <c r="R69" s="113"/>
      <c r="S69" s="113"/>
      <c r="T69" s="84"/>
      <c r="U69" s="84"/>
      <c r="V69" s="113"/>
      <c r="W69" s="107"/>
      <c r="X69" s="86"/>
      <c r="Y69" s="114"/>
      <c r="Z69" s="115"/>
      <c r="AA69" s="500"/>
      <c r="AB69" s="111"/>
      <c r="AC69" s="101"/>
    </row>
    <row r="70" spans="1:29" x14ac:dyDescent="0.2">
      <c r="A70" s="395">
        <v>5</v>
      </c>
      <c r="B70" s="512">
        <v>12500</v>
      </c>
      <c r="C70" s="68">
        <f>+B70*730*0.35</f>
        <v>3193750</v>
      </c>
      <c r="D70" s="107">
        <f>+$G$80+$B70*$G$81+($C70*$G$84)/100</f>
        <v>155402.0625</v>
      </c>
      <c r="E70" s="84">
        <f>+$C70*$G$88/100</f>
        <v>120276.625</v>
      </c>
      <c r="F70" s="84">
        <f>+$B70*$G$91</f>
        <v>8875</v>
      </c>
      <c r="G70" s="84">
        <f>+$B70*$G$92</f>
        <v>2375</v>
      </c>
      <c r="H70" s="84">
        <f>+$C70*$G$94/100</f>
        <v>2363.375</v>
      </c>
      <c r="I70" s="84">
        <f>+$B70*$G$93</f>
        <v>3875</v>
      </c>
      <c r="J70" s="84">
        <f>+$B70*$G$95</f>
        <v>1500</v>
      </c>
      <c r="K70" s="84">
        <f t="shared" si="3"/>
        <v>191.625</v>
      </c>
      <c r="L70" s="84">
        <f t="shared" si="4"/>
        <v>7560.4716061875006</v>
      </c>
      <c r="M70" s="84">
        <f>SUM(D70:L70)</f>
        <v>302419.15910618752</v>
      </c>
      <c r="N70" s="107">
        <f>+$L$80+$B70*$L$81+($C70*$L$84)/100</f>
        <v>200596.91250000001</v>
      </c>
      <c r="O70" s="84">
        <f>+$C70*$L$88/100</f>
        <v>120276.625</v>
      </c>
      <c r="P70" s="84">
        <f>+$B70*$L$91</f>
        <v>8875</v>
      </c>
      <c r="Q70" s="84">
        <f>+$B70*$L$92</f>
        <v>2375</v>
      </c>
      <c r="R70" s="84">
        <f>+$C70*$L$94/100</f>
        <v>2363.375</v>
      </c>
      <c r="S70" s="84">
        <f>+$B70*$L$93</f>
        <v>3875</v>
      </c>
      <c r="T70" s="84">
        <f>+$B70*$L$95</f>
        <v>1500</v>
      </c>
      <c r="U70" s="84">
        <f>+SUM(N70:T70)*0.025641</f>
        <v>8714.3992984124998</v>
      </c>
      <c r="V70" s="84">
        <f>SUM(N70:U70)</f>
        <v>348576.31179841247</v>
      </c>
      <c r="W70" s="107">
        <f>+V70-M70</f>
        <v>46157.152692224947</v>
      </c>
      <c r="X70" s="86">
        <f>+W70/M70</f>
        <v>0.15262641701883023</v>
      </c>
      <c r="Y70" s="110">
        <f>+M70/C70 *100</f>
        <v>9.4690930444207435</v>
      </c>
      <c r="Z70" s="108">
        <f>+V70/C70*100</f>
        <v>10.91432678820861</v>
      </c>
      <c r="AC70" s="500"/>
    </row>
    <row r="71" spans="1:29" x14ac:dyDescent="0.2">
      <c r="A71" s="395">
        <v>6</v>
      </c>
      <c r="B71" s="512">
        <v>12500</v>
      </c>
      <c r="C71" s="68">
        <f>+B71*730*0.6</f>
        <v>5475000</v>
      </c>
      <c r="D71" s="107">
        <f>+$G$80+$B71*$G$81+($C71*$G$84)/100</f>
        <v>181659.25</v>
      </c>
      <c r="E71" s="84">
        <f>+$C71*$G$88/100</f>
        <v>206188.5</v>
      </c>
      <c r="F71" s="84">
        <f>+$B71*$G$91</f>
        <v>8875</v>
      </c>
      <c r="G71" s="84">
        <f>+$B71*$G$92</f>
        <v>2375</v>
      </c>
      <c r="H71" s="84">
        <f>+$C71*$G$94/100</f>
        <v>4051.5</v>
      </c>
      <c r="I71" s="84">
        <f>+$B71*$G$93</f>
        <v>3875</v>
      </c>
      <c r="J71" s="84">
        <f>+$B71*$G$95</f>
        <v>1500</v>
      </c>
      <c r="K71" s="84">
        <f t="shared" si="3"/>
        <v>328.5</v>
      </c>
      <c r="L71" s="84">
        <f t="shared" si="4"/>
        <v>10483.393362750001</v>
      </c>
      <c r="M71" s="84">
        <f>SUM(D71:L71)</f>
        <v>419336.14336275001</v>
      </c>
      <c r="N71" s="107">
        <f>+$L$80+$B71*$L$81+($C71*$L$84)/100</f>
        <v>227127.85</v>
      </c>
      <c r="O71" s="84">
        <f>+$C71*$L$88/100</f>
        <v>206188.5</v>
      </c>
      <c r="P71" s="84">
        <f>+$B71*$L$91</f>
        <v>8875</v>
      </c>
      <c r="Q71" s="84">
        <f>+$B71*$L$92</f>
        <v>2375</v>
      </c>
      <c r="R71" s="84">
        <f>+$C71*$L$94/100</f>
        <v>4051.5</v>
      </c>
      <c r="S71" s="84">
        <f>+$B71*$L$93</f>
        <v>3875</v>
      </c>
      <c r="T71" s="84">
        <f>+$B71*$L$95</f>
        <v>1500</v>
      </c>
      <c r="U71" s="84">
        <f>+SUM(N71:T71)*0.025641</f>
        <v>11640.830666849999</v>
      </c>
      <c r="V71" s="84">
        <f>SUM(N71:U71)</f>
        <v>465633.68066684995</v>
      </c>
      <c r="W71" s="107">
        <f>+V71-M71</f>
        <v>46297.53730409994</v>
      </c>
      <c r="X71" s="86">
        <f>+W71/M71</f>
        <v>0.11040674179151282</v>
      </c>
      <c r="Y71" s="110">
        <f>+M71/C71 *100</f>
        <v>7.6591076413287675</v>
      </c>
      <c r="Z71" s="108">
        <f>+V71/C71*100</f>
        <v>8.5047247610383554</v>
      </c>
      <c r="AA71" s="500"/>
      <c r="AC71" s="500"/>
    </row>
    <row r="72" spans="1:29" x14ac:dyDescent="0.2">
      <c r="A72" s="395">
        <v>7</v>
      </c>
      <c r="B72" s="512">
        <v>12500</v>
      </c>
      <c r="C72" s="68">
        <f>+B72*730*0.9</f>
        <v>8212500</v>
      </c>
      <c r="D72" s="107">
        <f>+$H$80+($B72*$H$82+$B72*$H83)+$C72/100*$H$85*0.25+$C72/100*H86*0.75</f>
        <v>213121.375</v>
      </c>
      <c r="E72" s="84">
        <f>+$C72*$H$89/100*0.25+C72*$H$90/100*0.75</f>
        <v>308174.0625</v>
      </c>
      <c r="F72" s="84">
        <f>+$B72*$G$91</f>
        <v>8875</v>
      </c>
      <c r="G72" s="84">
        <f>+$B72*$H$92</f>
        <v>2375</v>
      </c>
      <c r="H72" s="84">
        <f>+$C72*$H$94/100</f>
        <v>6077.25</v>
      </c>
      <c r="I72" s="84">
        <f>+$B72*$H$93</f>
        <v>3875</v>
      </c>
      <c r="J72" s="84">
        <f>+$B72*$H$95</f>
        <v>1500</v>
      </c>
      <c r="K72" s="84">
        <f t="shared" si="3"/>
        <v>492.75</v>
      </c>
      <c r="L72" s="84">
        <f t="shared" si="4"/>
        <v>13961.279307937501</v>
      </c>
      <c r="M72" s="84">
        <f>SUM(D72:L72)</f>
        <v>558451.71680793748</v>
      </c>
      <c r="N72" s="107">
        <f>+$M$80+($B72*$M$82+$B72*$M83)+$C72/100*$M$85*0.25+$C72/100*M86*0.4+$C72/100*M87*0.35</f>
        <v>260738.875</v>
      </c>
      <c r="O72" s="84">
        <f>+$C72*$M$89/100*0.25+C72*$M$90/100*0.75</f>
        <v>308174.0625</v>
      </c>
      <c r="P72" s="84">
        <f>+$B72*$L$91</f>
        <v>8875</v>
      </c>
      <c r="Q72" s="84">
        <f>+$B72*$M$92</f>
        <v>2375</v>
      </c>
      <c r="R72" s="84">
        <f>+$C72*$M$94/100</f>
        <v>6077.25</v>
      </c>
      <c r="S72" s="84">
        <f>+$B72*$M$93</f>
        <v>3875</v>
      </c>
      <c r="T72" s="84">
        <f>+$B72*$M$95</f>
        <v>1500</v>
      </c>
      <c r="U72" s="84">
        <f>+SUM(N72:T72)*0.025641</f>
        <v>15169.6050226875</v>
      </c>
      <c r="V72" s="84">
        <f>SUM(N72:U72)</f>
        <v>606784.79252268746</v>
      </c>
      <c r="W72" s="107">
        <f>+V72-M72</f>
        <v>48333.075714749983</v>
      </c>
      <c r="X72" s="86">
        <f>+W72/M72</f>
        <v>8.6548351916648641E-2</v>
      </c>
      <c r="Y72" s="110">
        <f>+M72/C72 *100</f>
        <v>6.8000209048150682</v>
      </c>
      <c r="Z72" s="108">
        <f>+V72/C72*100</f>
        <v>7.3885515071255705</v>
      </c>
      <c r="AA72" s="500"/>
      <c r="AC72" s="500"/>
    </row>
    <row r="73" spans="1:29" x14ac:dyDescent="0.2">
      <c r="A73" s="395">
        <v>8</v>
      </c>
      <c r="D73" s="112"/>
      <c r="E73" s="113"/>
      <c r="F73" s="84"/>
      <c r="G73" s="113"/>
      <c r="H73" s="113"/>
      <c r="I73" s="113"/>
      <c r="J73" s="84"/>
      <c r="K73" s="84"/>
      <c r="L73" s="84"/>
      <c r="M73" s="113"/>
      <c r="N73" s="112"/>
      <c r="O73" s="113"/>
      <c r="P73" s="84"/>
      <c r="Q73" s="113"/>
      <c r="R73" s="113"/>
      <c r="S73" s="113"/>
      <c r="T73" s="84"/>
      <c r="U73" s="84"/>
      <c r="V73" s="113"/>
      <c r="W73" s="107"/>
      <c r="X73" s="86"/>
      <c r="Y73" s="114"/>
      <c r="Z73" s="115"/>
      <c r="AA73" s="500"/>
    </row>
    <row r="74" spans="1:29" x14ac:dyDescent="0.2">
      <c r="A74" s="395">
        <v>9</v>
      </c>
      <c r="B74" s="513">
        <v>15000</v>
      </c>
      <c r="C74" s="68">
        <f>+B74*730*0.35</f>
        <v>3832499.9999999995</v>
      </c>
      <c r="D74" s="107">
        <f>+$G$80+$B74*$G$81+($C74*$G$84)/100</f>
        <v>185979.07500000001</v>
      </c>
      <c r="E74" s="84">
        <f>+$C74*$G$88/100</f>
        <v>144331.94999999998</v>
      </c>
      <c r="F74" s="84">
        <f>+$B74*$G$91</f>
        <v>10650</v>
      </c>
      <c r="G74" s="84">
        <f>+$B74*$G$92</f>
        <v>2850</v>
      </c>
      <c r="H74" s="84">
        <f>+$C74*$G$94/100</f>
        <v>2836.0499999999993</v>
      </c>
      <c r="I74" s="84">
        <f>+$B74*$G$93</f>
        <v>4650</v>
      </c>
      <c r="J74" s="84">
        <f>+$B74*$G$95</f>
        <v>1800</v>
      </c>
      <c r="K74" s="84">
        <f t="shared" si="3"/>
        <v>229.94999999999996</v>
      </c>
      <c r="L74" s="84">
        <f t="shared" si="4"/>
        <v>9059.6582480249999</v>
      </c>
      <c r="M74" s="84">
        <f>SUM(D74:L74)</f>
        <v>362386.68324802502</v>
      </c>
      <c r="N74" s="107">
        <f>+$L$80+$B74*$L$81+($C74*$L$84)/100</f>
        <v>239950.57500000001</v>
      </c>
      <c r="O74" s="84">
        <f>+$C74*$L$88/100</f>
        <v>144331.94999999998</v>
      </c>
      <c r="P74" s="84">
        <f>+$B74*$L$91</f>
        <v>10650</v>
      </c>
      <c r="Q74" s="84">
        <f>+$B74*$L$92</f>
        <v>2850</v>
      </c>
      <c r="R74" s="84">
        <f>+$C74*$L$94/100</f>
        <v>2836.0499999999993</v>
      </c>
      <c r="S74" s="84">
        <f>+$B74*$L$93</f>
        <v>4650</v>
      </c>
      <c r="T74" s="84">
        <f>+$B74*$L$95</f>
        <v>1800</v>
      </c>
      <c r="U74" s="84">
        <f>+SUM(N74:T74)*0.025641</f>
        <v>10437.645331575</v>
      </c>
      <c r="V74" s="84">
        <f>SUM(N74:U74)</f>
        <v>417506.22033157502</v>
      </c>
      <c r="W74" s="107">
        <f>V74-M74</f>
        <v>55119.537083550007</v>
      </c>
      <c r="X74" s="86">
        <f>+W74/M74</f>
        <v>0.15210144199980175</v>
      </c>
      <c r="Y74" s="110">
        <f>+M74/C74 *100</f>
        <v>9.455621219778866</v>
      </c>
      <c r="Z74" s="108">
        <f>+V74/C74*100</f>
        <v>10.893834842311156</v>
      </c>
      <c r="AB74" s="68"/>
      <c r="AC74" s="500"/>
    </row>
    <row r="75" spans="1:29" x14ac:dyDescent="0.2">
      <c r="A75" s="395">
        <v>10</v>
      </c>
      <c r="B75" s="513">
        <v>15000</v>
      </c>
      <c r="C75" s="68">
        <f>+B75*730*0.6</f>
        <v>6570000</v>
      </c>
      <c r="D75" s="107">
        <f>+$G$80+$B75*$G$81+($C75*$G$84)/100</f>
        <v>217487.7</v>
      </c>
      <c r="E75" s="84">
        <f>+$C75*$G$88/100</f>
        <v>247426.2</v>
      </c>
      <c r="F75" s="84">
        <f>+$B75*$G$91</f>
        <v>10650</v>
      </c>
      <c r="G75" s="84">
        <f>+$B75*$G$92</f>
        <v>2850</v>
      </c>
      <c r="H75" s="84">
        <f>+$C75*$G$94/100</f>
        <v>4861.8</v>
      </c>
      <c r="I75" s="84">
        <f>+$B75*$G$93</f>
        <v>4650</v>
      </c>
      <c r="J75" s="84">
        <f>+$B75*$G$95</f>
        <v>1800</v>
      </c>
      <c r="K75" s="84">
        <f t="shared" si="3"/>
        <v>394.2</v>
      </c>
      <c r="L75" s="84">
        <f t="shared" si="4"/>
        <v>12567.1643559</v>
      </c>
      <c r="M75" s="84">
        <f>SUM(D75:L75)</f>
        <v>502687.06435590005</v>
      </c>
      <c r="N75" s="107">
        <f>+$L$80+$B75*$L$81+($C75*$L$84)/100</f>
        <v>271787.7</v>
      </c>
      <c r="O75" s="84">
        <f>+$C75*$L$88/100</f>
        <v>247426.2</v>
      </c>
      <c r="P75" s="84">
        <f>+$B75*$L$91</f>
        <v>10650</v>
      </c>
      <c r="Q75" s="84">
        <f>+$B75*$L$92</f>
        <v>2850</v>
      </c>
      <c r="R75" s="84">
        <f>+$C75*$L$94/100</f>
        <v>4861.8</v>
      </c>
      <c r="S75" s="84">
        <f>+$B75*$L$93</f>
        <v>4650</v>
      </c>
      <c r="T75" s="84">
        <f>+$B75*$L$95</f>
        <v>1800</v>
      </c>
      <c r="U75" s="84">
        <f>+SUM(N75:T75)*0.025641</f>
        <v>13949.362973700003</v>
      </c>
      <c r="V75" s="84">
        <f>SUM(N75:U75)</f>
        <v>557975.06297370011</v>
      </c>
      <c r="W75" s="107">
        <f>+V75-M75</f>
        <v>55287.998617800069</v>
      </c>
      <c r="X75" s="86">
        <f>+W75/M75</f>
        <v>0.10998492409714453</v>
      </c>
      <c r="Y75" s="110">
        <f>+M75/C75 *100</f>
        <v>7.6512490769543389</v>
      </c>
      <c r="Z75" s="108">
        <f>+V75/C75*100</f>
        <v>8.4927711259315082</v>
      </c>
      <c r="AA75" s="500"/>
      <c r="AB75" s="74"/>
      <c r="AC75" s="500"/>
    </row>
    <row r="76" spans="1:29" x14ac:dyDescent="0.2">
      <c r="A76" s="395">
        <v>11</v>
      </c>
      <c r="B76" s="513">
        <v>15000</v>
      </c>
      <c r="C76" s="68">
        <f>+B76*730*0.9</f>
        <v>9855000</v>
      </c>
      <c r="D76" s="107">
        <f>+$H$80+($B76*$H$82+$B76*$H83)+$C76/100*$H$85*0.25+$C76/100*H86*0.75</f>
        <v>255242.25</v>
      </c>
      <c r="E76" s="84">
        <f>+$C76*$H$89/100*0.25+C76*$H$90/100*0.75</f>
        <v>369808.87499999994</v>
      </c>
      <c r="F76" s="84">
        <f>+$B76*$G$91</f>
        <v>10650</v>
      </c>
      <c r="G76" s="84">
        <f>+$B76*$H$92</f>
        <v>2850</v>
      </c>
      <c r="H76" s="84">
        <f>+$C76*$H$94/100</f>
        <v>7292.7</v>
      </c>
      <c r="I76" s="84">
        <f>+$B76*$H$93</f>
        <v>4650</v>
      </c>
      <c r="J76" s="84">
        <f>+$B76*$H$95</f>
        <v>1800</v>
      </c>
      <c r="K76" s="84">
        <f t="shared" si="3"/>
        <v>591.29999999999995</v>
      </c>
      <c r="L76" s="84">
        <f t="shared" si="4"/>
        <v>16740.627490125</v>
      </c>
      <c r="M76" s="84">
        <f>SUM(D76:L76)</f>
        <v>669625.75249012501</v>
      </c>
      <c r="N76" s="107">
        <f>+$M$80+($B76*$M$82+$B76*$M83)+$C76/100*$M$85*0.25+$C76/100*M86*0.4+$C76/100*M87*0.35</f>
        <v>312120.93</v>
      </c>
      <c r="O76" s="84">
        <f>+$C76*$M$89/100*0.25+C76*$M$90/100*0.75</f>
        <v>369808.87499999994</v>
      </c>
      <c r="P76" s="84">
        <f>+$B76*$L$91</f>
        <v>10650</v>
      </c>
      <c r="Q76" s="84">
        <f>+$B76*$M$92</f>
        <v>2850</v>
      </c>
      <c r="R76" s="84">
        <f>+$C76*$M$94/100</f>
        <v>7292.7</v>
      </c>
      <c r="S76" s="84">
        <f>+$B76*$M$93</f>
        <v>4650</v>
      </c>
      <c r="T76" s="84">
        <f>+$B76*$M$95</f>
        <v>1800</v>
      </c>
      <c r="U76" s="84">
        <f>+SUM(N76:T76)*0.025641</f>
        <v>18183.892200704999</v>
      </c>
      <c r="V76" s="84">
        <f>SUM(N76:U76)</f>
        <v>727356.3972007049</v>
      </c>
      <c r="W76" s="107">
        <f>V76-M76</f>
        <v>57730.644710579887</v>
      </c>
      <c r="X76" s="86">
        <f>+W76/M76</f>
        <v>8.6213298242933459E-2</v>
      </c>
      <c r="Y76" s="110">
        <f>+M76/C76 *100</f>
        <v>6.794781861898783</v>
      </c>
      <c r="Z76" s="108">
        <f>+V76/C76*100</f>
        <v>7.3805824170543364</v>
      </c>
      <c r="AA76" s="500"/>
      <c r="AB76" s="74"/>
      <c r="AC76" s="500"/>
    </row>
    <row r="77" spans="1:29" x14ac:dyDescent="0.2">
      <c r="A77" s="395">
        <v>12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93"/>
      <c r="Y77" s="86"/>
      <c r="Z77" s="68"/>
      <c r="AA77" s="500"/>
      <c r="AB77" s="74"/>
    </row>
    <row r="78" spans="1:29" x14ac:dyDescent="0.2">
      <c r="A78" s="395">
        <v>13</v>
      </c>
      <c r="G78" s="574" t="s">
        <v>983</v>
      </c>
      <c r="H78" s="574"/>
      <c r="I78" s="574"/>
      <c r="J78" s="402"/>
      <c r="K78" s="402"/>
      <c r="L78" s="574" t="s">
        <v>984</v>
      </c>
      <c r="M78" s="574"/>
      <c r="N78" s="574"/>
      <c r="R78" s="395"/>
      <c r="AB78" s="500"/>
    </row>
    <row r="79" spans="1:29" x14ac:dyDescent="0.2">
      <c r="A79" s="395">
        <v>14</v>
      </c>
      <c r="C79" s="402"/>
      <c r="D79" s="402"/>
      <c r="E79" s="402"/>
      <c r="F79" s="402"/>
      <c r="G79" s="402" t="s">
        <v>819</v>
      </c>
      <c r="H79" s="402" t="s">
        <v>1035</v>
      </c>
      <c r="I79" s="402"/>
      <c r="J79" s="402"/>
      <c r="K79" s="402"/>
      <c r="L79" s="402" t="s">
        <v>819</v>
      </c>
      <c r="M79" s="402" t="s">
        <v>1035</v>
      </c>
      <c r="N79" s="395"/>
      <c r="AB79" s="500"/>
    </row>
    <row r="80" spans="1:29" x14ac:dyDescent="0.2">
      <c r="A80" s="395">
        <v>15</v>
      </c>
      <c r="C80" s="398" t="s">
        <v>990</v>
      </c>
      <c r="D80" s="402"/>
      <c r="E80" s="402"/>
      <c r="F80" s="402"/>
      <c r="G80" s="92">
        <f>+ROUND('2025 GSLDSU Rate Class E-13c'!J18,2)*30</f>
        <v>2517</v>
      </c>
      <c r="H80" s="92">
        <f>+ROUND('2025 GSLDSU Rate Class E-13c'!J19,2)*30</f>
        <v>2517</v>
      </c>
      <c r="I80" s="398" t="s">
        <v>991</v>
      </c>
      <c r="J80" s="398"/>
      <c r="K80" s="398"/>
      <c r="L80" s="515">
        <f>+ROUND('2025 GSLDSU Rate Class E-13c'!Q18,2)*30</f>
        <v>3828.6000000000004</v>
      </c>
      <c r="M80" s="515">
        <f>+ROUND('2025 GSLDSU Rate Class E-13c'!Q19,2)*30</f>
        <v>3828.6000000000004</v>
      </c>
      <c r="N80" s="398" t="s">
        <v>991</v>
      </c>
      <c r="AB80" s="500"/>
    </row>
    <row r="81" spans="1:27" x14ac:dyDescent="0.2">
      <c r="A81" s="395">
        <v>16</v>
      </c>
      <c r="C81" s="398" t="s">
        <v>992</v>
      </c>
      <c r="D81" s="402"/>
      <c r="G81" s="92">
        <f>+ROUND('2025 GSLDSU Rate Class E-13c'!J30,2)</f>
        <v>9.2899999999999991</v>
      </c>
      <c r="H81" s="92">
        <v>0</v>
      </c>
      <c r="I81" s="398" t="s">
        <v>1018</v>
      </c>
      <c r="J81" s="398"/>
      <c r="K81" s="398"/>
      <c r="L81" s="515">
        <f>ROUND(+'2025 GSLDSU Rate Class E-13c'!Q30,2)</f>
        <v>12.77</v>
      </c>
      <c r="M81" s="515">
        <v>0</v>
      </c>
      <c r="N81" s="398" t="s">
        <v>1018</v>
      </c>
      <c r="S81" s="93"/>
      <c r="T81" s="93"/>
      <c r="U81" s="93"/>
      <c r="V81" s="93"/>
      <c r="W81" s="93"/>
      <c r="X81" s="68"/>
      <c r="Y81" s="86"/>
      <c r="Z81" s="68"/>
      <c r="AA81" s="68"/>
    </row>
    <row r="82" spans="1:27" x14ac:dyDescent="0.2">
      <c r="A82" s="395">
        <v>17</v>
      </c>
      <c r="C82" s="398" t="s">
        <v>1028</v>
      </c>
      <c r="D82" s="402"/>
      <c r="G82" s="92">
        <v>0</v>
      </c>
      <c r="H82" s="92">
        <f>+ROUND('2025 GSLDSU Rate Class E-13c'!J31,2)</f>
        <v>2.95</v>
      </c>
      <c r="I82" s="398" t="s">
        <v>1018</v>
      </c>
      <c r="J82" s="398"/>
      <c r="K82" s="398"/>
      <c r="L82" s="515">
        <v>0</v>
      </c>
      <c r="M82" s="515">
        <f>+ROUND('2025 GSLDSU Rate Class E-13c'!Q31,2)</f>
        <v>1.55</v>
      </c>
      <c r="N82" s="398" t="s">
        <v>1018</v>
      </c>
      <c r="S82" s="93"/>
      <c r="T82" s="93"/>
      <c r="U82" s="93"/>
      <c r="V82" s="93"/>
      <c r="W82" s="93"/>
      <c r="X82" s="68"/>
      <c r="Y82" s="86"/>
      <c r="Z82" s="68"/>
      <c r="AA82" s="68"/>
    </row>
    <row r="83" spans="1:27" x14ac:dyDescent="0.2">
      <c r="A83" s="395">
        <v>18</v>
      </c>
      <c r="C83" s="398" t="s">
        <v>1029</v>
      </c>
      <c r="D83" s="402"/>
      <c r="G83" s="92">
        <v>0</v>
      </c>
      <c r="H83" s="92">
        <f>+ROUND('2025 GSLDSU Rate Class E-13c'!J32,2)</f>
        <v>6.31</v>
      </c>
      <c r="I83" s="398" t="s">
        <v>1018</v>
      </c>
      <c r="J83" s="398"/>
      <c r="K83" s="398"/>
      <c r="L83" s="515">
        <v>0</v>
      </c>
      <c r="M83" s="515">
        <f>+ROUND('2025 GSLDSU Rate Class E-13c'!Q32,2)</f>
        <v>11.22</v>
      </c>
      <c r="N83" s="398" t="s">
        <v>1018</v>
      </c>
      <c r="S83" s="93"/>
      <c r="T83" s="93"/>
      <c r="U83" s="93"/>
      <c r="V83" s="93"/>
      <c r="W83" s="93"/>
      <c r="X83" s="68"/>
      <c r="Y83" s="86"/>
      <c r="Z83" s="68"/>
      <c r="AA83" s="68"/>
    </row>
    <row r="84" spans="1:27" x14ac:dyDescent="0.2">
      <c r="A84" s="395">
        <v>19</v>
      </c>
      <c r="C84" s="398" t="s">
        <v>993</v>
      </c>
      <c r="D84" s="402"/>
      <c r="G84" s="100">
        <f>+ROUND('2025 GSLDSU Rate Class E-13c'!J23,5)*100</f>
        <v>1.151</v>
      </c>
      <c r="H84" s="92">
        <v>0</v>
      </c>
      <c r="I84" s="398" t="s">
        <v>1019</v>
      </c>
      <c r="J84" s="398"/>
      <c r="K84" s="398"/>
      <c r="L84" s="516">
        <f>+ROUND('2025 GSLDSU Rate Class E-13c'!Q23,5)*100</f>
        <v>1.163</v>
      </c>
      <c r="M84" s="515">
        <v>0</v>
      </c>
      <c r="N84" s="398" t="s">
        <v>1019</v>
      </c>
      <c r="S84" s="93"/>
      <c r="T84" s="93"/>
      <c r="U84" s="93"/>
      <c r="V84" s="93"/>
      <c r="W84" s="93"/>
      <c r="X84" s="68"/>
      <c r="Y84" s="86"/>
      <c r="Z84" s="68"/>
      <c r="AA84" s="68"/>
    </row>
    <row r="85" spans="1:27" x14ac:dyDescent="0.2">
      <c r="A85" s="395">
        <v>20</v>
      </c>
      <c r="B85" s="513"/>
      <c r="C85" s="517" t="s">
        <v>1011</v>
      </c>
      <c r="D85" s="402"/>
      <c r="G85" s="100">
        <v>0</v>
      </c>
      <c r="H85" s="100">
        <f>+ROUND('2025 GSLDSU Rate Class E-13c'!J24,5)*100</f>
        <v>1.3860000000000001</v>
      </c>
      <c r="I85" s="398" t="s">
        <v>1019</v>
      </c>
      <c r="J85" s="398"/>
      <c r="K85" s="398"/>
      <c r="L85" s="515">
        <v>0</v>
      </c>
      <c r="M85" s="516">
        <f>+ROUND('2025 GSLDSU Rate Class E-13c'!Q24,5)*100</f>
        <v>2.0950000000000002</v>
      </c>
      <c r="N85" s="398" t="s">
        <v>1019</v>
      </c>
      <c r="S85" s="93"/>
      <c r="T85" s="93"/>
      <c r="U85" s="93"/>
      <c r="V85" s="93"/>
      <c r="W85" s="93"/>
      <c r="X85" s="93"/>
      <c r="Y85" s="86"/>
      <c r="Z85" s="93"/>
      <c r="AA85" s="102"/>
    </row>
    <row r="86" spans="1:27" x14ac:dyDescent="0.2">
      <c r="A86" s="395">
        <v>21</v>
      </c>
      <c r="B86" s="513"/>
      <c r="C86" s="517" t="s">
        <v>1012</v>
      </c>
      <c r="D86" s="402"/>
      <c r="G86" s="100">
        <v>0</v>
      </c>
      <c r="H86" s="100">
        <f>+ROUND('2025 GSLDSU Rate Class E-13c'!J25,5)*100</f>
        <v>1.0780000000000001</v>
      </c>
      <c r="I86" s="398" t="s">
        <v>1019</v>
      </c>
      <c r="J86" s="398"/>
      <c r="K86" s="398"/>
      <c r="L86" s="516">
        <v>0</v>
      </c>
      <c r="M86" s="516">
        <f>+ROUND('2025 GSLDSU Rate Class E-13c'!Q25,5)*100</f>
        <v>1.0229999999999999</v>
      </c>
      <c r="N86" s="398" t="s">
        <v>1019</v>
      </c>
      <c r="S86" s="93"/>
      <c r="T86" s="93"/>
      <c r="U86" s="93"/>
      <c r="V86" s="93"/>
      <c r="W86" s="93"/>
      <c r="X86" s="93"/>
      <c r="Y86" s="86"/>
      <c r="Z86" s="93"/>
      <c r="AA86" s="102"/>
    </row>
    <row r="87" spans="1:27" x14ac:dyDescent="0.2">
      <c r="A87" s="395">
        <v>22</v>
      </c>
      <c r="B87" s="513"/>
      <c r="C87" s="517" t="s">
        <v>1643</v>
      </c>
      <c r="G87" s="100">
        <v>0</v>
      </c>
      <c r="H87" s="100">
        <v>0</v>
      </c>
      <c r="I87" s="398" t="s">
        <v>1019</v>
      </c>
      <c r="L87" s="515">
        <v>0</v>
      </c>
      <c r="M87" s="516">
        <f>+ROUND('2025 GSLDSU Rate Class E-13c'!Q26,5)*100</f>
        <v>0.71899999999999997</v>
      </c>
      <c r="N87" s="398" t="s">
        <v>1019</v>
      </c>
      <c r="S87" s="93"/>
      <c r="T87" s="93"/>
      <c r="U87" s="93"/>
      <c r="V87" s="93"/>
      <c r="W87" s="93"/>
      <c r="X87" s="93"/>
      <c r="Y87" s="86"/>
      <c r="Z87" s="93"/>
      <c r="AA87" s="102"/>
    </row>
    <row r="88" spans="1:27" x14ac:dyDescent="0.2">
      <c r="A88" s="395">
        <v>23</v>
      </c>
      <c r="B88" s="513"/>
      <c r="C88" s="398" t="s">
        <v>1006</v>
      </c>
      <c r="D88" s="402"/>
      <c r="G88" s="408">
        <f>0.03766*100</f>
        <v>3.766</v>
      </c>
      <c r="H88" s="408">
        <v>0</v>
      </c>
      <c r="I88" s="398" t="s">
        <v>1019</v>
      </c>
      <c r="J88" s="398"/>
      <c r="K88" s="398"/>
      <c r="L88" s="408">
        <f>+G88</f>
        <v>3.766</v>
      </c>
      <c r="M88" s="408">
        <f>+H88</f>
        <v>0</v>
      </c>
      <c r="N88" s="398" t="s">
        <v>1019</v>
      </c>
      <c r="S88" s="93"/>
      <c r="T88" s="93"/>
      <c r="U88" s="93"/>
      <c r="V88" s="93"/>
      <c r="W88" s="93"/>
      <c r="X88" s="93"/>
      <c r="Y88" s="86"/>
      <c r="Z88" s="93"/>
      <c r="AA88" s="102"/>
    </row>
    <row r="89" spans="1:27" x14ac:dyDescent="0.2">
      <c r="A89" s="395">
        <v>24</v>
      </c>
      <c r="B89" s="513"/>
      <c r="C89" s="517" t="s">
        <v>1011</v>
      </c>
      <c r="G89" s="408">
        <v>0</v>
      </c>
      <c r="H89" s="408">
        <f>0.03964*100</f>
        <v>3.964</v>
      </c>
      <c r="I89" s="398" t="s">
        <v>1019</v>
      </c>
      <c r="J89" s="398"/>
      <c r="K89" s="398"/>
      <c r="L89" s="408">
        <f t="shared" ref="L89:L95" si="5">+G89</f>
        <v>0</v>
      </c>
      <c r="M89" s="408">
        <f t="shared" ref="M89:M95" si="6">+H89</f>
        <v>3.964</v>
      </c>
      <c r="N89" s="398" t="s">
        <v>1019</v>
      </c>
      <c r="S89" s="68"/>
      <c r="T89" s="68"/>
      <c r="U89" s="68"/>
      <c r="V89" s="68"/>
      <c r="W89" s="68"/>
      <c r="X89" s="68"/>
      <c r="Y89" s="86"/>
      <c r="Z89" s="68"/>
      <c r="AA89" s="68"/>
    </row>
    <row r="90" spans="1:27" x14ac:dyDescent="0.2">
      <c r="A90" s="395">
        <v>25</v>
      </c>
      <c r="B90" s="513"/>
      <c r="C90" s="517" t="s">
        <v>1012</v>
      </c>
      <c r="G90" s="408">
        <v>0</v>
      </c>
      <c r="H90" s="408">
        <f>0.03682*100</f>
        <v>3.6819999999999999</v>
      </c>
      <c r="I90" s="398" t="s">
        <v>1019</v>
      </c>
      <c r="J90" s="398"/>
      <c r="K90" s="398"/>
      <c r="L90" s="408">
        <f t="shared" si="5"/>
        <v>0</v>
      </c>
      <c r="M90" s="408">
        <f t="shared" si="6"/>
        <v>3.6819999999999999</v>
      </c>
      <c r="N90" s="398" t="s">
        <v>1019</v>
      </c>
      <c r="S90" s="93"/>
      <c r="T90" s="93"/>
      <c r="U90" s="93"/>
      <c r="V90" s="93"/>
      <c r="W90" s="93"/>
      <c r="X90" s="93"/>
      <c r="Y90" s="86"/>
      <c r="Z90" s="93"/>
      <c r="AA90" s="102"/>
    </row>
    <row r="91" spans="1:27" x14ac:dyDescent="0.2">
      <c r="A91" s="395">
        <v>26</v>
      </c>
      <c r="B91" s="513"/>
      <c r="C91" s="398" t="s">
        <v>997</v>
      </c>
      <c r="D91" s="402"/>
      <c r="G91" s="93">
        <v>0.71</v>
      </c>
      <c r="H91" s="93">
        <v>0.71</v>
      </c>
      <c r="I91" s="398" t="s">
        <v>1018</v>
      </c>
      <c r="J91" s="398"/>
      <c r="K91" s="398"/>
      <c r="L91" s="93">
        <f t="shared" si="5"/>
        <v>0.71</v>
      </c>
      <c r="M91" s="93">
        <f t="shared" si="6"/>
        <v>0.71</v>
      </c>
      <c r="N91" s="398" t="s">
        <v>1018</v>
      </c>
      <c r="S91" s="93"/>
      <c r="T91" s="93"/>
      <c r="U91" s="93"/>
      <c r="V91" s="93"/>
      <c r="W91" s="93"/>
      <c r="X91" s="93"/>
      <c r="Y91" s="86"/>
      <c r="Z91" s="93"/>
      <c r="AA91" s="102"/>
    </row>
    <row r="92" spans="1:27" x14ac:dyDescent="0.2">
      <c r="A92" s="395">
        <v>27</v>
      </c>
      <c r="B92" s="513"/>
      <c r="C92" s="398" t="s">
        <v>998</v>
      </c>
      <c r="D92" s="402"/>
      <c r="G92" s="93">
        <v>0.19</v>
      </c>
      <c r="H92" s="93">
        <v>0.19</v>
      </c>
      <c r="I92" s="398" t="s">
        <v>1018</v>
      </c>
      <c r="J92" s="398"/>
      <c r="K92" s="398"/>
      <c r="L92" s="93">
        <f t="shared" si="5"/>
        <v>0.19</v>
      </c>
      <c r="M92" s="93">
        <f t="shared" si="6"/>
        <v>0.19</v>
      </c>
      <c r="N92" s="398" t="s">
        <v>1018</v>
      </c>
      <c r="S92" s="93"/>
      <c r="T92" s="93"/>
      <c r="U92" s="93"/>
      <c r="V92" s="93"/>
      <c r="W92" s="93"/>
      <c r="X92" s="93"/>
      <c r="Y92" s="86"/>
      <c r="Z92" s="93"/>
      <c r="AA92" s="102"/>
    </row>
    <row r="93" spans="1:27" x14ac:dyDescent="0.2">
      <c r="A93" s="395">
        <v>28</v>
      </c>
      <c r="B93" s="513"/>
      <c r="C93" s="398" t="s">
        <v>999</v>
      </c>
      <c r="D93" s="402"/>
      <c r="G93" s="93">
        <v>0.31</v>
      </c>
      <c r="H93" s="93">
        <v>0.31</v>
      </c>
      <c r="I93" s="398" t="s">
        <v>1018</v>
      </c>
      <c r="J93" s="398"/>
      <c r="K93" s="398"/>
      <c r="L93" s="93">
        <f t="shared" si="5"/>
        <v>0.31</v>
      </c>
      <c r="M93" s="93">
        <f t="shared" si="6"/>
        <v>0.31</v>
      </c>
      <c r="N93" s="398" t="s">
        <v>1018</v>
      </c>
      <c r="S93" s="93"/>
      <c r="T93" s="93"/>
      <c r="U93" s="93"/>
      <c r="V93" s="93"/>
      <c r="W93" s="93"/>
      <c r="X93" s="93"/>
      <c r="Y93" s="86"/>
      <c r="Z93" s="93"/>
      <c r="AA93" s="102"/>
    </row>
    <row r="94" spans="1:27" x14ac:dyDescent="0.2">
      <c r="A94" s="395">
        <v>29</v>
      </c>
      <c r="C94" s="398" t="s">
        <v>1000</v>
      </c>
      <c r="D94" s="402"/>
      <c r="G94" s="408">
        <f>0.00074*100</f>
        <v>7.3999999999999996E-2</v>
      </c>
      <c r="H94" s="408">
        <v>7.3999999999999996E-2</v>
      </c>
      <c r="I94" s="398" t="s">
        <v>1019</v>
      </c>
      <c r="J94" s="398"/>
      <c r="K94" s="398"/>
      <c r="L94" s="408">
        <f t="shared" si="5"/>
        <v>7.3999999999999996E-2</v>
      </c>
      <c r="M94" s="408">
        <f t="shared" si="6"/>
        <v>7.3999999999999996E-2</v>
      </c>
      <c r="N94" s="398" t="s">
        <v>1019</v>
      </c>
      <c r="X94" s="68"/>
      <c r="Y94" s="68"/>
      <c r="Z94" s="68"/>
      <c r="AA94" s="68"/>
    </row>
    <row r="95" spans="1:27" x14ac:dyDescent="0.2">
      <c r="A95" s="395">
        <v>30</v>
      </c>
      <c r="B95" s="513"/>
      <c r="C95" s="398" t="s">
        <v>1001</v>
      </c>
      <c r="D95" s="402"/>
      <c r="G95" s="500">
        <v>0.12</v>
      </c>
      <c r="H95" s="500">
        <v>0.12</v>
      </c>
      <c r="I95" s="398" t="s">
        <v>1018</v>
      </c>
      <c r="J95" s="398"/>
      <c r="K95" s="398"/>
      <c r="L95" s="500">
        <f t="shared" si="5"/>
        <v>0.12</v>
      </c>
      <c r="M95" s="500">
        <f t="shared" si="6"/>
        <v>0.12</v>
      </c>
      <c r="N95" s="398" t="s">
        <v>1018</v>
      </c>
      <c r="S95" s="93"/>
      <c r="T95" s="93"/>
      <c r="U95" s="93"/>
      <c r="V95" s="93"/>
      <c r="W95" s="93"/>
      <c r="X95" s="93"/>
      <c r="Y95" s="86"/>
      <c r="Z95" s="93"/>
      <c r="AA95" s="102"/>
    </row>
    <row r="96" spans="1:27" x14ac:dyDescent="0.2">
      <c r="A96" s="395">
        <v>31</v>
      </c>
      <c r="B96" s="513"/>
      <c r="C96" s="395" t="s">
        <v>1692</v>
      </c>
      <c r="G96" s="516">
        <v>6.0000000000000001E-3</v>
      </c>
      <c r="H96" s="516">
        <v>6.0000000000000001E-3</v>
      </c>
      <c r="I96" s="395" t="s">
        <v>1019</v>
      </c>
      <c r="J96" s="395"/>
      <c r="K96" s="395"/>
      <c r="L96" s="515"/>
      <c r="M96" s="515"/>
      <c r="N96" s="395"/>
      <c r="S96" s="93"/>
      <c r="T96" s="93"/>
      <c r="U96" s="93"/>
      <c r="V96" s="93"/>
      <c r="W96" s="93"/>
      <c r="X96" s="93"/>
      <c r="Y96" s="86"/>
      <c r="Z96" s="93"/>
      <c r="AA96" s="102"/>
    </row>
    <row r="97" spans="1:28" x14ac:dyDescent="0.2">
      <c r="A97" s="395">
        <v>32</v>
      </c>
      <c r="B97" s="513"/>
      <c r="S97" s="93"/>
      <c r="T97" s="93"/>
      <c r="U97" s="93"/>
      <c r="V97" s="93"/>
      <c r="W97" s="93"/>
      <c r="X97" s="93"/>
      <c r="Y97" s="86"/>
      <c r="Z97" s="93"/>
      <c r="AA97" s="102"/>
    </row>
    <row r="98" spans="1:28" x14ac:dyDescent="0.2">
      <c r="A98" s="395">
        <v>33</v>
      </c>
      <c r="C98" s="68" t="s">
        <v>1013</v>
      </c>
      <c r="X98" s="68"/>
      <c r="Y98" s="68"/>
      <c r="Z98" s="68"/>
      <c r="AA98" s="68"/>
    </row>
    <row r="99" spans="1:28" x14ac:dyDescent="0.2">
      <c r="A99" s="395">
        <v>34</v>
      </c>
      <c r="C99" s="68" t="s">
        <v>1030</v>
      </c>
      <c r="X99" s="68"/>
      <c r="Y99" s="68"/>
      <c r="Z99" s="68"/>
      <c r="AA99" s="68"/>
    </row>
    <row r="100" spans="1:28" x14ac:dyDescent="0.2">
      <c r="A100" s="395">
        <v>35</v>
      </c>
      <c r="B100" s="494"/>
      <c r="C100" s="68" t="s">
        <v>1031</v>
      </c>
      <c r="S100" s="68"/>
      <c r="T100" s="68"/>
      <c r="U100" s="68"/>
      <c r="V100" s="68"/>
      <c r="W100" s="68"/>
      <c r="X100" s="68"/>
      <c r="Y100" s="68"/>
      <c r="Z100" s="68"/>
      <c r="AA100" s="68"/>
    </row>
    <row r="101" spans="1:28" x14ac:dyDescent="0.2">
      <c r="A101" s="395">
        <v>36</v>
      </c>
      <c r="B101" s="494"/>
      <c r="C101" s="68" t="s">
        <v>1032</v>
      </c>
      <c r="T101" s="68"/>
      <c r="U101" s="68"/>
      <c r="V101" s="68"/>
      <c r="W101" s="68"/>
      <c r="X101" s="68"/>
      <c r="Y101" s="68"/>
      <c r="Z101" s="68"/>
      <c r="AA101" s="68"/>
    </row>
    <row r="102" spans="1:28" x14ac:dyDescent="0.2">
      <c r="A102" s="395">
        <v>37</v>
      </c>
      <c r="B102" s="494"/>
      <c r="C102" s="68" t="s">
        <v>1689</v>
      </c>
      <c r="T102" s="68"/>
      <c r="U102" s="68"/>
      <c r="V102" s="68"/>
      <c r="W102" s="68"/>
      <c r="X102" s="68"/>
      <c r="Y102" s="68"/>
      <c r="Z102" s="68"/>
      <c r="AA102" s="68"/>
    </row>
    <row r="103" spans="1:28" x14ac:dyDescent="0.2">
      <c r="A103" s="395">
        <v>38</v>
      </c>
      <c r="B103" s="494"/>
      <c r="C103" s="68" t="s">
        <v>1038</v>
      </c>
      <c r="T103" s="68"/>
      <c r="U103" s="68"/>
      <c r="V103" s="68"/>
      <c r="W103" s="68"/>
      <c r="X103" s="68"/>
      <c r="Y103" s="68"/>
      <c r="Z103" s="68"/>
      <c r="AA103" s="68"/>
    </row>
    <row r="104" spans="1:28" x14ac:dyDescent="0.2">
      <c r="A104" s="395">
        <v>38</v>
      </c>
      <c r="B104" s="494"/>
      <c r="O104" s="68"/>
      <c r="P104" s="68"/>
      <c r="Q104" s="68"/>
      <c r="T104" s="68"/>
      <c r="U104" s="68"/>
      <c r="V104" s="68"/>
      <c r="W104" s="68"/>
      <c r="X104" s="68"/>
      <c r="Y104" s="68"/>
      <c r="Z104" s="68"/>
      <c r="AA104" s="68"/>
    </row>
    <row r="105" spans="1:28" x14ac:dyDescent="0.2">
      <c r="A105" s="395">
        <v>39</v>
      </c>
      <c r="B105" s="395"/>
      <c r="O105" s="405"/>
      <c r="P105" s="405"/>
      <c r="Q105" s="68"/>
      <c r="T105" s="405"/>
      <c r="U105" s="405"/>
      <c r="V105" s="405"/>
      <c r="W105" s="405"/>
      <c r="X105" s="405"/>
      <c r="Y105" s="405"/>
      <c r="Z105" s="405"/>
      <c r="AA105" s="405"/>
    </row>
    <row r="106" spans="1:28" x14ac:dyDescent="0.2">
      <c r="A106" s="395">
        <v>40</v>
      </c>
      <c r="B106" s="395"/>
      <c r="C106" s="68"/>
      <c r="M106" s="515"/>
      <c r="O106" s="405"/>
      <c r="P106" s="405"/>
      <c r="Q106" s="68"/>
      <c r="T106" s="405"/>
      <c r="U106" s="405"/>
      <c r="V106" s="405"/>
      <c r="W106" s="405"/>
      <c r="X106" s="405"/>
      <c r="Y106" s="405"/>
      <c r="Z106" s="405"/>
      <c r="AA106" s="405"/>
    </row>
    <row r="107" spans="1:28" ht="13.5" thickBot="1" x14ac:dyDescent="0.25">
      <c r="A107" s="396">
        <v>41</v>
      </c>
      <c r="B107" s="396"/>
      <c r="C107" s="504"/>
      <c r="D107" s="504"/>
      <c r="E107" s="504"/>
      <c r="F107" s="504"/>
      <c r="G107" s="396"/>
      <c r="H107" s="396"/>
      <c r="I107" s="396"/>
      <c r="J107" s="396"/>
      <c r="K107" s="396"/>
      <c r="L107" s="396"/>
      <c r="M107" s="396"/>
      <c r="N107" s="396"/>
      <c r="O107" s="396"/>
      <c r="P107" s="396"/>
      <c r="Q107" s="396"/>
      <c r="R107" s="396"/>
      <c r="S107" s="396"/>
      <c r="T107" s="396"/>
      <c r="U107" s="396"/>
      <c r="V107" s="396"/>
      <c r="W107" s="396"/>
      <c r="X107" s="396"/>
      <c r="Y107" s="396"/>
      <c r="Z107" s="396"/>
      <c r="AA107" s="396"/>
      <c r="AB107" s="504"/>
    </row>
    <row r="108" spans="1:28" x14ac:dyDescent="0.2">
      <c r="A108" s="395" t="s">
        <v>1002</v>
      </c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395"/>
      <c r="V108" s="395"/>
      <c r="W108" s="395"/>
      <c r="X108" s="395" t="s">
        <v>1003</v>
      </c>
      <c r="Y108" s="395"/>
      <c r="Z108" s="395"/>
    </row>
  </sheetData>
  <mergeCells count="21">
    <mergeCell ref="B7:C7"/>
    <mergeCell ref="B8:C8"/>
    <mergeCell ref="D8:M8"/>
    <mergeCell ref="N8:V8"/>
    <mergeCell ref="W8:X8"/>
    <mergeCell ref="B61:C61"/>
    <mergeCell ref="B62:C62"/>
    <mergeCell ref="D62:M62"/>
    <mergeCell ref="N62:V62"/>
    <mergeCell ref="W62:X62"/>
    <mergeCell ref="G24:I24"/>
    <mergeCell ref="L24:N24"/>
    <mergeCell ref="AA1:AB1"/>
    <mergeCell ref="G78:I78"/>
    <mergeCell ref="L78:N78"/>
    <mergeCell ref="Y55:Z55"/>
    <mergeCell ref="H59:R59"/>
    <mergeCell ref="Y62:Z62"/>
    <mergeCell ref="Y1:Z1"/>
    <mergeCell ref="H5:R5"/>
    <mergeCell ref="Y8:Z8"/>
  </mergeCells>
  <printOptions horizontalCentered="1" verticalCentered="1"/>
  <pageMargins left="0.5" right="0.5" top="1.25" bottom="0.35000000000000003" header="0.5" footer="0.5"/>
  <pageSetup scale="45" fitToHeight="0" orientation="landscape" r:id="rId1"/>
  <headerFooter alignWithMargins="0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AC41-210A-4879-8D1C-3EFDF85F26EC}">
  <sheetPr>
    <pageSetUpPr fitToPage="1"/>
  </sheetPr>
  <dimension ref="A1:T623"/>
  <sheetViews>
    <sheetView topLeftCell="A2" zoomScale="110" zoomScaleNormal="110" workbookViewId="0">
      <selection activeCell="A2" sqref="A2"/>
    </sheetView>
  </sheetViews>
  <sheetFormatPr defaultColWidth="9.140625" defaultRowHeight="14.1" customHeight="1" x14ac:dyDescent="0.2"/>
  <cols>
    <col min="1" max="1" width="3.5703125" style="395" customWidth="1"/>
    <col min="2" max="2" width="3.85546875" style="395" customWidth="1"/>
    <col min="3" max="3" width="9.5703125" style="395" customWidth="1"/>
    <col min="4" max="4" width="3.7109375" style="395" customWidth="1"/>
    <col min="5" max="5" width="8.28515625" style="395" customWidth="1"/>
    <col min="6" max="6" width="15.140625" style="395" customWidth="1"/>
    <col min="7" max="7" width="12.5703125" style="395" customWidth="1"/>
    <col min="8" max="8" width="9.5703125" style="395" customWidth="1"/>
    <col min="9" max="9" width="16.42578125" style="395" customWidth="1"/>
    <col min="10" max="10" width="6.85546875" style="395" customWidth="1"/>
    <col min="11" max="11" width="7.7109375" style="395" customWidth="1"/>
    <col min="12" max="12" width="9.42578125" style="395" customWidth="1"/>
    <col min="13" max="13" width="4.5703125" style="395" customWidth="1"/>
    <col min="14" max="14" width="9.5703125" style="395" customWidth="1"/>
    <col min="15" max="15" width="6.85546875" style="395" customWidth="1"/>
    <col min="16" max="16" width="10" style="395" customWidth="1"/>
    <col min="17" max="17" width="9.42578125" style="395" customWidth="1"/>
    <col min="18" max="18" width="9.28515625" style="395" customWidth="1"/>
    <col min="19" max="19" width="9.5703125" style="395" customWidth="1"/>
    <col min="20" max="20" width="10.28515625" style="395" customWidth="1"/>
    <col min="21" max="16384" width="9.140625" style="395"/>
  </cols>
  <sheetData>
    <row r="1" spans="1:20" ht="14.1" hidden="1" customHeight="1" x14ac:dyDescent="0.2">
      <c r="T1" s="395">
        <v>20</v>
      </c>
    </row>
    <row r="2" spans="1:20" ht="14.1" customHeight="1" thickBot="1" x14ac:dyDescent="0.25">
      <c r="A2" s="396" t="s">
        <v>1039</v>
      </c>
      <c r="B2" s="396"/>
      <c r="C2" s="396"/>
      <c r="D2" s="396"/>
      <c r="E2" s="396"/>
      <c r="F2" s="396"/>
      <c r="G2" s="396"/>
      <c r="H2" s="396"/>
      <c r="I2" s="396" t="s">
        <v>1040</v>
      </c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492" t="s">
        <v>1146</v>
      </c>
    </row>
    <row r="3" spans="1:20" ht="14.1" customHeight="1" x14ac:dyDescent="0.2">
      <c r="A3" s="395" t="s">
        <v>307</v>
      </c>
      <c r="F3" s="399" t="s">
        <v>1041</v>
      </c>
      <c r="G3" s="395" t="s">
        <v>1042</v>
      </c>
      <c r="L3" s="397"/>
      <c r="M3" s="397"/>
      <c r="O3" s="397"/>
      <c r="P3" s="397"/>
      <c r="Q3" s="397" t="s">
        <v>847</v>
      </c>
      <c r="T3" s="398"/>
    </row>
    <row r="4" spans="1:20" ht="14.1" customHeight="1" x14ac:dyDescent="0.2">
      <c r="G4" s="395" t="s">
        <v>1043</v>
      </c>
      <c r="L4" s="399"/>
      <c r="M4" s="398"/>
      <c r="P4" s="399"/>
      <c r="Q4" s="311" t="s">
        <v>919</v>
      </c>
      <c r="R4" s="310" t="s">
        <v>920</v>
      </c>
      <c r="T4" s="399"/>
    </row>
    <row r="5" spans="1:20" ht="14.1" customHeight="1" x14ac:dyDescent="0.2">
      <c r="A5" s="395" t="s">
        <v>310</v>
      </c>
      <c r="L5" s="399"/>
      <c r="M5" s="398"/>
      <c r="N5" s="399"/>
      <c r="Q5" s="311"/>
      <c r="R5" s="310" t="s">
        <v>937</v>
      </c>
      <c r="T5" s="399"/>
    </row>
    <row r="6" spans="1:20" ht="14.1" customHeight="1" x14ac:dyDescent="0.2">
      <c r="L6" s="399"/>
      <c r="M6" s="398"/>
      <c r="N6" s="399"/>
      <c r="Q6" s="311"/>
      <c r="R6" s="310" t="s">
        <v>938</v>
      </c>
      <c r="T6" s="399"/>
    </row>
    <row r="7" spans="1:20" ht="14.1" customHeight="1" thickBot="1" x14ac:dyDescent="0.25">
      <c r="A7" s="396" t="s">
        <v>1642</v>
      </c>
      <c r="B7" s="396"/>
      <c r="C7" s="396"/>
      <c r="D7" s="396"/>
      <c r="E7" s="396"/>
      <c r="F7" s="396"/>
      <c r="G7" s="396"/>
      <c r="H7" s="396"/>
      <c r="I7" s="400"/>
      <c r="J7" s="396"/>
      <c r="K7" s="396"/>
      <c r="L7" s="396"/>
      <c r="M7" s="396"/>
      <c r="N7" s="396"/>
      <c r="O7" s="396"/>
      <c r="P7" s="396"/>
      <c r="Q7" s="396"/>
      <c r="R7" s="396" t="s">
        <v>311</v>
      </c>
      <c r="S7" s="396"/>
      <c r="T7" s="396"/>
    </row>
    <row r="8" spans="1:20" ht="14.1" customHeight="1" x14ac:dyDescent="0.2">
      <c r="C8" s="402" t="s">
        <v>848</v>
      </c>
      <c r="D8" s="401"/>
      <c r="E8" s="401"/>
      <c r="F8" s="401" t="s">
        <v>849</v>
      </c>
      <c r="G8" s="401"/>
      <c r="H8" s="401"/>
      <c r="I8" s="401" t="s">
        <v>850</v>
      </c>
      <c r="J8" s="401"/>
      <c r="K8" s="401"/>
      <c r="L8" s="401" t="s">
        <v>851</v>
      </c>
      <c r="M8" s="401"/>
      <c r="N8" s="401" t="s">
        <v>954</v>
      </c>
      <c r="O8" s="401"/>
      <c r="Q8" s="401" t="s">
        <v>955</v>
      </c>
      <c r="R8" s="401"/>
      <c r="S8" s="401"/>
      <c r="T8" s="401"/>
    </row>
    <row r="9" spans="1:20" ht="14.1" customHeight="1" x14ac:dyDescent="0.2">
      <c r="B9" s="402"/>
      <c r="C9" s="402"/>
      <c r="D9" s="402"/>
      <c r="E9" s="401"/>
      <c r="F9" s="402"/>
      <c r="G9" s="402"/>
      <c r="H9" s="401"/>
      <c r="I9" s="402"/>
      <c r="J9" s="402"/>
      <c r="K9" s="402"/>
      <c r="L9" s="402"/>
      <c r="M9" s="402"/>
      <c r="N9" s="402"/>
      <c r="O9" s="402"/>
      <c r="Q9" s="402"/>
      <c r="R9" s="402"/>
      <c r="S9" s="402"/>
      <c r="T9" s="401"/>
    </row>
    <row r="10" spans="1:20" ht="14.1" customHeight="1" x14ac:dyDescent="0.2">
      <c r="B10" s="402"/>
      <c r="C10" s="402" t="s">
        <v>1044</v>
      </c>
      <c r="D10" s="402"/>
      <c r="E10" s="402"/>
      <c r="F10" s="401"/>
      <c r="G10" s="401"/>
      <c r="H10" s="402"/>
      <c r="I10" s="401"/>
      <c r="J10" s="401"/>
      <c r="K10" s="401"/>
      <c r="L10" s="402" t="s">
        <v>855</v>
      </c>
      <c r="M10" s="402"/>
      <c r="N10" s="401"/>
      <c r="O10" s="401"/>
      <c r="Q10" s="401" t="s">
        <v>857</v>
      </c>
      <c r="R10" s="401"/>
      <c r="S10" s="401"/>
      <c r="T10" s="402"/>
    </row>
    <row r="11" spans="1:20" ht="14.1" customHeight="1" x14ac:dyDescent="0.2">
      <c r="A11" s="395" t="s">
        <v>314</v>
      </c>
      <c r="B11" s="402"/>
      <c r="C11" s="402" t="s">
        <v>858</v>
      </c>
      <c r="D11" s="402"/>
      <c r="E11" s="402"/>
      <c r="F11" s="401"/>
      <c r="G11" s="401"/>
      <c r="H11" s="401"/>
      <c r="I11" s="401" t="s">
        <v>1045</v>
      </c>
      <c r="J11" s="401"/>
      <c r="K11" s="401"/>
      <c r="L11" s="401" t="s">
        <v>858</v>
      </c>
      <c r="M11" s="401"/>
      <c r="N11" s="401" t="s">
        <v>855</v>
      </c>
      <c r="O11" s="401"/>
      <c r="Q11" s="401" t="s">
        <v>326</v>
      </c>
      <c r="R11" s="401"/>
      <c r="S11" s="401"/>
      <c r="T11" s="402"/>
    </row>
    <row r="12" spans="1:20" ht="14.1" customHeight="1" thickBot="1" x14ac:dyDescent="0.25">
      <c r="A12" s="396" t="s">
        <v>320</v>
      </c>
      <c r="B12" s="400"/>
      <c r="C12" s="400" t="s">
        <v>1046</v>
      </c>
      <c r="D12" s="400"/>
      <c r="E12" s="400"/>
      <c r="F12" s="396" t="s">
        <v>1047</v>
      </c>
      <c r="G12" s="403"/>
      <c r="H12" s="403"/>
      <c r="I12" s="403" t="s">
        <v>858</v>
      </c>
      <c r="J12" s="403"/>
      <c r="K12" s="403"/>
      <c r="L12" s="403" t="s">
        <v>1046</v>
      </c>
      <c r="M12" s="403"/>
      <c r="N12" s="403" t="s">
        <v>858</v>
      </c>
      <c r="O12" s="403"/>
      <c r="P12" s="396"/>
      <c r="Q12" s="403" t="s">
        <v>1048</v>
      </c>
      <c r="R12" s="403"/>
      <c r="S12" s="403"/>
      <c r="T12" s="403"/>
    </row>
    <row r="13" spans="1:20" ht="14.1" customHeight="1" x14ac:dyDescent="0.2">
      <c r="A13" s="395">
        <v>1</v>
      </c>
      <c r="B13" s="120"/>
      <c r="C13" s="121" t="s">
        <v>1049</v>
      </c>
      <c r="D13" s="120"/>
      <c r="E13" s="122" t="s">
        <v>327</v>
      </c>
      <c r="F13" s="123"/>
      <c r="G13" s="124"/>
      <c r="H13" s="124"/>
      <c r="I13" s="125"/>
      <c r="J13" s="120"/>
      <c r="K13" s="120"/>
      <c r="L13" s="121" t="s">
        <v>1049</v>
      </c>
      <c r="M13" s="120"/>
      <c r="N13" s="120"/>
      <c r="O13" s="120"/>
      <c r="Q13" s="120"/>
      <c r="R13" s="120"/>
      <c r="S13" s="120"/>
      <c r="T13" s="120"/>
    </row>
    <row r="14" spans="1:20" ht="14.1" customHeight="1" x14ac:dyDescent="0.2">
      <c r="A14" s="395">
        <v>2</v>
      </c>
      <c r="B14" s="120"/>
      <c r="C14" s="120"/>
      <c r="F14" s="124" t="s">
        <v>328</v>
      </c>
      <c r="G14" s="124"/>
      <c r="H14" s="124"/>
      <c r="I14" s="93">
        <f>+ROUND('2025 RS Rate Class E-13c'!J19,2)</f>
        <v>0.71</v>
      </c>
      <c r="J14" s="120" t="s">
        <v>1050</v>
      </c>
      <c r="K14" s="120"/>
      <c r="M14" s="120"/>
      <c r="N14" s="93">
        <f>+ROUND('2025 RS Rate Class E-13c'!Q19,2)</f>
        <v>1.07</v>
      </c>
      <c r="O14" s="120" t="s">
        <v>1050</v>
      </c>
      <c r="Q14" s="126">
        <f>IF(I14=0,0,+(N14-I14)/I14)</f>
        <v>0.50704225352112697</v>
      </c>
      <c r="R14" s="120"/>
      <c r="S14" s="120"/>
      <c r="T14" s="120"/>
    </row>
    <row r="15" spans="1:20" ht="14.1" customHeight="1" x14ac:dyDescent="0.2">
      <c r="A15" s="395">
        <v>3</v>
      </c>
      <c r="B15" s="120"/>
      <c r="C15" s="120"/>
      <c r="F15" s="127" t="s">
        <v>1051</v>
      </c>
      <c r="G15" s="127"/>
      <c r="H15" s="127"/>
      <c r="I15" s="93">
        <f>+ROUND('2025 RS Rate Class E-13c'!J20,2)</f>
        <v>0.71</v>
      </c>
      <c r="J15" s="120" t="s">
        <v>1050</v>
      </c>
      <c r="K15" s="120"/>
      <c r="L15" s="128"/>
      <c r="M15" s="128"/>
      <c r="N15" s="93">
        <f>+ROUND('2025 RS Rate Class E-13c'!Q20,2)</f>
        <v>1.07</v>
      </c>
      <c r="O15" s="120" t="s">
        <v>1050</v>
      </c>
      <c r="Q15" s="126">
        <f>IF(I15=0,0,+(N15-I15)/I15)</f>
        <v>0.50704225352112697</v>
      </c>
      <c r="R15" s="128"/>
      <c r="S15" s="128"/>
      <c r="T15" s="128"/>
    </row>
    <row r="16" spans="1:20" ht="14.1" customHeight="1" x14ac:dyDescent="0.2">
      <c r="A16" s="395">
        <v>4</v>
      </c>
      <c r="B16" s="120"/>
      <c r="C16" s="120"/>
      <c r="F16" s="124"/>
      <c r="G16" s="124"/>
      <c r="H16" s="124"/>
      <c r="I16" s="93"/>
      <c r="J16" s="120"/>
      <c r="K16" s="120"/>
      <c r="L16" s="120"/>
      <c r="M16" s="120"/>
      <c r="N16" s="93"/>
      <c r="O16" s="120"/>
      <c r="Q16" s="124"/>
      <c r="R16" s="124"/>
      <c r="S16" s="124"/>
      <c r="T16" s="124"/>
    </row>
    <row r="17" spans="1:20" ht="14.1" customHeight="1" x14ac:dyDescent="0.2">
      <c r="A17" s="395">
        <v>5</v>
      </c>
      <c r="B17" s="120"/>
      <c r="E17" s="129" t="s">
        <v>1052</v>
      </c>
      <c r="G17" s="127"/>
      <c r="H17" s="127"/>
      <c r="I17" s="93"/>
      <c r="J17" s="128"/>
      <c r="K17" s="128"/>
      <c r="L17" s="128"/>
      <c r="M17" s="128"/>
      <c r="N17" s="93"/>
      <c r="O17" s="128"/>
      <c r="Q17" s="127"/>
      <c r="R17" s="127"/>
      <c r="S17" s="127"/>
      <c r="T17" s="127"/>
    </row>
    <row r="18" spans="1:20" ht="14.1" customHeight="1" x14ac:dyDescent="0.2">
      <c r="A18" s="395">
        <v>6</v>
      </c>
      <c r="B18" s="120"/>
      <c r="C18" s="120"/>
      <c r="F18" s="124" t="s">
        <v>328</v>
      </c>
      <c r="G18" s="127"/>
      <c r="H18" s="127"/>
      <c r="I18" s="116"/>
      <c r="K18" s="127"/>
      <c r="L18" s="127"/>
      <c r="M18" s="127"/>
      <c r="N18" s="116"/>
      <c r="Q18" s="67"/>
      <c r="R18" s="127"/>
      <c r="S18" s="127"/>
      <c r="T18" s="127"/>
    </row>
    <row r="19" spans="1:20" ht="14.1" customHeight="1" x14ac:dyDescent="0.2">
      <c r="A19" s="395">
        <v>7</v>
      </c>
      <c r="B19" s="120"/>
      <c r="C19" s="120"/>
      <c r="F19" s="130" t="s">
        <v>1053</v>
      </c>
      <c r="I19" s="148">
        <f>+ROUND('2025 RS Rate Class E-13c'!J27,5)</f>
        <v>6.6500000000000004E-2</v>
      </c>
      <c r="J19" s="127" t="s">
        <v>1123</v>
      </c>
      <c r="K19" s="127"/>
      <c r="N19" s="148">
        <f>+ROUND('2025 RS Rate Class E-13c'!Q27,5)</f>
        <v>7.4910000000000004E-2</v>
      </c>
      <c r="O19" s="127" t="s">
        <v>1123</v>
      </c>
      <c r="Q19" s="126">
        <f>IF(I19=0,0,+(N19-I19)/I19)</f>
        <v>0.12646616541353384</v>
      </c>
      <c r="R19" s="127"/>
      <c r="S19" s="127"/>
      <c r="T19" s="127"/>
    </row>
    <row r="20" spans="1:20" ht="14.1" customHeight="1" x14ac:dyDescent="0.2">
      <c r="A20" s="395">
        <v>8</v>
      </c>
      <c r="B20" s="120"/>
      <c r="F20" s="130" t="s">
        <v>1054</v>
      </c>
      <c r="I20" s="148">
        <f>+ROUND('2025 RS Rate Class E-13c'!J28,5)</f>
        <v>7.8020000000000006E-2</v>
      </c>
      <c r="J20" s="127" t="s">
        <v>1123</v>
      </c>
      <c r="K20" s="127"/>
      <c r="N20" s="148">
        <f>+ROUND('2025 RS Rate Class E-13c'!Q28,5)</f>
        <v>8.4909999999999999E-2</v>
      </c>
      <c r="O20" s="127" t="s">
        <v>1123</v>
      </c>
      <c r="Q20" s="126">
        <f>IF(I20=0,0,+(N20-I20)/I20)</f>
        <v>8.831068956677765E-2</v>
      </c>
      <c r="R20" s="127"/>
      <c r="S20" s="127"/>
      <c r="T20" s="127"/>
    </row>
    <row r="21" spans="1:20" ht="14.1" customHeight="1" x14ac:dyDescent="0.2">
      <c r="A21" s="395">
        <v>9</v>
      </c>
      <c r="B21" s="120"/>
      <c r="C21" s="120"/>
      <c r="F21" s="127" t="s">
        <v>1051</v>
      </c>
      <c r="G21" s="127"/>
      <c r="H21" s="127"/>
      <c r="I21" s="148">
        <f>+ROUND('2025 RS Rate Class E-13c'!J29,5)</f>
        <v>7.0120000000000002E-2</v>
      </c>
      <c r="J21" s="127" t="s">
        <v>1123</v>
      </c>
      <c r="K21" s="127"/>
      <c r="L21" s="127"/>
      <c r="M21" s="127"/>
      <c r="N21" s="148">
        <f>+ROUND('2025 RS Rate Class E-13c'!Q29,5)</f>
        <v>7.8990000000000005E-2</v>
      </c>
      <c r="O21" s="127" t="s">
        <v>1123</v>
      </c>
      <c r="Q21" s="126">
        <f>IF(I21=0,0,+(N21-I21)/I21)</f>
        <v>0.12649743297204796</v>
      </c>
      <c r="R21" s="127"/>
      <c r="S21" s="127"/>
      <c r="T21" s="127"/>
    </row>
    <row r="22" spans="1:20" ht="14.1" customHeight="1" x14ac:dyDescent="0.2">
      <c r="A22" s="395">
        <v>10</v>
      </c>
      <c r="B22" s="120"/>
      <c r="C22" s="120"/>
      <c r="F22" s="127"/>
      <c r="G22" s="127"/>
      <c r="H22" s="127"/>
      <c r="I22" s="116"/>
      <c r="J22" s="127"/>
      <c r="K22" s="127"/>
      <c r="L22" s="127"/>
      <c r="M22" s="127"/>
      <c r="N22" s="116"/>
      <c r="O22" s="127"/>
      <c r="Q22" s="67"/>
      <c r="R22" s="127"/>
      <c r="S22" s="127"/>
      <c r="T22" s="127"/>
    </row>
    <row r="23" spans="1:20" ht="14.1" customHeight="1" x14ac:dyDescent="0.2">
      <c r="A23" s="395">
        <v>11</v>
      </c>
      <c r="B23" s="120"/>
      <c r="C23" s="120"/>
      <c r="E23" s="395" t="s">
        <v>1680</v>
      </c>
      <c r="F23" s="127"/>
      <c r="G23" s="127"/>
      <c r="H23" s="127"/>
      <c r="I23" s="143">
        <v>0</v>
      </c>
      <c r="J23" s="127" t="s">
        <v>1682</v>
      </c>
      <c r="K23" s="127"/>
      <c r="L23" s="127"/>
      <c r="M23" s="127"/>
      <c r="N23" s="143">
        <v>-10</v>
      </c>
      <c r="O23" s="127" t="s">
        <v>1682</v>
      </c>
      <c r="Q23" s="127" t="s">
        <v>1679</v>
      </c>
      <c r="R23" s="127"/>
      <c r="S23" s="127"/>
      <c r="T23" s="127"/>
    </row>
    <row r="24" spans="1:20" ht="14.1" customHeight="1" x14ac:dyDescent="0.2">
      <c r="A24" s="395">
        <v>12</v>
      </c>
      <c r="B24" s="120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Q24" s="127"/>
      <c r="R24" s="127"/>
      <c r="S24" s="127"/>
      <c r="T24" s="127"/>
    </row>
    <row r="25" spans="1:20" ht="14.1" customHeight="1" x14ac:dyDescent="0.2">
      <c r="A25" s="395">
        <v>13</v>
      </c>
      <c r="B25" s="120"/>
      <c r="C25" s="120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Q25" s="127"/>
      <c r="R25" s="127"/>
      <c r="S25" s="127"/>
      <c r="T25" s="127"/>
    </row>
    <row r="26" spans="1:20" ht="14.1" customHeight="1" x14ac:dyDescent="0.2">
      <c r="A26" s="395">
        <v>14</v>
      </c>
      <c r="B26" s="120"/>
      <c r="C26" s="120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Q26" s="127"/>
      <c r="R26" s="127"/>
      <c r="S26" s="127"/>
      <c r="T26" s="127"/>
    </row>
    <row r="27" spans="1:20" ht="14.1" customHeight="1" x14ac:dyDescent="0.2">
      <c r="A27" s="395">
        <v>15</v>
      </c>
      <c r="B27" s="120"/>
      <c r="C27" s="120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Q27" s="127"/>
      <c r="R27" s="127"/>
      <c r="S27" s="127"/>
      <c r="T27" s="127"/>
    </row>
    <row r="28" spans="1:20" ht="14.1" customHeight="1" x14ac:dyDescent="0.2">
      <c r="A28" s="395">
        <v>16</v>
      </c>
      <c r="B28" s="120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Q28" s="127"/>
      <c r="R28" s="127"/>
      <c r="S28" s="127"/>
      <c r="T28" s="127"/>
    </row>
    <row r="29" spans="1:20" ht="14.1" customHeight="1" x14ac:dyDescent="0.2">
      <c r="A29" s="395">
        <v>17</v>
      </c>
      <c r="B29" s="120"/>
      <c r="C29" s="120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Q29" s="127"/>
      <c r="R29" s="127"/>
      <c r="S29" s="127"/>
      <c r="T29" s="127"/>
    </row>
    <row r="30" spans="1:20" ht="14.1" customHeight="1" x14ac:dyDescent="0.2">
      <c r="A30" s="395">
        <v>18</v>
      </c>
      <c r="B30" s="120"/>
      <c r="C30" s="120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Q30" s="127"/>
      <c r="R30" s="127"/>
      <c r="S30" s="127"/>
      <c r="T30" s="127"/>
    </row>
    <row r="31" spans="1:20" ht="14.1" customHeight="1" x14ac:dyDescent="0.2">
      <c r="A31" s="395">
        <v>19</v>
      </c>
      <c r="B31" s="120"/>
      <c r="C31" s="120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127"/>
      <c r="R31" s="127"/>
      <c r="S31" s="127"/>
      <c r="T31" s="127"/>
    </row>
    <row r="32" spans="1:20" ht="14.1" customHeight="1" x14ac:dyDescent="0.2">
      <c r="A32" s="395">
        <v>20</v>
      </c>
      <c r="B32" s="120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127"/>
      <c r="R32" s="127"/>
      <c r="S32" s="127"/>
      <c r="T32" s="127"/>
    </row>
    <row r="33" spans="1:20" ht="14.1" customHeight="1" x14ac:dyDescent="0.2">
      <c r="A33" s="395">
        <v>21</v>
      </c>
      <c r="B33" s="120"/>
      <c r="C33" s="120"/>
      <c r="F33" s="127"/>
      <c r="G33" s="127"/>
      <c r="H33" s="127"/>
      <c r="I33" s="127"/>
      <c r="J33" s="128"/>
      <c r="K33" s="128"/>
      <c r="L33" s="127"/>
      <c r="M33" s="128"/>
      <c r="N33" s="127"/>
      <c r="O33" s="127"/>
      <c r="Q33" s="127"/>
      <c r="R33" s="127"/>
      <c r="S33" s="127"/>
      <c r="T33" s="127"/>
    </row>
    <row r="34" spans="1:20" ht="14.1" customHeight="1" x14ac:dyDescent="0.2">
      <c r="A34" s="395">
        <v>22</v>
      </c>
      <c r="B34" s="120"/>
      <c r="C34" s="120"/>
      <c r="F34" s="127"/>
      <c r="G34" s="127"/>
      <c r="H34" s="127"/>
      <c r="I34" s="127"/>
      <c r="J34" s="128"/>
      <c r="K34" s="128"/>
      <c r="L34" s="127"/>
      <c r="M34" s="128"/>
      <c r="N34" s="127"/>
      <c r="O34" s="127"/>
      <c r="Q34" s="127"/>
      <c r="R34" s="127"/>
      <c r="S34" s="127"/>
      <c r="T34" s="127"/>
    </row>
    <row r="35" spans="1:20" ht="14.1" customHeight="1" x14ac:dyDescent="0.2">
      <c r="A35" s="395">
        <v>23</v>
      </c>
      <c r="B35" s="120"/>
      <c r="F35" s="127"/>
      <c r="G35" s="127"/>
      <c r="H35" s="127"/>
      <c r="I35" s="127"/>
      <c r="J35" s="128"/>
      <c r="K35" s="128"/>
      <c r="L35" s="127"/>
      <c r="M35" s="128"/>
      <c r="N35" s="127"/>
      <c r="O35" s="127"/>
      <c r="Q35" s="127"/>
      <c r="R35" s="127"/>
      <c r="S35" s="127"/>
      <c r="T35" s="127"/>
    </row>
    <row r="36" spans="1:20" ht="14.1" customHeight="1" x14ac:dyDescent="0.2">
      <c r="A36" s="395">
        <v>24</v>
      </c>
      <c r="B36" s="120"/>
      <c r="C36" s="120"/>
      <c r="F36" s="127"/>
      <c r="G36" s="127"/>
      <c r="H36" s="127"/>
      <c r="I36" s="127"/>
      <c r="J36" s="128"/>
      <c r="K36" s="128"/>
      <c r="L36" s="127"/>
      <c r="M36" s="128"/>
      <c r="N36" s="127"/>
      <c r="O36" s="127"/>
      <c r="Q36" s="127"/>
      <c r="R36" s="127"/>
      <c r="S36" s="127"/>
      <c r="T36" s="127"/>
    </row>
    <row r="37" spans="1:20" ht="14.1" customHeight="1" x14ac:dyDescent="0.2">
      <c r="A37" s="395">
        <v>25</v>
      </c>
      <c r="B37" s="120"/>
      <c r="C37" s="120"/>
      <c r="G37" s="127"/>
      <c r="H37" s="127"/>
      <c r="I37" s="127"/>
      <c r="J37" s="128"/>
      <c r="K37" s="128"/>
      <c r="L37" s="127"/>
      <c r="M37" s="128"/>
      <c r="N37" s="127"/>
      <c r="O37" s="127"/>
      <c r="Q37" s="127"/>
      <c r="R37" s="127"/>
      <c r="S37" s="127"/>
      <c r="T37" s="127"/>
    </row>
    <row r="38" spans="1:20" ht="14.1" customHeight="1" x14ac:dyDescent="0.2">
      <c r="A38" s="395">
        <v>26</v>
      </c>
      <c r="B38" s="120"/>
      <c r="C38" s="120"/>
      <c r="F38" s="127"/>
      <c r="G38" s="127"/>
      <c r="H38" s="127"/>
      <c r="I38" s="127"/>
      <c r="J38" s="128"/>
      <c r="K38" s="128"/>
      <c r="L38" s="127"/>
      <c r="M38" s="128"/>
      <c r="N38" s="127"/>
      <c r="O38" s="127"/>
      <c r="Q38" s="127"/>
      <c r="R38" s="127"/>
      <c r="S38" s="127"/>
      <c r="T38" s="127"/>
    </row>
    <row r="39" spans="1:20" ht="14.1" customHeight="1" x14ac:dyDescent="0.2">
      <c r="A39" s="395">
        <v>27</v>
      </c>
      <c r="B39" s="120"/>
      <c r="C39" s="120"/>
      <c r="F39" s="127"/>
      <c r="G39" s="127"/>
      <c r="H39" s="127"/>
      <c r="I39" s="127"/>
      <c r="J39" s="128"/>
      <c r="K39" s="128"/>
      <c r="L39" s="127"/>
      <c r="M39" s="128"/>
      <c r="N39" s="127"/>
      <c r="O39" s="127"/>
      <c r="Q39" s="127"/>
      <c r="R39" s="127"/>
      <c r="S39" s="127"/>
      <c r="T39" s="127"/>
    </row>
    <row r="40" spans="1:20" ht="14.1" customHeight="1" x14ac:dyDescent="0.2">
      <c r="A40" s="395">
        <v>28</v>
      </c>
      <c r="B40" s="120"/>
      <c r="C40" s="120"/>
      <c r="F40" s="127"/>
      <c r="G40" s="127"/>
      <c r="H40" s="127"/>
      <c r="I40" s="127"/>
      <c r="J40" s="128"/>
      <c r="K40" s="128"/>
      <c r="L40" s="127"/>
      <c r="M40" s="128"/>
      <c r="N40" s="127"/>
      <c r="O40" s="127"/>
      <c r="Q40" s="127"/>
      <c r="R40" s="127"/>
      <c r="S40" s="127"/>
      <c r="T40" s="127"/>
    </row>
    <row r="41" spans="1:20" ht="14.1" customHeight="1" x14ac:dyDescent="0.2">
      <c r="A41" s="395">
        <v>29</v>
      </c>
      <c r="B41" s="120"/>
      <c r="C41" s="120"/>
      <c r="F41" s="127"/>
      <c r="G41" s="127"/>
      <c r="H41" s="127"/>
      <c r="I41" s="127"/>
      <c r="J41" s="128"/>
      <c r="K41" s="128"/>
      <c r="L41" s="127"/>
      <c r="M41" s="128"/>
      <c r="N41" s="127"/>
      <c r="O41" s="127"/>
      <c r="Q41" s="127"/>
      <c r="R41" s="127"/>
      <c r="S41" s="127"/>
      <c r="T41" s="127"/>
    </row>
    <row r="42" spans="1:20" ht="14.1" customHeight="1" x14ac:dyDescent="0.2">
      <c r="A42" s="395">
        <v>30</v>
      </c>
      <c r="B42" s="120"/>
      <c r="C42" s="120"/>
      <c r="F42" s="127"/>
      <c r="G42" s="127"/>
      <c r="H42" s="127"/>
      <c r="I42" s="127"/>
      <c r="J42" s="128"/>
      <c r="K42" s="128"/>
      <c r="L42" s="127"/>
      <c r="M42" s="128"/>
      <c r="N42" s="127"/>
      <c r="O42" s="127"/>
      <c r="Q42" s="127"/>
      <c r="R42" s="127"/>
      <c r="S42" s="127"/>
      <c r="T42" s="127"/>
    </row>
    <row r="43" spans="1:20" ht="14.1" customHeight="1" x14ac:dyDescent="0.2">
      <c r="A43" s="395">
        <v>31</v>
      </c>
      <c r="B43" s="120"/>
      <c r="C43" s="120"/>
      <c r="F43" s="127"/>
      <c r="G43" s="127"/>
      <c r="H43" s="127"/>
      <c r="I43" s="127"/>
      <c r="J43" s="128"/>
      <c r="K43" s="128"/>
      <c r="L43" s="127"/>
      <c r="M43" s="128"/>
      <c r="N43" s="127"/>
      <c r="O43" s="127"/>
      <c r="Q43" s="127"/>
      <c r="R43" s="127"/>
      <c r="S43" s="127"/>
      <c r="T43" s="127"/>
    </row>
    <row r="44" spans="1:20" ht="14.1" customHeight="1" x14ac:dyDescent="0.2">
      <c r="A44" s="395">
        <v>32</v>
      </c>
      <c r="B44" s="120"/>
      <c r="C44" s="120"/>
      <c r="F44" s="127"/>
      <c r="G44" s="127"/>
      <c r="H44" s="127"/>
      <c r="I44" s="127"/>
      <c r="J44" s="128"/>
      <c r="K44" s="128"/>
      <c r="L44" s="127"/>
      <c r="M44" s="128"/>
      <c r="N44" s="127"/>
      <c r="O44" s="127"/>
      <c r="Q44" s="127"/>
      <c r="R44" s="127"/>
      <c r="S44" s="127"/>
      <c r="T44" s="127"/>
    </row>
    <row r="45" spans="1:20" ht="14.1" customHeight="1" x14ac:dyDescent="0.2">
      <c r="A45" s="395">
        <v>33</v>
      </c>
      <c r="B45" s="120"/>
      <c r="C45" s="120"/>
      <c r="F45" s="127"/>
      <c r="G45" s="127"/>
      <c r="H45" s="127"/>
      <c r="I45" s="127"/>
      <c r="J45" s="128"/>
      <c r="K45" s="128"/>
      <c r="L45" s="127"/>
      <c r="M45" s="128"/>
      <c r="N45" s="127"/>
      <c r="O45" s="127"/>
      <c r="Q45" s="127"/>
      <c r="R45" s="127"/>
      <c r="S45" s="127"/>
      <c r="T45" s="127"/>
    </row>
    <row r="46" spans="1:20" ht="14.1" customHeight="1" x14ac:dyDescent="0.2">
      <c r="A46" s="395">
        <v>34</v>
      </c>
      <c r="B46" s="120"/>
      <c r="F46" s="127"/>
      <c r="G46" s="127"/>
      <c r="H46" s="127"/>
      <c r="I46" s="127"/>
      <c r="J46" s="128"/>
      <c r="K46" s="128"/>
      <c r="L46" s="127"/>
      <c r="M46" s="128"/>
      <c r="N46" s="127"/>
      <c r="O46" s="127"/>
      <c r="Q46" s="127"/>
      <c r="R46" s="127"/>
      <c r="S46" s="127"/>
      <c r="T46" s="127"/>
    </row>
    <row r="47" spans="1:20" ht="14.1" customHeight="1" x14ac:dyDescent="0.2">
      <c r="A47" s="395">
        <v>35</v>
      </c>
      <c r="B47" s="120"/>
      <c r="C47" s="127"/>
      <c r="F47" s="127"/>
      <c r="G47" s="127"/>
      <c r="H47" s="127"/>
      <c r="I47" s="127"/>
      <c r="J47" s="128"/>
      <c r="K47" s="128"/>
      <c r="L47" s="127"/>
      <c r="M47" s="128"/>
      <c r="N47" s="127"/>
      <c r="O47" s="127"/>
      <c r="Q47" s="127"/>
      <c r="R47" s="127"/>
      <c r="S47" s="127"/>
      <c r="T47" s="127"/>
    </row>
    <row r="48" spans="1:20" ht="14.1" customHeight="1" thickBot="1" x14ac:dyDescent="0.25">
      <c r="A48" s="396">
        <v>36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</row>
    <row r="49" spans="1:20" ht="14.1" customHeight="1" x14ac:dyDescent="0.2">
      <c r="A49" s="395" t="s">
        <v>1055</v>
      </c>
      <c r="R49" s="395" t="s">
        <v>1003</v>
      </c>
    </row>
    <row r="50" spans="1:20" ht="14.1" customHeight="1" thickBot="1" x14ac:dyDescent="0.25">
      <c r="A50" s="396" t="str">
        <f>+$A$2</f>
        <v>SCHEDULE A-3</v>
      </c>
      <c r="B50" s="396"/>
      <c r="C50" s="396"/>
      <c r="D50" s="396"/>
      <c r="E50" s="396"/>
      <c r="F50" s="396"/>
      <c r="G50" s="396"/>
      <c r="H50" s="396"/>
      <c r="I50" s="396" t="str">
        <f>+$I$2</f>
        <v>SUMMARY OF TARIFFS</v>
      </c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492" t="s">
        <v>1147</v>
      </c>
    </row>
    <row r="51" spans="1:20" ht="14.1" customHeight="1" x14ac:dyDescent="0.2">
      <c r="A51" s="395" t="s">
        <v>307</v>
      </c>
      <c r="F51" s="399" t="s">
        <v>1041</v>
      </c>
      <c r="G51" s="395" t="s">
        <v>1042</v>
      </c>
      <c r="L51" s="397"/>
      <c r="M51" s="397"/>
      <c r="O51" s="397"/>
      <c r="P51" s="397"/>
      <c r="Q51" s="397" t="s">
        <v>847</v>
      </c>
      <c r="T51" s="398"/>
    </row>
    <row r="52" spans="1:20" ht="14.1" customHeight="1" x14ac:dyDescent="0.2">
      <c r="G52" s="395" t="s">
        <v>1043</v>
      </c>
      <c r="L52" s="399"/>
      <c r="M52" s="398"/>
      <c r="P52" s="399"/>
      <c r="Q52" s="311" t="s">
        <v>919</v>
      </c>
      <c r="R52" s="310" t="s">
        <v>920</v>
      </c>
      <c r="T52" s="399"/>
    </row>
    <row r="53" spans="1:20" ht="14.1" customHeight="1" x14ac:dyDescent="0.2">
      <c r="A53" s="395" t="s">
        <v>310</v>
      </c>
      <c r="L53" s="399"/>
      <c r="M53" s="398"/>
      <c r="N53" s="399"/>
      <c r="Q53" s="311"/>
      <c r="R53" s="310" t="s">
        <v>937</v>
      </c>
      <c r="T53" s="399"/>
    </row>
    <row r="54" spans="1:20" ht="14.1" customHeight="1" x14ac:dyDescent="0.2">
      <c r="L54" s="399"/>
      <c r="M54" s="398"/>
      <c r="N54" s="399"/>
      <c r="Q54" s="311"/>
      <c r="R54" s="310" t="s">
        <v>938</v>
      </c>
      <c r="T54" s="399"/>
    </row>
    <row r="55" spans="1:20" ht="14.1" customHeight="1" thickBot="1" x14ac:dyDescent="0.25">
      <c r="A55" s="396" t="s">
        <v>1022</v>
      </c>
      <c r="B55" s="396"/>
      <c r="C55" s="396"/>
      <c r="D55" s="396"/>
      <c r="E55" s="396"/>
      <c r="F55" s="396"/>
      <c r="G55" s="396"/>
      <c r="H55" s="396"/>
      <c r="I55" s="400"/>
      <c r="J55" s="396"/>
      <c r="K55" s="396"/>
      <c r="L55" s="396"/>
      <c r="M55" s="396"/>
      <c r="N55" s="396"/>
      <c r="O55" s="396"/>
      <c r="P55" s="396"/>
      <c r="Q55" s="396"/>
      <c r="R55" s="396" t="s">
        <v>311</v>
      </c>
      <c r="S55" s="396"/>
      <c r="T55" s="396"/>
    </row>
    <row r="56" spans="1:20" ht="14.1" customHeight="1" x14ac:dyDescent="0.2">
      <c r="A56" s="395" t="str">
        <f>IF(+A$8="","",A$8)</f>
        <v/>
      </c>
      <c r="B56" s="402" t="str">
        <f t="shared" ref="B56:T56" si="0">IF(+B$8="","",B$8)</f>
        <v/>
      </c>
      <c r="C56" s="402" t="str">
        <f t="shared" si="0"/>
        <v>(1)</v>
      </c>
      <c r="D56" s="402" t="str">
        <f t="shared" si="0"/>
        <v/>
      </c>
      <c r="E56" s="402" t="str">
        <f t="shared" si="0"/>
        <v/>
      </c>
      <c r="F56" s="402" t="str">
        <f t="shared" si="0"/>
        <v>(2)</v>
      </c>
      <c r="G56" s="402" t="str">
        <f t="shared" si="0"/>
        <v/>
      </c>
      <c r="H56" s="402" t="str">
        <f>IF(+H$8="","",H$8)</f>
        <v/>
      </c>
      <c r="I56" s="402" t="str">
        <f>IF(+I$8="","",I$8)</f>
        <v>(3)</v>
      </c>
      <c r="J56" s="402" t="str">
        <f>IF(+J$8="","",J$8)</f>
        <v/>
      </c>
      <c r="K56" s="402"/>
      <c r="L56" s="402" t="str">
        <f t="shared" si="0"/>
        <v>(4)</v>
      </c>
      <c r="M56" s="402" t="str">
        <f t="shared" si="0"/>
        <v/>
      </c>
      <c r="N56" s="402" t="str">
        <f t="shared" si="0"/>
        <v>(5)</v>
      </c>
      <c r="O56" s="402" t="str">
        <f t="shared" si="0"/>
        <v/>
      </c>
      <c r="Q56" s="402" t="str">
        <f>IF(+Q$8="","",Q$8)</f>
        <v>(6)</v>
      </c>
      <c r="R56" s="402" t="str">
        <f t="shared" si="0"/>
        <v/>
      </c>
      <c r="S56" s="402" t="str">
        <f t="shared" si="0"/>
        <v/>
      </c>
      <c r="T56" s="402" t="str">
        <f t="shared" si="0"/>
        <v/>
      </c>
    </row>
    <row r="57" spans="1:20" ht="14.1" customHeight="1" x14ac:dyDescent="0.2">
      <c r="A57" s="395" t="str">
        <f>IF(+A$9="","",A$9)</f>
        <v/>
      </c>
      <c r="B57" s="402" t="str">
        <f t="shared" ref="B57:T57" si="1">IF(+B$9="","",B$9)</f>
        <v/>
      </c>
      <c r="C57" s="402" t="str">
        <f t="shared" si="1"/>
        <v/>
      </c>
      <c r="D57" s="402" t="str">
        <f t="shared" si="1"/>
        <v/>
      </c>
      <c r="E57" s="402" t="str">
        <f t="shared" si="1"/>
        <v/>
      </c>
      <c r="F57" s="402" t="str">
        <f t="shared" si="1"/>
        <v/>
      </c>
      <c r="G57" s="402" t="str">
        <f t="shared" si="1"/>
        <v/>
      </c>
      <c r="H57" s="402" t="str">
        <f>IF(+H$9="","",H$9)</f>
        <v/>
      </c>
      <c r="I57" s="402" t="str">
        <f>IF(+I$9="","",I$9)</f>
        <v/>
      </c>
      <c r="J57" s="402" t="str">
        <f>IF(+J$9="","",J$9)</f>
        <v/>
      </c>
      <c r="K57" s="402"/>
      <c r="L57" s="402" t="str">
        <f t="shared" si="1"/>
        <v/>
      </c>
      <c r="M57" s="402" t="str">
        <f t="shared" si="1"/>
        <v/>
      </c>
      <c r="N57" s="402" t="str">
        <f t="shared" si="1"/>
        <v/>
      </c>
      <c r="O57" s="402" t="str">
        <f t="shared" si="1"/>
        <v/>
      </c>
      <c r="Q57" s="402" t="str">
        <f>IF(+Q$9="","",Q$9)</f>
        <v/>
      </c>
      <c r="R57" s="402" t="str">
        <f t="shared" si="1"/>
        <v/>
      </c>
      <c r="S57" s="402" t="str">
        <f t="shared" si="1"/>
        <v/>
      </c>
      <c r="T57" s="402" t="str">
        <f t="shared" si="1"/>
        <v/>
      </c>
    </row>
    <row r="58" spans="1:20" ht="14.1" customHeight="1" x14ac:dyDescent="0.2">
      <c r="A58" s="395" t="str">
        <f>IF(+A$10="","",A$10)</f>
        <v/>
      </c>
      <c r="B58" s="402" t="str">
        <f t="shared" ref="B58:T58" si="2">IF(+B$10="","",B$10)</f>
        <v/>
      </c>
      <c r="C58" s="402" t="str">
        <f t="shared" si="2"/>
        <v xml:space="preserve">Current </v>
      </c>
      <c r="D58" s="402" t="str">
        <f t="shared" si="2"/>
        <v/>
      </c>
      <c r="E58" s="402" t="str">
        <f t="shared" si="2"/>
        <v/>
      </c>
      <c r="F58" s="402" t="str">
        <f t="shared" si="2"/>
        <v/>
      </c>
      <c r="G58" s="402" t="str">
        <f t="shared" si="2"/>
        <v/>
      </c>
      <c r="H58" s="402" t="str">
        <f>IF(+H$10="","",H$10)</f>
        <v/>
      </c>
      <c r="I58" s="402" t="str">
        <f>IF(+I$10="","",I$10)</f>
        <v/>
      </c>
      <c r="J58" s="402" t="str">
        <f>IF(+J$10="","",J$10)</f>
        <v/>
      </c>
      <c r="K58" s="402"/>
      <c r="L58" s="402" t="str">
        <f t="shared" si="2"/>
        <v>Proposed</v>
      </c>
      <c r="M58" s="402" t="str">
        <f t="shared" si="2"/>
        <v/>
      </c>
      <c r="N58" s="402" t="str">
        <f t="shared" si="2"/>
        <v/>
      </c>
      <c r="O58" s="402" t="str">
        <f t="shared" si="2"/>
        <v/>
      </c>
      <c r="Q58" s="402" t="str">
        <f>IF(+Q$10="","",Q$10)</f>
        <v>Percent</v>
      </c>
      <c r="R58" s="402" t="str">
        <f t="shared" si="2"/>
        <v/>
      </c>
      <c r="S58" s="402" t="str">
        <f t="shared" si="2"/>
        <v/>
      </c>
      <c r="T58" s="402" t="str">
        <f t="shared" si="2"/>
        <v/>
      </c>
    </row>
    <row r="59" spans="1:20" ht="14.1" customHeight="1" x14ac:dyDescent="0.2">
      <c r="A59" s="395" t="str">
        <f>IF(+A$11="","",A$11)</f>
        <v>Line</v>
      </c>
      <c r="B59" s="402" t="str">
        <f t="shared" ref="B59:T59" si="3">IF(+B$11="","",B$11)</f>
        <v/>
      </c>
      <c r="C59" s="402" t="str">
        <f t="shared" si="3"/>
        <v>Rate</v>
      </c>
      <c r="D59" s="402" t="str">
        <f t="shared" si="3"/>
        <v/>
      </c>
      <c r="E59" s="402" t="str">
        <f t="shared" si="3"/>
        <v/>
      </c>
      <c r="F59" s="402" t="str">
        <f t="shared" si="3"/>
        <v/>
      </c>
      <c r="G59" s="402" t="str">
        <f t="shared" si="3"/>
        <v/>
      </c>
      <c r="H59" s="402" t="str">
        <f>IF(+H$11="","",H$11)</f>
        <v/>
      </c>
      <c r="I59" s="402" t="str">
        <f>IF(+I$11="","",I$11)</f>
        <v>Current</v>
      </c>
      <c r="J59" s="402" t="str">
        <f>IF(+J$11="","",J$11)</f>
        <v/>
      </c>
      <c r="K59" s="402"/>
      <c r="L59" s="402" t="str">
        <f t="shared" si="3"/>
        <v>Rate</v>
      </c>
      <c r="M59" s="402" t="str">
        <f t="shared" si="3"/>
        <v/>
      </c>
      <c r="N59" s="402" t="str">
        <f t="shared" si="3"/>
        <v>Proposed</v>
      </c>
      <c r="O59" s="402" t="str">
        <f t="shared" si="3"/>
        <v/>
      </c>
      <c r="Q59" s="402" t="str">
        <f>IF(+Q$11="","",Q$11)</f>
        <v>Increase</v>
      </c>
      <c r="R59" s="402" t="str">
        <f t="shared" si="3"/>
        <v/>
      </c>
      <c r="S59" s="402" t="str">
        <f t="shared" si="3"/>
        <v/>
      </c>
      <c r="T59" s="402" t="str">
        <f t="shared" si="3"/>
        <v/>
      </c>
    </row>
    <row r="60" spans="1:20" ht="14.1" customHeight="1" thickBot="1" x14ac:dyDescent="0.25">
      <c r="A60" s="396" t="str">
        <f>IF(+A$12="","",A$12)</f>
        <v>No.</v>
      </c>
      <c r="B60" s="400" t="str">
        <f t="shared" ref="B60:T60" si="4">IF(+B$12="","",B$12)</f>
        <v/>
      </c>
      <c r="C60" s="400" t="str">
        <f t="shared" si="4"/>
        <v>Schedule</v>
      </c>
      <c r="D60" s="400" t="str">
        <f t="shared" si="4"/>
        <v/>
      </c>
      <c r="E60" s="400"/>
      <c r="F60" s="400" t="str">
        <f t="shared" si="4"/>
        <v>Type of Charge</v>
      </c>
      <c r="G60" s="400"/>
      <c r="H60" s="400" t="str">
        <f>IF(+H$12="","",H$12)</f>
        <v/>
      </c>
      <c r="I60" s="400" t="str">
        <f>IF(+I$12="","",I$12)</f>
        <v>Rate</v>
      </c>
      <c r="J60" s="400" t="str">
        <f>IF(+J$12="","",J$12)</f>
        <v/>
      </c>
      <c r="K60" s="400"/>
      <c r="L60" s="400" t="str">
        <f t="shared" si="4"/>
        <v>Schedule</v>
      </c>
      <c r="M60" s="400" t="str">
        <f t="shared" si="4"/>
        <v/>
      </c>
      <c r="N60" s="400" t="str">
        <f t="shared" si="4"/>
        <v>Rate</v>
      </c>
      <c r="O60" s="400" t="str">
        <f t="shared" si="4"/>
        <v/>
      </c>
      <c r="P60" s="396"/>
      <c r="Q60" s="400" t="str">
        <f>IF(+Q$12="","",Q$12)</f>
        <v>((5)-(3))/(3)</v>
      </c>
      <c r="R60" s="400" t="str">
        <f t="shared" si="4"/>
        <v/>
      </c>
      <c r="S60" s="400" t="str">
        <f t="shared" si="4"/>
        <v/>
      </c>
      <c r="T60" s="400" t="str">
        <f t="shared" si="4"/>
        <v/>
      </c>
    </row>
    <row r="61" spans="1:20" ht="14.1" customHeight="1" x14ac:dyDescent="0.2">
      <c r="A61" s="395">
        <v>1</v>
      </c>
      <c r="B61" s="493"/>
      <c r="C61" s="121" t="s">
        <v>354</v>
      </c>
      <c r="D61" s="120"/>
      <c r="E61" s="122" t="s">
        <v>327</v>
      </c>
      <c r="F61" s="123"/>
      <c r="G61" s="124"/>
      <c r="H61" s="124"/>
      <c r="I61" s="125"/>
      <c r="J61" s="120"/>
      <c r="K61" s="120"/>
      <c r="L61" s="121" t="s">
        <v>354</v>
      </c>
      <c r="M61" s="120"/>
      <c r="N61" s="120"/>
      <c r="O61" s="120"/>
      <c r="Q61" s="120"/>
      <c r="R61" s="74"/>
      <c r="S61" s="74"/>
      <c r="T61" s="74"/>
    </row>
    <row r="62" spans="1:20" ht="14.1" customHeight="1" x14ac:dyDescent="0.2">
      <c r="A62" s="395">
        <v>2</v>
      </c>
      <c r="B62" s="494"/>
      <c r="C62" s="120"/>
      <c r="F62" s="124" t="s">
        <v>328</v>
      </c>
      <c r="G62" s="124"/>
      <c r="H62" s="124"/>
      <c r="I62" s="93">
        <f>+ROUND('2025 GS Rate Class E-13c'!J19,2)</f>
        <v>0.75</v>
      </c>
      <c r="J62" s="120" t="s">
        <v>1050</v>
      </c>
      <c r="K62" s="120"/>
      <c r="M62" s="120"/>
      <c r="N62" s="93">
        <f>+ROUND('2025 GS Rate Class E-13c'!Q19,2)</f>
        <v>1.27</v>
      </c>
      <c r="O62" s="120" t="s">
        <v>1050</v>
      </c>
      <c r="Q62" s="126">
        <f>IF(I62=0,0,+(N62-I62)/I62)</f>
        <v>0.69333333333333336</v>
      </c>
      <c r="R62" s="74"/>
      <c r="S62" s="74"/>
      <c r="T62" s="74"/>
    </row>
    <row r="63" spans="1:20" ht="14.1" customHeight="1" x14ac:dyDescent="0.2">
      <c r="A63" s="395">
        <v>3</v>
      </c>
      <c r="B63" s="494"/>
      <c r="C63" s="120"/>
      <c r="F63" s="395" t="s">
        <v>1056</v>
      </c>
      <c r="G63" s="127"/>
      <c r="H63" s="127"/>
      <c r="I63" s="93">
        <f>+ROUND('2025 GS Rate Class E-13c'!J20,2)</f>
        <v>0.63</v>
      </c>
      <c r="J63" s="120" t="s">
        <v>1050</v>
      </c>
      <c r="K63" s="120"/>
      <c r="L63" s="128"/>
      <c r="M63" s="128"/>
      <c r="N63" s="93">
        <f>+ROUND('2025 GS Rate Class E-13c'!Q20,2)</f>
        <v>1.06</v>
      </c>
      <c r="O63" s="120" t="s">
        <v>1050</v>
      </c>
      <c r="Q63" s="126">
        <f>IF(I63=0,0,+(N63-I63)/I63)</f>
        <v>0.68253968253968256</v>
      </c>
      <c r="R63" s="74"/>
      <c r="S63" s="74"/>
      <c r="T63" s="74"/>
    </row>
    <row r="64" spans="1:20" ht="14.1" customHeight="1" x14ac:dyDescent="0.2">
      <c r="A64" s="395">
        <v>4</v>
      </c>
      <c r="B64" s="494"/>
      <c r="C64" s="120"/>
      <c r="F64" s="127" t="s">
        <v>1057</v>
      </c>
      <c r="G64" s="124"/>
      <c r="H64" s="124"/>
      <c r="I64" s="93">
        <f>+ROUND('2025 GS Rate Class E-13c'!J21,2)</f>
        <v>0.75</v>
      </c>
      <c r="J64" s="120" t="s">
        <v>1050</v>
      </c>
      <c r="K64" s="120"/>
      <c r="L64" s="120"/>
      <c r="M64" s="120"/>
      <c r="N64" s="93">
        <f>+ROUND('2025 GS Rate Class E-13c'!Q21,2)</f>
        <v>1.27</v>
      </c>
      <c r="O64" s="120" t="s">
        <v>1050</v>
      </c>
      <c r="Q64" s="126">
        <f>IF(I64=0,0,+(N64-I64)/I64)</f>
        <v>0.69333333333333336</v>
      </c>
      <c r="R64" s="68"/>
      <c r="S64" s="68"/>
      <c r="T64" s="68"/>
    </row>
    <row r="65" spans="1:20" ht="14.1" customHeight="1" x14ac:dyDescent="0.2">
      <c r="A65" s="395">
        <v>5</v>
      </c>
      <c r="B65" s="494"/>
      <c r="Q65" s="495"/>
      <c r="R65" s="68"/>
      <c r="S65" s="68"/>
      <c r="T65" s="68"/>
    </row>
    <row r="66" spans="1:20" ht="14.1" customHeight="1" x14ac:dyDescent="0.2">
      <c r="A66" s="395">
        <v>6</v>
      </c>
      <c r="B66" s="494"/>
      <c r="C66" s="120"/>
      <c r="E66" s="131" t="s">
        <v>1052</v>
      </c>
      <c r="G66" s="127"/>
      <c r="H66" s="127"/>
      <c r="I66" s="93"/>
      <c r="J66" s="128"/>
      <c r="K66" s="128"/>
      <c r="L66" s="128"/>
      <c r="M66" s="128"/>
      <c r="N66" s="93"/>
      <c r="O66" s="128"/>
      <c r="Q66" s="132"/>
      <c r="R66" s="68"/>
      <c r="S66" s="68"/>
      <c r="T66" s="68"/>
    </row>
    <row r="67" spans="1:20" ht="14.1" customHeight="1" x14ac:dyDescent="0.2">
      <c r="A67" s="395">
        <v>7</v>
      </c>
      <c r="B67" s="494"/>
      <c r="C67" s="120"/>
      <c r="F67" s="124" t="s">
        <v>328</v>
      </c>
      <c r="G67" s="127"/>
      <c r="H67" s="127"/>
      <c r="I67" s="148">
        <f>+ROUND('2025 GS Rate Class E-13c'!J25,5)</f>
        <v>7.8619999999999995E-2</v>
      </c>
      <c r="J67" s="127" t="s">
        <v>1123</v>
      </c>
      <c r="K67" s="127"/>
      <c r="L67" s="127"/>
      <c r="M67" s="127"/>
      <c r="N67" s="148">
        <f>+ROUND('2025 GS Rate Class E-13c'!Q25,5)</f>
        <v>6.8059999999999996E-2</v>
      </c>
      <c r="O67" s="127" t="s">
        <v>1123</v>
      </c>
      <c r="Q67" s="126">
        <f>IF(I67=0,0,+(N67-I67)/I67)</f>
        <v>-0.13431696769269907</v>
      </c>
      <c r="R67" s="68"/>
      <c r="S67" s="68"/>
      <c r="T67" s="68"/>
    </row>
    <row r="68" spans="1:20" ht="14.1" customHeight="1" x14ac:dyDescent="0.2">
      <c r="A68" s="395">
        <v>8</v>
      </c>
      <c r="B68" s="494"/>
      <c r="C68" s="120"/>
      <c r="F68" s="124" t="s">
        <v>340</v>
      </c>
      <c r="G68" s="127"/>
      <c r="H68" s="127"/>
      <c r="I68" s="148">
        <f>+ROUND('2025 GS Rate Class E-13c'!J26,5)</f>
        <v>7.8619999999999995E-2</v>
      </c>
      <c r="J68" s="127" t="s">
        <v>1123</v>
      </c>
      <c r="K68" s="127"/>
      <c r="L68" s="127"/>
      <c r="M68" s="127"/>
      <c r="N68" s="148">
        <f>+ROUND('2025 GS Rate Class E-13c'!Q26,5)</f>
        <v>6.8059999999999996E-2</v>
      </c>
      <c r="O68" s="127" t="s">
        <v>1123</v>
      </c>
      <c r="Q68" s="126">
        <f>IF(I68=0,0,+(N68-I68)/I68)</f>
        <v>-0.13431696769269907</v>
      </c>
      <c r="R68" s="68"/>
      <c r="S68" s="68"/>
      <c r="T68" s="68"/>
    </row>
    <row r="69" spans="1:20" ht="14.1" customHeight="1" x14ac:dyDescent="0.2">
      <c r="A69" s="395">
        <v>9</v>
      </c>
      <c r="B69" s="494"/>
      <c r="F69" s="127" t="s">
        <v>1058</v>
      </c>
      <c r="G69" s="127"/>
      <c r="H69" s="127"/>
      <c r="I69" s="148">
        <f>+ROUND('2025 GS Rate Class E-13c'!J27,5)</f>
        <v>0.12317</v>
      </c>
      <c r="J69" s="127" t="s">
        <v>1123</v>
      </c>
      <c r="K69" s="127"/>
      <c r="L69" s="127"/>
      <c r="M69" s="127"/>
      <c r="N69" s="148">
        <f>+ROUND('2025 GS Rate Class E-13c'!Q27,5)</f>
        <v>9.912E-2</v>
      </c>
      <c r="O69" s="127" t="s">
        <v>1123</v>
      </c>
      <c r="Q69" s="126">
        <f>IF(I69=0,0,+(N69-I69)/I69)</f>
        <v>-0.1952585856945685</v>
      </c>
      <c r="R69" s="68"/>
      <c r="S69" s="68"/>
      <c r="T69" s="68"/>
    </row>
    <row r="70" spans="1:20" ht="14.1" customHeight="1" x14ac:dyDescent="0.2">
      <c r="A70" s="395">
        <v>10</v>
      </c>
      <c r="B70" s="494"/>
      <c r="C70" s="65"/>
      <c r="F70" s="127" t="s">
        <v>1059</v>
      </c>
      <c r="G70" s="127"/>
      <c r="H70" s="127"/>
      <c r="I70" s="148">
        <f>+ROUND('2025 GS Rate Class E-13c'!J28,5)</f>
        <v>6.3310000000000005E-2</v>
      </c>
      <c r="J70" s="127" t="s">
        <v>1123</v>
      </c>
      <c r="K70" s="127"/>
      <c r="L70" s="127"/>
      <c r="M70" s="127"/>
      <c r="N70" s="148">
        <f>+ROUND('2025 GS Rate Class E-13c'!Q28,5)</f>
        <v>5.3740000000000003E-2</v>
      </c>
      <c r="O70" s="127" t="s">
        <v>1123</v>
      </c>
      <c r="Q70" s="126">
        <f>IF(I70=0,0,+(N70-I70)/I70)</f>
        <v>-0.15116095403569738</v>
      </c>
      <c r="R70" s="68"/>
      <c r="S70" s="68"/>
      <c r="T70" s="68"/>
    </row>
    <row r="71" spans="1:20" ht="14.1" customHeight="1" x14ac:dyDescent="0.2">
      <c r="A71" s="395">
        <v>11</v>
      </c>
      <c r="B71" s="494"/>
      <c r="C71" s="74"/>
      <c r="F71" s="127" t="s">
        <v>1605</v>
      </c>
      <c r="G71" s="68"/>
      <c r="H71" s="68"/>
      <c r="I71" s="148">
        <f>+ROUND('2025 GS Rate Class E-13c'!J29,5)</f>
        <v>0</v>
      </c>
      <c r="J71" s="127" t="s">
        <v>1123</v>
      </c>
      <c r="K71" s="68"/>
      <c r="L71" s="68"/>
      <c r="M71" s="68"/>
      <c r="N71" s="148">
        <f>+ROUND('2025 GS Rate Class E-13c'!Q29,5)</f>
        <v>4.9829999999999999E-2</v>
      </c>
      <c r="O71" s="127" t="s">
        <v>1123</v>
      </c>
      <c r="Q71" s="149" t="s">
        <v>1125</v>
      </c>
      <c r="R71" s="68"/>
      <c r="S71" s="68"/>
      <c r="T71" s="68"/>
    </row>
    <row r="72" spans="1:20" ht="14.1" customHeight="1" x14ac:dyDescent="0.2">
      <c r="A72" s="395">
        <v>12</v>
      </c>
      <c r="B72" s="494"/>
      <c r="C72" s="74"/>
      <c r="R72" s="68"/>
      <c r="S72" s="68"/>
      <c r="T72" s="68"/>
    </row>
    <row r="73" spans="1:20" ht="14.1" customHeight="1" x14ac:dyDescent="0.2">
      <c r="A73" s="395">
        <v>13</v>
      </c>
      <c r="B73" s="494"/>
      <c r="C73" s="74"/>
      <c r="E73" s="133" t="s">
        <v>1060</v>
      </c>
      <c r="G73" s="68"/>
      <c r="H73" s="68"/>
      <c r="I73" s="148">
        <f>+ROUND('2025 GS Rate Class E-13c'!J34,5)</f>
        <v>1.7099999999999999E-3</v>
      </c>
      <c r="J73" s="127" t="s">
        <v>1123</v>
      </c>
      <c r="K73" s="127"/>
      <c r="L73" s="68"/>
      <c r="M73" s="68"/>
      <c r="N73" s="148">
        <f>+ROUND('2025 GS Rate Class E-13c'!Q34,5)</f>
        <v>2.5699999999999998E-3</v>
      </c>
      <c r="O73" s="127" t="s">
        <v>1123</v>
      </c>
      <c r="Q73" s="126">
        <f>IF(I73=0,0,+(N73-I73)/I73)</f>
        <v>0.50292397660818711</v>
      </c>
      <c r="R73" s="68"/>
      <c r="S73" s="68"/>
      <c r="T73" s="68"/>
    </row>
    <row r="74" spans="1:20" ht="14.1" customHeight="1" x14ac:dyDescent="0.2">
      <c r="A74" s="395">
        <v>14</v>
      </c>
      <c r="B74" s="494"/>
      <c r="C74" s="74"/>
      <c r="F74" s="68"/>
      <c r="G74" s="68"/>
      <c r="H74" s="68"/>
      <c r="I74" s="68"/>
      <c r="J74" s="68"/>
      <c r="K74" s="68"/>
      <c r="L74" s="68"/>
      <c r="M74" s="68"/>
      <c r="N74" s="68"/>
      <c r="O74" s="68"/>
      <c r="Q74" s="68"/>
      <c r="R74" s="68"/>
      <c r="S74" s="68"/>
      <c r="T74" s="68"/>
    </row>
    <row r="75" spans="1:20" ht="14.1" customHeight="1" x14ac:dyDescent="0.2">
      <c r="A75" s="395">
        <v>15</v>
      </c>
      <c r="B75" s="494"/>
      <c r="C75" s="74"/>
      <c r="F75" s="68"/>
      <c r="G75" s="68"/>
      <c r="H75" s="68"/>
      <c r="I75" s="68"/>
      <c r="J75" s="68"/>
      <c r="K75" s="68"/>
      <c r="L75" s="68"/>
      <c r="M75" s="68"/>
      <c r="N75" s="68"/>
      <c r="O75" s="68"/>
      <c r="Q75" s="68"/>
      <c r="R75" s="68"/>
      <c r="S75" s="68"/>
      <c r="T75" s="68"/>
    </row>
    <row r="76" spans="1:20" ht="14.1" customHeight="1" x14ac:dyDescent="0.2">
      <c r="A76" s="395">
        <v>16</v>
      </c>
      <c r="B76" s="494"/>
      <c r="C76" s="74"/>
      <c r="F76" s="68"/>
      <c r="G76" s="68"/>
      <c r="H76" s="68"/>
      <c r="I76" s="68"/>
      <c r="J76" s="68"/>
      <c r="K76" s="68"/>
      <c r="L76" s="68"/>
      <c r="M76" s="68"/>
      <c r="N76" s="68"/>
      <c r="O76" s="68"/>
      <c r="Q76" s="68"/>
      <c r="R76" s="68"/>
      <c r="S76" s="68"/>
      <c r="T76" s="68"/>
    </row>
    <row r="77" spans="1:20" ht="14.1" customHeight="1" x14ac:dyDescent="0.2">
      <c r="A77" s="395">
        <v>17</v>
      </c>
      <c r="B77" s="494"/>
      <c r="C77" s="74"/>
      <c r="F77" s="68"/>
      <c r="G77" s="68"/>
      <c r="H77" s="68"/>
      <c r="I77" s="68"/>
      <c r="J77" s="68"/>
      <c r="K77" s="68"/>
      <c r="L77" s="68"/>
      <c r="M77" s="68"/>
      <c r="N77" s="68"/>
      <c r="O77" s="68"/>
      <c r="Q77" s="68"/>
      <c r="R77" s="68"/>
      <c r="S77" s="68"/>
      <c r="T77" s="68"/>
    </row>
    <row r="78" spans="1:20" ht="14.1" customHeight="1" x14ac:dyDescent="0.2">
      <c r="A78" s="395">
        <v>18</v>
      </c>
      <c r="B78" s="494"/>
      <c r="C78" s="74"/>
      <c r="F78" s="68"/>
      <c r="G78" s="68"/>
      <c r="H78" s="68"/>
      <c r="I78" s="68"/>
      <c r="J78" s="68"/>
      <c r="K78" s="68"/>
      <c r="L78" s="68"/>
      <c r="M78" s="68"/>
      <c r="N78" s="68"/>
      <c r="O78" s="68"/>
      <c r="Q78" s="68"/>
      <c r="R78" s="68"/>
      <c r="S78" s="68"/>
      <c r="T78" s="68"/>
    </row>
    <row r="79" spans="1:20" ht="14.1" customHeight="1" x14ac:dyDescent="0.2">
      <c r="A79" s="395">
        <v>19</v>
      </c>
      <c r="B79" s="494"/>
      <c r="C79" s="74"/>
      <c r="F79" s="68"/>
      <c r="G79" s="68"/>
      <c r="H79" s="68"/>
      <c r="I79" s="68"/>
      <c r="J79" s="68"/>
      <c r="K79" s="68"/>
      <c r="L79" s="68"/>
      <c r="M79" s="68"/>
      <c r="N79" s="68"/>
      <c r="O79" s="68"/>
      <c r="Q79" s="68"/>
      <c r="R79" s="68"/>
      <c r="S79" s="68"/>
      <c r="T79" s="68"/>
    </row>
    <row r="80" spans="1:20" ht="14.1" customHeight="1" x14ac:dyDescent="0.2">
      <c r="A80" s="395">
        <v>20</v>
      </c>
      <c r="B80" s="494"/>
      <c r="C80" s="74"/>
      <c r="F80" s="68"/>
      <c r="G80" s="68"/>
      <c r="H80" s="68"/>
      <c r="I80" s="68"/>
      <c r="J80" s="68"/>
      <c r="K80" s="68"/>
      <c r="L80" s="68"/>
      <c r="M80" s="68"/>
      <c r="N80" s="68"/>
      <c r="O80" s="68"/>
      <c r="Q80" s="68"/>
      <c r="R80" s="68"/>
      <c r="S80" s="68"/>
      <c r="T80" s="68"/>
    </row>
    <row r="81" spans="1:20" ht="14.1" customHeight="1" x14ac:dyDescent="0.2">
      <c r="A81" s="395">
        <v>21</v>
      </c>
      <c r="B81" s="494"/>
      <c r="C81" s="74"/>
      <c r="F81" s="68"/>
      <c r="G81" s="68"/>
      <c r="H81" s="68"/>
      <c r="I81" s="68"/>
      <c r="J81" s="68"/>
      <c r="K81" s="68"/>
      <c r="L81" s="68"/>
      <c r="M81" s="68"/>
      <c r="N81" s="68"/>
      <c r="O81" s="68"/>
      <c r="Q81" s="68"/>
      <c r="R81" s="68"/>
      <c r="S81" s="68"/>
      <c r="T81" s="68"/>
    </row>
    <row r="82" spans="1:20" ht="14.1" customHeight="1" x14ac:dyDescent="0.2">
      <c r="A82" s="395">
        <v>22</v>
      </c>
      <c r="B82" s="494"/>
      <c r="C82" s="74"/>
      <c r="F82" s="68"/>
      <c r="G82" s="68"/>
      <c r="H82" s="68"/>
      <c r="I82" s="68"/>
      <c r="J82" s="68"/>
      <c r="K82" s="68"/>
      <c r="L82" s="68"/>
      <c r="M82" s="68"/>
      <c r="N82" s="68"/>
      <c r="O82" s="68"/>
      <c r="Q82" s="68"/>
      <c r="R82" s="68"/>
      <c r="S82" s="68"/>
      <c r="T82" s="68"/>
    </row>
    <row r="83" spans="1:20" ht="14.1" customHeight="1" x14ac:dyDescent="0.2">
      <c r="A83" s="395">
        <v>23</v>
      </c>
      <c r="B83" s="494"/>
      <c r="C83" s="74"/>
      <c r="F83" s="68"/>
      <c r="G83" s="68"/>
      <c r="H83" s="68"/>
      <c r="I83" s="68"/>
      <c r="J83" s="68"/>
      <c r="K83" s="68"/>
      <c r="L83" s="68"/>
      <c r="M83" s="68"/>
      <c r="N83" s="68"/>
      <c r="O83" s="68"/>
      <c r="Q83" s="68"/>
      <c r="R83" s="68"/>
      <c r="S83" s="68"/>
      <c r="T83" s="68"/>
    </row>
    <row r="84" spans="1:20" ht="14.1" customHeight="1" x14ac:dyDescent="0.2">
      <c r="A84" s="395">
        <v>24</v>
      </c>
      <c r="B84" s="494"/>
      <c r="C84" s="74"/>
      <c r="F84" s="68"/>
      <c r="G84" s="68"/>
      <c r="H84" s="68"/>
      <c r="I84" s="68"/>
      <c r="J84" s="68"/>
      <c r="K84" s="68"/>
      <c r="L84" s="68"/>
      <c r="M84" s="68"/>
      <c r="N84" s="68"/>
      <c r="O84" s="68"/>
      <c r="Q84" s="68"/>
      <c r="R84" s="68"/>
      <c r="S84" s="68"/>
      <c r="T84" s="68"/>
    </row>
    <row r="85" spans="1:20" ht="14.1" customHeight="1" x14ac:dyDescent="0.2">
      <c r="A85" s="395">
        <v>25</v>
      </c>
      <c r="B85" s="494"/>
      <c r="C85" s="74"/>
      <c r="F85" s="68"/>
      <c r="G85" s="68"/>
      <c r="H85" s="68"/>
      <c r="I85" s="68"/>
      <c r="J85" s="68"/>
      <c r="K85" s="68"/>
      <c r="L85" s="68"/>
      <c r="M85" s="68"/>
      <c r="N85" s="68"/>
      <c r="O85" s="68"/>
      <c r="Q85" s="68"/>
      <c r="R85" s="68"/>
      <c r="S85" s="68"/>
      <c r="T85" s="68"/>
    </row>
    <row r="86" spans="1:20" ht="14.1" customHeight="1" x14ac:dyDescent="0.2">
      <c r="A86" s="395">
        <v>26</v>
      </c>
      <c r="B86" s="494"/>
      <c r="C86" s="74"/>
      <c r="F86" s="68"/>
      <c r="G86" s="68"/>
      <c r="H86" s="68"/>
      <c r="I86" s="68"/>
      <c r="J86" s="68"/>
      <c r="K86" s="68"/>
      <c r="L86" s="68"/>
      <c r="M86" s="68"/>
      <c r="N86" s="68"/>
      <c r="O86" s="68"/>
      <c r="Q86" s="68"/>
      <c r="R86" s="68"/>
      <c r="S86" s="68"/>
      <c r="T86" s="68"/>
    </row>
    <row r="87" spans="1:20" ht="14.1" customHeight="1" x14ac:dyDescent="0.2">
      <c r="A87" s="395">
        <v>27</v>
      </c>
      <c r="B87" s="494"/>
      <c r="C87" s="74"/>
      <c r="F87" s="68"/>
      <c r="G87" s="68"/>
      <c r="H87" s="68"/>
      <c r="I87" s="68"/>
      <c r="J87" s="68"/>
      <c r="K87" s="68"/>
      <c r="L87" s="68"/>
      <c r="M87" s="68"/>
      <c r="N87" s="68"/>
      <c r="O87" s="68"/>
      <c r="Q87" s="68"/>
      <c r="R87" s="68"/>
      <c r="S87" s="68"/>
      <c r="T87" s="68"/>
    </row>
    <row r="88" spans="1:20" ht="14.1" customHeight="1" x14ac:dyDescent="0.2">
      <c r="A88" s="395">
        <v>28</v>
      </c>
      <c r="B88" s="494"/>
      <c r="C88" s="74"/>
      <c r="F88" s="68"/>
      <c r="G88" s="68"/>
      <c r="H88" s="68"/>
      <c r="I88" s="68"/>
      <c r="J88" s="68"/>
      <c r="K88" s="68"/>
      <c r="L88" s="68"/>
      <c r="M88" s="68"/>
      <c r="N88" s="68"/>
      <c r="O88" s="68"/>
      <c r="Q88" s="68"/>
      <c r="R88" s="68"/>
      <c r="S88" s="68"/>
      <c r="T88" s="68"/>
    </row>
    <row r="89" spans="1:20" ht="14.1" customHeight="1" x14ac:dyDescent="0.2">
      <c r="A89" s="395">
        <v>29</v>
      </c>
      <c r="B89" s="494"/>
      <c r="C89" s="74"/>
      <c r="F89" s="68"/>
      <c r="G89" s="68"/>
      <c r="H89" s="68"/>
      <c r="I89" s="68"/>
      <c r="J89" s="68"/>
      <c r="K89" s="68"/>
      <c r="L89" s="68"/>
      <c r="M89" s="68"/>
      <c r="N89" s="68"/>
      <c r="O89" s="68"/>
      <c r="Q89" s="68"/>
      <c r="R89" s="68"/>
      <c r="S89" s="68"/>
      <c r="T89" s="68"/>
    </row>
    <row r="90" spans="1:20" ht="14.1" customHeight="1" x14ac:dyDescent="0.2">
      <c r="A90" s="395">
        <v>30</v>
      </c>
      <c r="B90" s="494"/>
      <c r="C90" s="74"/>
      <c r="F90" s="68"/>
      <c r="G90" s="68"/>
      <c r="H90" s="68"/>
      <c r="I90" s="68"/>
      <c r="J90" s="68"/>
      <c r="K90" s="68"/>
      <c r="L90" s="68"/>
      <c r="M90" s="68"/>
      <c r="N90" s="68"/>
      <c r="O90" s="68"/>
      <c r="Q90" s="68"/>
      <c r="R90" s="68"/>
      <c r="S90" s="68"/>
      <c r="T90" s="68"/>
    </row>
    <row r="91" spans="1:20" ht="14.1" customHeight="1" x14ac:dyDescent="0.2">
      <c r="A91" s="395">
        <v>31</v>
      </c>
      <c r="B91" s="494"/>
      <c r="C91" s="74"/>
      <c r="F91" s="68"/>
      <c r="G91" s="68"/>
      <c r="H91" s="68"/>
      <c r="I91" s="68"/>
      <c r="J91" s="68"/>
      <c r="K91" s="68"/>
      <c r="L91" s="68"/>
      <c r="M91" s="68"/>
      <c r="N91" s="68"/>
      <c r="O91" s="68"/>
      <c r="Q91" s="68"/>
      <c r="R91" s="68"/>
      <c r="S91" s="68"/>
      <c r="T91" s="68"/>
    </row>
    <row r="92" spans="1:20" ht="14.1" customHeight="1" x14ac:dyDescent="0.2">
      <c r="A92" s="395">
        <v>32</v>
      </c>
      <c r="B92" s="494"/>
      <c r="C92" s="74"/>
      <c r="F92" s="68"/>
      <c r="G92" s="68"/>
      <c r="H92" s="68"/>
      <c r="I92" s="68"/>
      <c r="J92" s="68"/>
      <c r="K92" s="68"/>
      <c r="L92" s="68"/>
      <c r="M92" s="68"/>
      <c r="N92" s="68"/>
      <c r="O92" s="68"/>
      <c r="Q92" s="68"/>
      <c r="R92" s="68"/>
      <c r="S92" s="68"/>
      <c r="T92" s="68"/>
    </row>
    <row r="93" spans="1:20" ht="14.1" customHeight="1" x14ac:dyDescent="0.2">
      <c r="A93" s="395">
        <v>33</v>
      </c>
      <c r="B93" s="494"/>
      <c r="C93" s="74"/>
      <c r="F93" s="68"/>
      <c r="G93" s="68"/>
      <c r="H93" s="68"/>
      <c r="I93" s="68"/>
      <c r="J93" s="68"/>
      <c r="K93" s="68"/>
      <c r="L93" s="68"/>
      <c r="M93" s="68"/>
      <c r="N93" s="68"/>
      <c r="O93" s="68"/>
      <c r="Q93" s="68"/>
      <c r="R93" s="68"/>
      <c r="S93" s="68"/>
      <c r="T93" s="68"/>
    </row>
    <row r="94" spans="1:20" ht="14.1" customHeight="1" x14ac:dyDescent="0.2">
      <c r="A94" s="395">
        <v>34</v>
      </c>
      <c r="B94" s="494"/>
      <c r="C94" s="74"/>
      <c r="F94" s="68"/>
      <c r="G94" s="68"/>
      <c r="H94" s="68"/>
      <c r="I94" s="68"/>
      <c r="J94" s="68"/>
      <c r="K94" s="68"/>
      <c r="L94" s="68"/>
      <c r="M94" s="68"/>
      <c r="N94" s="68"/>
      <c r="O94" s="68"/>
      <c r="Q94" s="68"/>
      <c r="R94" s="68"/>
      <c r="S94" s="68"/>
      <c r="T94" s="68"/>
    </row>
    <row r="95" spans="1:20" ht="14.1" customHeight="1" x14ac:dyDescent="0.2">
      <c r="A95" s="395">
        <v>35</v>
      </c>
      <c r="B95" s="494"/>
      <c r="C95" s="74"/>
      <c r="F95" s="68"/>
      <c r="G95" s="68"/>
      <c r="H95" s="68"/>
      <c r="I95" s="68"/>
      <c r="J95" s="68"/>
      <c r="K95" s="68"/>
      <c r="L95" s="68"/>
      <c r="M95" s="68"/>
      <c r="N95" s="68"/>
      <c r="O95" s="68"/>
      <c r="Q95" s="68"/>
      <c r="R95" s="68"/>
      <c r="S95" s="68"/>
      <c r="T95" s="68"/>
    </row>
    <row r="96" spans="1:20" ht="14.1" customHeight="1" thickBot="1" x14ac:dyDescent="0.25">
      <c r="A96" s="396">
        <v>36</v>
      </c>
      <c r="B96" s="396"/>
      <c r="C96" s="396"/>
      <c r="D96" s="396"/>
      <c r="E96" s="396"/>
      <c r="F96" s="396"/>
      <c r="G96" s="396"/>
      <c r="H96" s="396"/>
      <c r="I96" s="396"/>
      <c r="J96" s="396"/>
      <c r="K96" s="396"/>
      <c r="L96" s="396"/>
      <c r="M96" s="396"/>
      <c r="N96" s="396"/>
      <c r="O96" s="396"/>
      <c r="P96" s="396"/>
      <c r="Q96" s="396"/>
      <c r="R96" s="396"/>
      <c r="S96" s="396"/>
      <c r="T96" s="396"/>
    </row>
    <row r="97" spans="1:20" ht="14.1" customHeight="1" x14ac:dyDescent="0.2">
      <c r="A97" s="395" t="str">
        <f>+$A$49</f>
        <v>Supporting Schedules:  E-7, E-14 Supplement</v>
      </c>
      <c r="R97" s="395" t="s">
        <v>1003</v>
      </c>
    </row>
    <row r="98" spans="1:20" ht="14.1" customHeight="1" thickBot="1" x14ac:dyDescent="0.25">
      <c r="A98" s="396" t="str">
        <f>+$A$2</f>
        <v>SCHEDULE A-3</v>
      </c>
      <c r="B98" s="396"/>
      <c r="C98" s="396"/>
      <c r="D98" s="396"/>
      <c r="E98" s="396"/>
      <c r="F98" s="396"/>
      <c r="G98" s="396"/>
      <c r="H98" s="396"/>
      <c r="I98" s="396" t="str">
        <f>+$I$2</f>
        <v>SUMMARY OF TARIFFS</v>
      </c>
      <c r="J98" s="396"/>
      <c r="K98" s="396"/>
      <c r="L98" s="396"/>
      <c r="M98" s="396"/>
      <c r="N98" s="396"/>
      <c r="O98" s="396"/>
      <c r="P98" s="396"/>
      <c r="Q98" s="396"/>
      <c r="R98" s="396"/>
      <c r="S98" s="396"/>
      <c r="T98" s="492" t="s">
        <v>1148</v>
      </c>
    </row>
    <row r="99" spans="1:20" ht="14.1" customHeight="1" x14ac:dyDescent="0.2">
      <c r="A99" s="395" t="s">
        <v>307</v>
      </c>
      <c r="F99" s="399" t="s">
        <v>1041</v>
      </c>
      <c r="G99" s="395" t="s">
        <v>1042</v>
      </c>
      <c r="L99" s="397"/>
      <c r="M99" s="397"/>
      <c r="O99" s="397"/>
      <c r="P99" s="397"/>
      <c r="Q99" s="397" t="s">
        <v>847</v>
      </c>
      <c r="T99" s="398"/>
    </row>
    <row r="100" spans="1:20" ht="14.1" customHeight="1" x14ac:dyDescent="0.2">
      <c r="G100" s="395" t="s">
        <v>1043</v>
      </c>
      <c r="L100" s="399"/>
      <c r="M100" s="398"/>
      <c r="P100" s="399"/>
      <c r="Q100" s="311" t="s">
        <v>919</v>
      </c>
      <c r="R100" s="310" t="s">
        <v>920</v>
      </c>
      <c r="T100" s="399"/>
    </row>
    <row r="101" spans="1:20" ht="14.1" customHeight="1" x14ac:dyDescent="0.2">
      <c r="A101" s="395" t="s">
        <v>310</v>
      </c>
      <c r="L101" s="399"/>
      <c r="M101" s="398"/>
      <c r="N101" s="399"/>
      <c r="Q101" s="311"/>
      <c r="R101" s="310" t="s">
        <v>937</v>
      </c>
      <c r="T101" s="399"/>
    </row>
    <row r="102" spans="1:20" ht="14.1" customHeight="1" x14ac:dyDescent="0.2">
      <c r="L102" s="399"/>
      <c r="M102" s="398"/>
      <c r="N102" s="399"/>
      <c r="Q102" s="311"/>
      <c r="R102" s="310" t="s">
        <v>938</v>
      </c>
      <c r="T102" s="399"/>
    </row>
    <row r="103" spans="1:20" ht="14.1" customHeight="1" thickBot="1" x14ac:dyDescent="0.25">
      <c r="A103" s="396" t="s">
        <v>1022</v>
      </c>
      <c r="B103" s="396"/>
      <c r="C103" s="396"/>
      <c r="D103" s="396"/>
      <c r="E103" s="396"/>
      <c r="F103" s="396"/>
      <c r="G103" s="396"/>
      <c r="H103" s="396"/>
      <c r="I103" s="400"/>
      <c r="J103" s="396"/>
      <c r="K103" s="396"/>
      <c r="L103" s="396"/>
      <c r="M103" s="396"/>
      <c r="N103" s="396"/>
      <c r="O103" s="396"/>
      <c r="P103" s="396"/>
      <c r="Q103" s="396"/>
      <c r="R103" s="396" t="s">
        <v>311</v>
      </c>
      <c r="S103" s="396"/>
      <c r="T103" s="396"/>
    </row>
    <row r="104" spans="1:20" ht="14.1" customHeight="1" x14ac:dyDescent="0.2">
      <c r="A104" s="395" t="str">
        <f>IF(+A$8="","",A$8)</f>
        <v/>
      </c>
      <c r="B104" s="402" t="str">
        <f t="shared" ref="B104:T104" si="5">IF(+B$8="","",B$8)</f>
        <v/>
      </c>
      <c r="C104" s="402" t="str">
        <f t="shared" si="5"/>
        <v>(1)</v>
      </c>
      <c r="D104" s="402" t="str">
        <f t="shared" si="5"/>
        <v/>
      </c>
      <c r="E104" s="402" t="str">
        <f t="shared" si="5"/>
        <v/>
      </c>
      <c r="F104" s="402" t="str">
        <f t="shared" si="5"/>
        <v>(2)</v>
      </c>
      <c r="G104" s="402" t="str">
        <f t="shared" si="5"/>
        <v/>
      </c>
      <c r="H104" s="402" t="str">
        <f>IF(+H$8="","",H$8)</f>
        <v/>
      </c>
      <c r="I104" s="402" t="str">
        <f>IF(+I$8="","",I$8)</f>
        <v>(3)</v>
      </c>
      <c r="J104" s="402" t="str">
        <f>IF(+J$8="","",J$8)</f>
        <v/>
      </c>
      <c r="K104" s="402"/>
      <c r="L104" s="402" t="str">
        <f t="shared" si="5"/>
        <v>(4)</v>
      </c>
      <c r="M104" s="402" t="str">
        <f t="shared" si="5"/>
        <v/>
      </c>
      <c r="N104" s="402" t="str">
        <f t="shared" si="5"/>
        <v>(5)</v>
      </c>
      <c r="O104" s="402" t="str">
        <f t="shared" si="5"/>
        <v/>
      </c>
      <c r="Q104" s="402" t="str">
        <f>IF(+Q$8="","",Q$8)</f>
        <v>(6)</v>
      </c>
      <c r="R104" s="402" t="str">
        <f t="shared" si="5"/>
        <v/>
      </c>
      <c r="S104" s="402" t="str">
        <f t="shared" si="5"/>
        <v/>
      </c>
      <c r="T104" s="402" t="str">
        <f t="shared" si="5"/>
        <v/>
      </c>
    </row>
    <row r="105" spans="1:20" ht="14.1" customHeight="1" x14ac:dyDescent="0.2">
      <c r="A105" s="395" t="str">
        <f>IF(+A$9="","",A$9)</f>
        <v/>
      </c>
      <c r="B105" s="402" t="str">
        <f t="shared" ref="B105:T105" si="6">IF(+B$9="","",B$9)</f>
        <v/>
      </c>
      <c r="C105" s="402" t="str">
        <f t="shared" si="6"/>
        <v/>
      </c>
      <c r="D105" s="402" t="str">
        <f t="shared" si="6"/>
        <v/>
      </c>
      <c r="E105" s="402" t="str">
        <f t="shared" si="6"/>
        <v/>
      </c>
      <c r="F105" s="402" t="str">
        <f t="shared" si="6"/>
        <v/>
      </c>
      <c r="G105" s="402" t="str">
        <f t="shared" si="6"/>
        <v/>
      </c>
      <c r="H105" s="402" t="str">
        <f>IF(+H$9="","",H$9)</f>
        <v/>
      </c>
      <c r="I105" s="402" t="str">
        <f>IF(+I$9="","",I$9)</f>
        <v/>
      </c>
      <c r="J105" s="402" t="str">
        <f>IF(+J$9="","",J$9)</f>
        <v/>
      </c>
      <c r="K105" s="402"/>
      <c r="L105" s="402" t="str">
        <f t="shared" si="6"/>
        <v/>
      </c>
      <c r="M105" s="402" t="str">
        <f t="shared" si="6"/>
        <v/>
      </c>
      <c r="N105" s="402" t="str">
        <f t="shared" si="6"/>
        <v/>
      </c>
      <c r="O105" s="402" t="str">
        <f t="shared" si="6"/>
        <v/>
      </c>
      <c r="Q105" s="402" t="str">
        <f>IF(+Q$9="","",Q$9)</f>
        <v/>
      </c>
      <c r="R105" s="402" t="str">
        <f t="shared" si="6"/>
        <v/>
      </c>
      <c r="S105" s="402" t="str">
        <f t="shared" si="6"/>
        <v/>
      </c>
      <c r="T105" s="402" t="str">
        <f t="shared" si="6"/>
        <v/>
      </c>
    </row>
    <row r="106" spans="1:20" ht="14.1" customHeight="1" x14ac:dyDescent="0.2">
      <c r="A106" s="395" t="str">
        <f>IF(+A$10="","",A$10)</f>
        <v/>
      </c>
      <c r="B106" s="402" t="str">
        <f t="shared" ref="B106:T106" si="7">IF(+B$10="","",B$10)</f>
        <v/>
      </c>
      <c r="C106" s="402" t="str">
        <f t="shared" si="7"/>
        <v xml:space="preserve">Current </v>
      </c>
      <c r="D106" s="402" t="str">
        <f t="shared" si="7"/>
        <v/>
      </c>
      <c r="E106" s="402" t="str">
        <f t="shared" si="7"/>
        <v/>
      </c>
      <c r="F106" s="402" t="str">
        <f t="shared" si="7"/>
        <v/>
      </c>
      <c r="G106" s="402" t="str">
        <f t="shared" si="7"/>
        <v/>
      </c>
      <c r="H106" s="402" t="str">
        <f>IF(+H$10="","",H$10)</f>
        <v/>
      </c>
      <c r="I106" s="402" t="str">
        <f>IF(+I$10="","",I$10)</f>
        <v/>
      </c>
      <c r="J106" s="402" t="str">
        <f>IF(+J$10="","",J$10)</f>
        <v/>
      </c>
      <c r="K106" s="402"/>
      <c r="L106" s="402" t="str">
        <f t="shared" si="7"/>
        <v>Proposed</v>
      </c>
      <c r="M106" s="402" t="str">
        <f t="shared" si="7"/>
        <v/>
      </c>
      <c r="N106" s="402" t="str">
        <f t="shared" si="7"/>
        <v/>
      </c>
      <c r="O106" s="402" t="str">
        <f t="shared" si="7"/>
        <v/>
      </c>
      <c r="Q106" s="402" t="str">
        <f>IF(+Q$10="","",Q$10)</f>
        <v>Percent</v>
      </c>
      <c r="R106" s="402" t="str">
        <f t="shared" si="7"/>
        <v/>
      </c>
      <c r="S106" s="402" t="str">
        <f t="shared" si="7"/>
        <v/>
      </c>
      <c r="T106" s="402" t="str">
        <f t="shared" si="7"/>
        <v/>
      </c>
    </row>
    <row r="107" spans="1:20" ht="14.1" customHeight="1" x14ac:dyDescent="0.2">
      <c r="A107" s="395" t="str">
        <f>IF(+A$11="","",A$11)</f>
        <v>Line</v>
      </c>
      <c r="B107" s="402" t="str">
        <f t="shared" ref="B107:T107" si="8">IF(+B$11="","",B$11)</f>
        <v/>
      </c>
      <c r="C107" s="402" t="str">
        <f t="shared" si="8"/>
        <v>Rate</v>
      </c>
      <c r="D107" s="402" t="str">
        <f t="shared" si="8"/>
        <v/>
      </c>
      <c r="E107" s="402" t="str">
        <f t="shared" si="8"/>
        <v/>
      </c>
      <c r="F107" s="402" t="str">
        <f t="shared" si="8"/>
        <v/>
      </c>
      <c r="G107" s="402" t="str">
        <f t="shared" si="8"/>
        <v/>
      </c>
      <c r="H107" s="402" t="str">
        <f>IF(+H$11="","",H$11)</f>
        <v/>
      </c>
      <c r="I107" s="402" t="str">
        <f>IF(+I$11="","",I$11)</f>
        <v>Current</v>
      </c>
      <c r="J107" s="402" t="str">
        <f>IF(+J$11="","",J$11)</f>
        <v/>
      </c>
      <c r="K107" s="402"/>
      <c r="L107" s="402" t="str">
        <f t="shared" si="8"/>
        <v>Rate</v>
      </c>
      <c r="M107" s="402" t="str">
        <f t="shared" si="8"/>
        <v/>
      </c>
      <c r="N107" s="402" t="str">
        <f t="shared" si="8"/>
        <v>Proposed</v>
      </c>
      <c r="O107" s="402" t="str">
        <f t="shared" si="8"/>
        <v/>
      </c>
      <c r="Q107" s="402" t="str">
        <f>IF(+Q$11="","",Q$11)</f>
        <v>Increase</v>
      </c>
      <c r="R107" s="402" t="str">
        <f t="shared" si="8"/>
        <v/>
      </c>
      <c r="S107" s="402" t="str">
        <f t="shared" si="8"/>
        <v/>
      </c>
      <c r="T107" s="402" t="str">
        <f t="shared" si="8"/>
        <v/>
      </c>
    </row>
    <row r="108" spans="1:20" ht="14.1" customHeight="1" thickBot="1" x14ac:dyDescent="0.25">
      <c r="A108" s="396" t="str">
        <f>IF(+A$12="","",A$12)</f>
        <v>No.</v>
      </c>
      <c r="B108" s="400" t="str">
        <f t="shared" ref="B108:T108" si="9">IF(+B$12="","",B$12)</f>
        <v/>
      </c>
      <c r="C108" s="400" t="str">
        <f t="shared" si="9"/>
        <v>Schedule</v>
      </c>
      <c r="D108" s="400" t="str">
        <f t="shared" si="9"/>
        <v/>
      </c>
      <c r="E108" s="400"/>
      <c r="F108" s="400" t="str">
        <f t="shared" si="9"/>
        <v>Type of Charge</v>
      </c>
      <c r="G108" s="400"/>
      <c r="H108" s="400" t="str">
        <f>IF(+H$12="","",H$12)</f>
        <v/>
      </c>
      <c r="I108" s="400" t="str">
        <f>IF(+I$12="","",I$12)</f>
        <v>Rate</v>
      </c>
      <c r="J108" s="400" t="str">
        <f>IF(+J$12="","",J$12)</f>
        <v/>
      </c>
      <c r="K108" s="400"/>
      <c r="L108" s="400" t="str">
        <f t="shared" si="9"/>
        <v>Schedule</v>
      </c>
      <c r="M108" s="400" t="str">
        <f t="shared" si="9"/>
        <v/>
      </c>
      <c r="N108" s="400" t="str">
        <f t="shared" si="9"/>
        <v>Rate</v>
      </c>
      <c r="O108" s="400" t="str">
        <f t="shared" si="9"/>
        <v/>
      </c>
      <c r="P108" s="396"/>
      <c r="Q108" s="400" t="str">
        <f>IF(+Q$12="","",Q$12)</f>
        <v>((5)-(3))/(3)</v>
      </c>
      <c r="R108" s="400" t="str">
        <f t="shared" si="9"/>
        <v/>
      </c>
      <c r="S108" s="400" t="str">
        <f t="shared" si="9"/>
        <v/>
      </c>
      <c r="T108" s="400" t="str">
        <f t="shared" si="9"/>
        <v/>
      </c>
    </row>
    <row r="109" spans="1:20" ht="14.1" customHeight="1" x14ac:dyDescent="0.2">
      <c r="A109" s="395">
        <v>1</v>
      </c>
      <c r="B109" s="493"/>
      <c r="C109" s="121" t="s">
        <v>360</v>
      </c>
      <c r="D109" s="120"/>
      <c r="E109" s="122" t="s">
        <v>327</v>
      </c>
      <c r="F109" s="123"/>
      <c r="G109" s="124"/>
      <c r="H109" s="124"/>
      <c r="I109" s="125"/>
      <c r="J109" s="120"/>
      <c r="K109" s="120"/>
      <c r="L109" s="121" t="s">
        <v>360</v>
      </c>
      <c r="M109" s="120"/>
      <c r="N109" s="120"/>
      <c r="O109" s="120"/>
      <c r="Q109" s="120"/>
      <c r="R109" s="74"/>
      <c r="S109" s="74"/>
      <c r="T109" s="74"/>
    </row>
    <row r="110" spans="1:20" ht="14.1" customHeight="1" x14ac:dyDescent="0.2">
      <c r="A110" s="395">
        <v>2</v>
      </c>
      <c r="B110" s="494"/>
      <c r="C110" s="120"/>
      <c r="F110" s="124" t="s">
        <v>328</v>
      </c>
      <c r="G110" s="124"/>
      <c r="H110" s="124"/>
      <c r="I110" s="93">
        <f>+ROUND('2025 GS Rate Class E-13c'!J73,2)</f>
        <v>0.75</v>
      </c>
      <c r="J110" s="120" t="s">
        <v>1050</v>
      </c>
      <c r="K110" s="120"/>
      <c r="M110" s="120"/>
      <c r="N110" s="93">
        <f>+ROUND('2025 GS Rate Class E-13c'!Q73,2)</f>
        <v>1.27</v>
      </c>
      <c r="O110" s="120" t="s">
        <v>1050</v>
      </c>
      <c r="Q110" s="126">
        <f>IF(I110=0,0,+(N110-I110)/I110)</f>
        <v>0.69333333333333336</v>
      </c>
      <c r="R110" s="74"/>
      <c r="S110" s="74"/>
      <c r="T110" s="74"/>
    </row>
    <row r="111" spans="1:20" ht="14.1" customHeight="1" x14ac:dyDescent="0.2">
      <c r="A111" s="395">
        <v>3</v>
      </c>
      <c r="B111" s="494"/>
      <c r="C111" s="120"/>
      <c r="F111" s="127"/>
      <c r="G111" s="127"/>
      <c r="H111" s="127"/>
      <c r="I111" s="93"/>
      <c r="J111" s="120"/>
      <c r="K111" s="120"/>
      <c r="L111" s="128"/>
      <c r="M111" s="128"/>
      <c r="N111" s="93"/>
      <c r="O111" s="120"/>
      <c r="Q111" s="126"/>
      <c r="R111" s="74"/>
      <c r="S111" s="74"/>
      <c r="T111" s="74"/>
    </row>
    <row r="112" spans="1:20" ht="14.1" customHeight="1" x14ac:dyDescent="0.2">
      <c r="A112" s="395">
        <v>4</v>
      </c>
      <c r="B112" s="494"/>
      <c r="C112" s="120"/>
      <c r="E112" s="129" t="s">
        <v>1052</v>
      </c>
      <c r="G112" s="127"/>
      <c r="H112" s="127"/>
      <c r="I112" s="93"/>
      <c r="J112" s="128"/>
      <c r="K112" s="128"/>
      <c r="L112" s="128"/>
      <c r="M112" s="128"/>
      <c r="N112" s="93"/>
      <c r="O112" s="128"/>
      <c r="Q112" s="132"/>
      <c r="R112" s="68"/>
      <c r="S112" s="68"/>
      <c r="T112" s="68"/>
    </row>
    <row r="113" spans="1:20" ht="14.1" customHeight="1" x14ac:dyDescent="0.2">
      <c r="A113" s="395">
        <v>5</v>
      </c>
      <c r="B113" s="494"/>
      <c r="F113" s="124" t="s">
        <v>328</v>
      </c>
      <c r="G113" s="127"/>
      <c r="H113" s="127"/>
      <c r="I113" s="148">
        <f>+ROUND('2025 GS Rate Class E-13c'!J77,5)</f>
        <v>7.8619999999999995E-2</v>
      </c>
      <c r="J113" s="127" t="s">
        <v>1123</v>
      </c>
      <c r="K113" s="127"/>
      <c r="L113" s="127"/>
      <c r="M113" s="127"/>
      <c r="N113" s="148">
        <f>+ROUND('2025 GS Rate Class E-13c'!Q77,5)</f>
        <v>6.8059999999999996E-2</v>
      </c>
      <c r="O113" s="127" t="s">
        <v>1123</v>
      </c>
      <c r="Q113" s="126">
        <f>IF(I113=0,0,+(N113-I113)/I113)</f>
        <v>-0.13431696769269907</v>
      </c>
      <c r="R113" s="68"/>
      <c r="S113" s="68"/>
      <c r="T113" s="68"/>
    </row>
    <row r="114" spans="1:20" ht="14.1" customHeight="1" x14ac:dyDescent="0.2">
      <c r="A114" s="395">
        <v>6</v>
      </c>
      <c r="B114" s="494"/>
      <c r="C114" s="120"/>
      <c r="R114" s="68"/>
      <c r="S114" s="68"/>
      <c r="T114" s="68"/>
    </row>
    <row r="115" spans="1:20" ht="14.1" customHeight="1" x14ac:dyDescent="0.2">
      <c r="A115" s="395">
        <v>7</v>
      </c>
      <c r="B115" s="494"/>
      <c r="C115" s="120"/>
      <c r="F115" s="127"/>
      <c r="G115" s="127"/>
      <c r="H115" s="127"/>
      <c r="I115" s="116"/>
      <c r="J115" s="127"/>
      <c r="K115" s="127"/>
      <c r="L115" s="127"/>
      <c r="M115" s="127"/>
      <c r="N115" s="127"/>
      <c r="O115" s="127"/>
      <c r="Q115" s="67"/>
      <c r="R115" s="68"/>
      <c r="S115" s="68"/>
      <c r="T115" s="68"/>
    </row>
    <row r="116" spans="1:20" ht="14.1" customHeight="1" x14ac:dyDescent="0.2">
      <c r="A116" s="395">
        <v>8</v>
      </c>
      <c r="B116" s="494"/>
      <c r="F116" s="127"/>
      <c r="G116" s="127"/>
      <c r="H116" s="127"/>
      <c r="I116" s="116"/>
      <c r="J116" s="127"/>
      <c r="K116" s="127"/>
      <c r="L116" s="127"/>
      <c r="M116" s="127"/>
      <c r="N116" s="127"/>
      <c r="O116" s="127"/>
      <c r="Q116" s="67"/>
      <c r="R116" s="68"/>
      <c r="S116" s="68"/>
      <c r="T116" s="68"/>
    </row>
    <row r="117" spans="1:20" ht="14.1" customHeight="1" x14ac:dyDescent="0.2">
      <c r="A117" s="395">
        <v>9</v>
      </c>
      <c r="B117" s="494"/>
      <c r="C117" s="65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Q117" s="68"/>
      <c r="R117" s="68"/>
      <c r="S117" s="68"/>
      <c r="T117" s="68"/>
    </row>
    <row r="118" spans="1:20" ht="14.1" customHeight="1" x14ac:dyDescent="0.2">
      <c r="A118" s="395">
        <v>10</v>
      </c>
      <c r="B118" s="494"/>
      <c r="C118" s="74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Q118" s="68"/>
      <c r="R118" s="68"/>
      <c r="S118" s="68"/>
      <c r="T118" s="68"/>
    </row>
    <row r="119" spans="1:20" ht="14.1" customHeight="1" x14ac:dyDescent="0.2">
      <c r="A119" s="395">
        <v>11</v>
      </c>
      <c r="B119" s="494"/>
      <c r="C119" s="74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Q119" s="68"/>
      <c r="R119" s="68"/>
      <c r="S119" s="68"/>
      <c r="T119" s="68"/>
    </row>
    <row r="120" spans="1:20" ht="14.1" customHeight="1" x14ac:dyDescent="0.2">
      <c r="A120" s="395">
        <v>12</v>
      </c>
      <c r="B120" s="494"/>
      <c r="C120" s="74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Q120" s="68"/>
      <c r="R120" s="68"/>
      <c r="S120" s="68"/>
      <c r="T120" s="68"/>
    </row>
    <row r="121" spans="1:20" ht="14.1" customHeight="1" x14ac:dyDescent="0.2">
      <c r="A121" s="395">
        <v>13</v>
      </c>
      <c r="B121" s="494"/>
      <c r="C121" s="74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Q121" s="68"/>
      <c r="R121" s="68"/>
      <c r="S121" s="68"/>
      <c r="T121" s="68"/>
    </row>
    <row r="122" spans="1:20" ht="14.1" customHeight="1" x14ac:dyDescent="0.2">
      <c r="A122" s="395">
        <v>14</v>
      </c>
      <c r="B122" s="494"/>
      <c r="C122" s="74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Q122" s="68"/>
      <c r="R122" s="68"/>
      <c r="S122" s="68"/>
      <c r="T122" s="68"/>
    </row>
    <row r="123" spans="1:20" ht="14.1" customHeight="1" x14ac:dyDescent="0.2">
      <c r="A123" s="395">
        <v>15</v>
      </c>
      <c r="B123" s="494"/>
      <c r="C123" s="74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Q123" s="68"/>
      <c r="R123" s="68"/>
      <c r="S123" s="68"/>
      <c r="T123" s="68"/>
    </row>
    <row r="124" spans="1:20" ht="14.1" customHeight="1" x14ac:dyDescent="0.2">
      <c r="A124" s="395">
        <v>16</v>
      </c>
      <c r="B124" s="494"/>
      <c r="C124" s="74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Q124" s="68"/>
      <c r="R124" s="68"/>
      <c r="S124" s="68"/>
      <c r="T124" s="68"/>
    </row>
    <row r="125" spans="1:20" ht="14.1" customHeight="1" x14ac:dyDescent="0.2">
      <c r="A125" s="395">
        <v>17</v>
      </c>
      <c r="B125" s="494"/>
      <c r="C125" s="74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Q125" s="68"/>
      <c r="R125" s="68"/>
      <c r="S125" s="68"/>
      <c r="T125" s="68"/>
    </row>
    <row r="126" spans="1:20" ht="14.1" customHeight="1" x14ac:dyDescent="0.2">
      <c r="A126" s="395">
        <v>18</v>
      </c>
      <c r="B126" s="494"/>
      <c r="C126" s="74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Q126" s="68"/>
      <c r="R126" s="68"/>
      <c r="S126" s="68"/>
      <c r="T126" s="68"/>
    </row>
    <row r="127" spans="1:20" ht="14.1" customHeight="1" x14ac:dyDescent="0.2">
      <c r="A127" s="395">
        <v>19</v>
      </c>
      <c r="B127" s="494"/>
      <c r="C127" s="74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Q127" s="68"/>
      <c r="R127" s="68"/>
      <c r="S127" s="68"/>
      <c r="T127" s="68"/>
    </row>
    <row r="128" spans="1:20" ht="14.1" customHeight="1" x14ac:dyDescent="0.2">
      <c r="A128" s="395">
        <v>20</v>
      </c>
      <c r="B128" s="494"/>
      <c r="C128" s="74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Q128" s="68"/>
      <c r="R128" s="68"/>
      <c r="S128" s="68"/>
      <c r="T128" s="68"/>
    </row>
    <row r="129" spans="1:20" ht="14.1" customHeight="1" x14ac:dyDescent="0.2">
      <c r="A129" s="395">
        <v>21</v>
      </c>
      <c r="B129" s="494"/>
      <c r="C129" s="74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Q129" s="68"/>
      <c r="R129" s="68"/>
      <c r="S129" s="68"/>
      <c r="T129" s="68"/>
    </row>
    <row r="130" spans="1:20" ht="14.1" customHeight="1" x14ac:dyDescent="0.2">
      <c r="A130" s="395">
        <v>22</v>
      </c>
      <c r="B130" s="494"/>
      <c r="C130" s="74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Q130" s="68"/>
      <c r="R130" s="68"/>
      <c r="S130" s="68"/>
      <c r="T130" s="68"/>
    </row>
    <row r="131" spans="1:20" ht="14.1" customHeight="1" x14ac:dyDescent="0.2">
      <c r="A131" s="395">
        <v>23</v>
      </c>
      <c r="B131" s="494"/>
      <c r="C131" s="74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Q131" s="68"/>
      <c r="R131" s="68"/>
      <c r="S131" s="68"/>
      <c r="T131" s="68"/>
    </row>
    <row r="132" spans="1:20" ht="14.1" customHeight="1" x14ac:dyDescent="0.2">
      <c r="A132" s="395">
        <v>24</v>
      </c>
      <c r="B132" s="494"/>
      <c r="C132" s="74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Q132" s="68"/>
      <c r="R132" s="68"/>
      <c r="S132" s="68"/>
      <c r="T132" s="68"/>
    </row>
    <row r="133" spans="1:20" ht="14.1" customHeight="1" x14ac:dyDescent="0.2">
      <c r="A133" s="395">
        <v>25</v>
      </c>
      <c r="B133" s="494"/>
      <c r="C133" s="74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Q133" s="68"/>
      <c r="R133" s="68"/>
      <c r="S133" s="68"/>
      <c r="T133" s="68"/>
    </row>
    <row r="134" spans="1:20" ht="14.1" customHeight="1" x14ac:dyDescent="0.2">
      <c r="A134" s="395">
        <v>26</v>
      </c>
      <c r="B134" s="494"/>
      <c r="C134" s="74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Q134" s="68"/>
      <c r="R134" s="68"/>
      <c r="S134" s="68"/>
      <c r="T134" s="68"/>
    </row>
    <row r="135" spans="1:20" ht="14.1" customHeight="1" x14ac:dyDescent="0.2">
      <c r="A135" s="395">
        <v>27</v>
      </c>
      <c r="B135" s="494"/>
      <c r="C135" s="74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Q135" s="68"/>
      <c r="R135" s="68"/>
      <c r="S135" s="68"/>
      <c r="T135" s="68"/>
    </row>
    <row r="136" spans="1:20" ht="14.1" customHeight="1" x14ac:dyDescent="0.2">
      <c r="A136" s="395">
        <v>28</v>
      </c>
      <c r="B136" s="494"/>
      <c r="C136" s="74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Q136" s="68"/>
      <c r="R136" s="68"/>
      <c r="S136" s="68"/>
      <c r="T136" s="68"/>
    </row>
    <row r="137" spans="1:20" ht="14.1" customHeight="1" x14ac:dyDescent="0.2">
      <c r="A137" s="395">
        <v>29</v>
      </c>
      <c r="B137" s="494"/>
      <c r="C137" s="74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Q137" s="68"/>
      <c r="R137" s="68"/>
      <c r="S137" s="68"/>
      <c r="T137" s="68"/>
    </row>
    <row r="138" spans="1:20" ht="14.1" customHeight="1" x14ac:dyDescent="0.2">
      <c r="A138" s="395">
        <v>30</v>
      </c>
      <c r="B138" s="494"/>
      <c r="C138" s="74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Q138" s="68"/>
      <c r="R138" s="68"/>
      <c r="S138" s="68"/>
      <c r="T138" s="68"/>
    </row>
    <row r="139" spans="1:20" ht="14.1" customHeight="1" x14ac:dyDescent="0.2">
      <c r="A139" s="395">
        <v>31</v>
      </c>
      <c r="B139" s="494"/>
      <c r="C139" s="74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Q139" s="68"/>
      <c r="R139" s="68"/>
      <c r="S139" s="68"/>
      <c r="T139" s="68"/>
    </row>
    <row r="140" spans="1:20" ht="14.1" customHeight="1" x14ac:dyDescent="0.2">
      <c r="A140" s="395">
        <v>32</v>
      </c>
      <c r="B140" s="494"/>
      <c r="C140" s="74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Q140" s="68"/>
      <c r="R140" s="68"/>
      <c r="S140" s="68"/>
      <c r="T140" s="68"/>
    </row>
    <row r="141" spans="1:20" ht="14.1" customHeight="1" x14ac:dyDescent="0.2">
      <c r="A141" s="395">
        <v>33</v>
      </c>
      <c r="B141" s="494"/>
      <c r="C141" s="74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Q141" s="68"/>
      <c r="R141" s="68"/>
      <c r="S141" s="68"/>
      <c r="T141" s="68"/>
    </row>
    <row r="142" spans="1:20" ht="14.1" customHeight="1" x14ac:dyDescent="0.2">
      <c r="A142" s="395">
        <v>34</v>
      </c>
      <c r="B142" s="494"/>
      <c r="C142" s="74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Q142" s="68"/>
      <c r="R142" s="68"/>
      <c r="S142" s="68"/>
      <c r="T142" s="68"/>
    </row>
    <row r="143" spans="1:20" ht="14.1" customHeight="1" x14ac:dyDescent="0.2">
      <c r="A143" s="395">
        <v>35</v>
      </c>
      <c r="B143" s="494"/>
      <c r="C143" s="74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Q143" s="68"/>
      <c r="R143" s="68"/>
      <c r="S143" s="68"/>
      <c r="T143" s="68"/>
    </row>
    <row r="144" spans="1:20" ht="14.1" customHeight="1" thickBot="1" x14ac:dyDescent="0.25">
      <c r="A144" s="396">
        <v>36</v>
      </c>
      <c r="B144" s="396"/>
      <c r="C144" s="396"/>
      <c r="D144" s="396"/>
      <c r="E144" s="396"/>
      <c r="F144" s="396"/>
      <c r="G144" s="396"/>
      <c r="H144" s="396"/>
      <c r="I144" s="396"/>
      <c r="J144" s="396"/>
      <c r="K144" s="396"/>
      <c r="L144" s="396"/>
      <c r="M144" s="396"/>
      <c r="N144" s="396"/>
      <c r="O144" s="396"/>
      <c r="P144" s="396"/>
      <c r="Q144" s="396"/>
      <c r="R144" s="396"/>
      <c r="S144" s="396"/>
      <c r="T144" s="396"/>
    </row>
    <row r="145" spans="1:20" ht="14.1" customHeight="1" x14ac:dyDescent="0.2">
      <c r="A145" s="395" t="str">
        <f>+$A$49</f>
        <v>Supporting Schedules:  E-7, E-14 Supplement</v>
      </c>
      <c r="R145" s="395" t="s">
        <v>1003</v>
      </c>
    </row>
    <row r="146" spans="1:20" ht="14.1" customHeight="1" thickBot="1" x14ac:dyDescent="0.25">
      <c r="A146" s="396" t="str">
        <f>+$A$2</f>
        <v>SCHEDULE A-3</v>
      </c>
      <c r="B146" s="396"/>
      <c r="C146" s="396"/>
      <c r="D146" s="396"/>
      <c r="E146" s="396"/>
      <c r="F146" s="396"/>
      <c r="G146" s="396"/>
      <c r="H146" s="396"/>
      <c r="I146" s="396" t="str">
        <f>+$I$2</f>
        <v>SUMMARY OF TARIFFS</v>
      </c>
      <c r="J146" s="396"/>
      <c r="K146" s="396"/>
      <c r="L146" s="396"/>
      <c r="M146" s="396"/>
      <c r="N146" s="396"/>
      <c r="O146" s="396"/>
      <c r="P146" s="396"/>
      <c r="Q146" s="396"/>
      <c r="R146" s="396"/>
      <c r="S146" s="396"/>
      <c r="T146" s="492" t="s">
        <v>1149</v>
      </c>
    </row>
    <row r="147" spans="1:20" ht="14.1" customHeight="1" x14ac:dyDescent="0.2">
      <c r="A147" s="395" t="s">
        <v>307</v>
      </c>
      <c r="F147" s="399" t="s">
        <v>1041</v>
      </c>
      <c r="G147" s="395" t="s">
        <v>1042</v>
      </c>
      <c r="L147" s="397"/>
      <c r="M147" s="397"/>
      <c r="O147" s="397"/>
      <c r="P147" s="397"/>
      <c r="Q147" s="397" t="s">
        <v>847</v>
      </c>
      <c r="T147" s="398"/>
    </row>
    <row r="148" spans="1:20" ht="14.1" customHeight="1" x14ac:dyDescent="0.2">
      <c r="G148" s="395" t="s">
        <v>1043</v>
      </c>
      <c r="L148" s="399"/>
      <c r="M148" s="398"/>
      <c r="P148" s="399"/>
      <c r="Q148" s="311" t="s">
        <v>919</v>
      </c>
      <c r="R148" s="310" t="s">
        <v>920</v>
      </c>
      <c r="T148" s="399"/>
    </row>
    <row r="149" spans="1:20" ht="14.1" customHeight="1" x14ac:dyDescent="0.2">
      <c r="A149" s="395" t="s">
        <v>310</v>
      </c>
      <c r="L149" s="399"/>
      <c r="M149" s="398"/>
      <c r="N149" s="399"/>
      <c r="Q149" s="311"/>
      <c r="R149" s="310" t="s">
        <v>937</v>
      </c>
      <c r="T149" s="399"/>
    </row>
    <row r="150" spans="1:20" ht="14.1" customHeight="1" x14ac:dyDescent="0.2">
      <c r="L150" s="399"/>
      <c r="M150" s="398"/>
      <c r="N150" s="399"/>
      <c r="Q150" s="311"/>
      <c r="R150" s="310" t="s">
        <v>938</v>
      </c>
      <c r="T150" s="399"/>
    </row>
    <row r="151" spans="1:20" ht="14.1" customHeight="1" thickBot="1" x14ac:dyDescent="0.25">
      <c r="A151" s="396" t="s">
        <v>1022</v>
      </c>
      <c r="B151" s="396"/>
      <c r="C151" s="396"/>
      <c r="D151" s="396"/>
      <c r="E151" s="396"/>
      <c r="F151" s="396"/>
      <c r="G151" s="396"/>
      <c r="H151" s="396"/>
      <c r="I151" s="400"/>
      <c r="J151" s="396"/>
      <c r="K151" s="396"/>
      <c r="L151" s="396"/>
      <c r="M151" s="396"/>
      <c r="N151" s="396"/>
      <c r="O151" s="396"/>
      <c r="P151" s="396"/>
      <c r="Q151" s="396"/>
      <c r="R151" s="396" t="s">
        <v>311</v>
      </c>
      <c r="S151" s="396"/>
      <c r="T151" s="396"/>
    </row>
    <row r="152" spans="1:20" ht="14.1" customHeight="1" x14ac:dyDescent="0.2">
      <c r="A152" s="395" t="str">
        <f>IF(+A$8="","",A$8)</f>
        <v/>
      </c>
      <c r="B152" s="402" t="str">
        <f t="shared" ref="B152:T152" si="10">IF(+B$8="","",B$8)</f>
        <v/>
      </c>
      <c r="C152" s="402" t="str">
        <f t="shared" si="10"/>
        <v>(1)</v>
      </c>
      <c r="D152" s="402" t="str">
        <f t="shared" si="10"/>
        <v/>
      </c>
      <c r="E152" s="402" t="str">
        <f t="shared" si="10"/>
        <v/>
      </c>
      <c r="F152" s="402" t="str">
        <f t="shared" si="10"/>
        <v>(2)</v>
      </c>
      <c r="G152" s="402" t="str">
        <f t="shared" si="10"/>
        <v/>
      </c>
      <c r="H152" s="402" t="str">
        <f>IF(+H$8="","",H$8)</f>
        <v/>
      </c>
      <c r="I152" s="402" t="str">
        <f>IF(+I$8="","",I$8)</f>
        <v>(3)</v>
      </c>
      <c r="J152" s="402" t="str">
        <f>IF(+J$8="","",J$8)</f>
        <v/>
      </c>
      <c r="K152" s="402"/>
      <c r="L152" s="402" t="str">
        <f t="shared" si="10"/>
        <v>(4)</v>
      </c>
      <c r="M152" s="402" t="str">
        <f t="shared" si="10"/>
        <v/>
      </c>
      <c r="N152" s="402" t="str">
        <f t="shared" si="10"/>
        <v>(5)</v>
      </c>
      <c r="O152" s="402" t="str">
        <f t="shared" si="10"/>
        <v/>
      </c>
      <c r="Q152" s="402" t="str">
        <f>IF(+Q$8="","",Q$8)</f>
        <v>(6)</v>
      </c>
      <c r="R152" s="402" t="str">
        <f t="shared" si="10"/>
        <v/>
      </c>
      <c r="S152" s="402" t="str">
        <f t="shared" si="10"/>
        <v/>
      </c>
      <c r="T152" s="402" t="str">
        <f t="shared" si="10"/>
        <v/>
      </c>
    </row>
    <row r="153" spans="1:20" ht="14.1" customHeight="1" x14ac:dyDescent="0.2">
      <c r="A153" s="395" t="str">
        <f>IF(+A$9="","",A$9)</f>
        <v/>
      </c>
      <c r="B153" s="402" t="str">
        <f t="shared" ref="B153:T153" si="11">IF(+B$9="","",B$9)</f>
        <v/>
      </c>
      <c r="C153" s="402" t="str">
        <f t="shared" si="11"/>
        <v/>
      </c>
      <c r="D153" s="402" t="str">
        <f t="shared" si="11"/>
        <v/>
      </c>
      <c r="E153" s="402" t="str">
        <f t="shared" si="11"/>
        <v/>
      </c>
      <c r="F153" s="402" t="str">
        <f t="shared" si="11"/>
        <v/>
      </c>
      <c r="G153" s="402" t="str">
        <f t="shared" si="11"/>
        <v/>
      </c>
      <c r="H153" s="402" t="str">
        <f>IF(+H$9="","",H$9)</f>
        <v/>
      </c>
      <c r="I153" s="402" t="str">
        <f>IF(+I$9="","",I$9)</f>
        <v/>
      </c>
      <c r="J153" s="402" t="str">
        <f>IF(+J$9="","",J$9)</f>
        <v/>
      </c>
      <c r="K153" s="402"/>
      <c r="L153" s="402" t="str">
        <f t="shared" si="11"/>
        <v/>
      </c>
      <c r="M153" s="402" t="str">
        <f t="shared" si="11"/>
        <v/>
      </c>
      <c r="N153" s="402" t="str">
        <f t="shared" si="11"/>
        <v/>
      </c>
      <c r="O153" s="402" t="str">
        <f t="shared" si="11"/>
        <v/>
      </c>
      <c r="Q153" s="402" t="str">
        <f>IF(+Q$9="","",Q$9)</f>
        <v/>
      </c>
      <c r="R153" s="402" t="str">
        <f t="shared" si="11"/>
        <v/>
      </c>
      <c r="S153" s="402" t="str">
        <f t="shared" si="11"/>
        <v/>
      </c>
      <c r="T153" s="402" t="str">
        <f t="shared" si="11"/>
        <v/>
      </c>
    </row>
    <row r="154" spans="1:20" ht="14.1" customHeight="1" x14ac:dyDescent="0.2">
      <c r="A154" s="395" t="str">
        <f>IF(+A$10="","",A$10)</f>
        <v/>
      </c>
      <c r="B154" s="402" t="str">
        <f t="shared" ref="B154:T154" si="12">IF(+B$10="","",B$10)</f>
        <v/>
      </c>
      <c r="C154" s="402" t="str">
        <f t="shared" si="12"/>
        <v xml:space="preserve">Current </v>
      </c>
      <c r="D154" s="402" t="str">
        <f t="shared" si="12"/>
        <v/>
      </c>
      <c r="E154" s="402" t="str">
        <f t="shared" si="12"/>
        <v/>
      </c>
      <c r="F154" s="402" t="str">
        <f t="shared" si="12"/>
        <v/>
      </c>
      <c r="G154" s="402" t="str">
        <f t="shared" si="12"/>
        <v/>
      </c>
      <c r="H154" s="402" t="str">
        <f>IF(+H$10="","",H$10)</f>
        <v/>
      </c>
      <c r="I154" s="402" t="str">
        <f>IF(+I$10="","",I$10)</f>
        <v/>
      </c>
      <c r="J154" s="402" t="str">
        <f>IF(+J$10="","",J$10)</f>
        <v/>
      </c>
      <c r="K154" s="402"/>
      <c r="L154" s="402" t="str">
        <f t="shared" si="12"/>
        <v>Proposed</v>
      </c>
      <c r="M154" s="402" t="str">
        <f t="shared" si="12"/>
        <v/>
      </c>
      <c r="N154" s="402" t="str">
        <f t="shared" si="12"/>
        <v/>
      </c>
      <c r="O154" s="402" t="str">
        <f t="shared" si="12"/>
        <v/>
      </c>
      <c r="Q154" s="402" t="str">
        <f>IF(+Q$10="","",Q$10)</f>
        <v>Percent</v>
      </c>
      <c r="R154" s="402" t="str">
        <f t="shared" si="12"/>
        <v/>
      </c>
      <c r="S154" s="402" t="str">
        <f t="shared" si="12"/>
        <v/>
      </c>
      <c r="T154" s="402" t="str">
        <f t="shared" si="12"/>
        <v/>
      </c>
    </row>
    <row r="155" spans="1:20" ht="14.1" customHeight="1" x14ac:dyDescent="0.2">
      <c r="A155" s="395" t="str">
        <f>IF(+A$11="","",A$11)</f>
        <v>Line</v>
      </c>
      <c r="B155" s="402" t="str">
        <f t="shared" ref="B155:T155" si="13">IF(+B$11="","",B$11)</f>
        <v/>
      </c>
      <c r="C155" s="402" t="str">
        <f t="shared" si="13"/>
        <v>Rate</v>
      </c>
      <c r="D155" s="402" t="str">
        <f t="shared" si="13"/>
        <v/>
      </c>
      <c r="E155" s="402" t="str">
        <f t="shared" si="13"/>
        <v/>
      </c>
      <c r="F155" s="402" t="str">
        <f t="shared" si="13"/>
        <v/>
      </c>
      <c r="G155" s="402" t="str">
        <f t="shared" si="13"/>
        <v/>
      </c>
      <c r="H155" s="402" t="str">
        <f>IF(+H$11="","",H$11)</f>
        <v/>
      </c>
      <c r="I155" s="402" t="str">
        <f>IF(+I$11="","",I$11)</f>
        <v>Current</v>
      </c>
      <c r="J155" s="402" t="str">
        <f>IF(+J$11="","",J$11)</f>
        <v/>
      </c>
      <c r="K155" s="402"/>
      <c r="L155" s="402" t="str">
        <f t="shared" si="13"/>
        <v>Rate</v>
      </c>
      <c r="M155" s="402" t="str">
        <f t="shared" si="13"/>
        <v/>
      </c>
      <c r="N155" s="402" t="str">
        <f t="shared" si="13"/>
        <v>Proposed</v>
      </c>
      <c r="O155" s="402" t="str">
        <f t="shared" si="13"/>
        <v/>
      </c>
      <c r="Q155" s="402" t="str">
        <f>IF(+Q$11="","",Q$11)</f>
        <v>Increase</v>
      </c>
      <c r="R155" s="402" t="str">
        <f t="shared" si="13"/>
        <v/>
      </c>
      <c r="S155" s="402" t="str">
        <f t="shared" si="13"/>
        <v/>
      </c>
      <c r="T155" s="402" t="str">
        <f t="shared" si="13"/>
        <v/>
      </c>
    </row>
    <row r="156" spans="1:20" ht="14.1" customHeight="1" thickBot="1" x14ac:dyDescent="0.25">
      <c r="A156" s="396" t="str">
        <f>IF(+A$12="","",A$12)</f>
        <v>No.</v>
      </c>
      <c r="B156" s="400" t="str">
        <f t="shared" ref="B156:T156" si="14">IF(+B$12="","",B$12)</f>
        <v/>
      </c>
      <c r="C156" s="400" t="str">
        <f t="shared" si="14"/>
        <v>Schedule</v>
      </c>
      <c r="D156" s="400" t="str">
        <f t="shared" si="14"/>
        <v/>
      </c>
      <c r="E156" s="400"/>
      <c r="F156" s="400" t="str">
        <f t="shared" si="14"/>
        <v>Type of Charge</v>
      </c>
      <c r="G156" s="400"/>
      <c r="H156" s="400" t="str">
        <f>IF(+H$12="","",H$12)</f>
        <v/>
      </c>
      <c r="I156" s="400" t="str">
        <f>IF(+I$12="","",I$12)</f>
        <v>Rate</v>
      </c>
      <c r="J156" s="400" t="str">
        <f>IF(+J$12="","",J$12)</f>
        <v/>
      </c>
      <c r="K156" s="400"/>
      <c r="L156" s="400" t="str">
        <f t="shared" si="14"/>
        <v>Schedule</v>
      </c>
      <c r="M156" s="400" t="str">
        <f t="shared" si="14"/>
        <v/>
      </c>
      <c r="N156" s="400" t="str">
        <f t="shared" si="14"/>
        <v>Rate</v>
      </c>
      <c r="O156" s="400" t="str">
        <f t="shared" si="14"/>
        <v/>
      </c>
      <c r="P156" s="396"/>
      <c r="Q156" s="400" t="str">
        <f>IF(+Q$12="","",Q$12)</f>
        <v>((5)-(3))/(3)</v>
      </c>
      <c r="R156" s="400" t="str">
        <f t="shared" si="14"/>
        <v/>
      </c>
      <c r="S156" s="400" t="str">
        <f t="shared" si="14"/>
        <v/>
      </c>
      <c r="T156" s="400" t="str">
        <f t="shared" si="14"/>
        <v/>
      </c>
    </row>
    <row r="157" spans="1:20" ht="14.1" customHeight="1" x14ac:dyDescent="0.2">
      <c r="A157" s="395">
        <v>1</v>
      </c>
      <c r="B157" s="493"/>
      <c r="C157" s="101" t="s">
        <v>1061</v>
      </c>
      <c r="D157" s="74"/>
      <c r="G157" s="65"/>
      <c r="H157" s="74"/>
      <c r="J157" s="74"/>
      <c r="K157" s="74"/>
      <c r="L157" s="101" t="s">
        <v>1061</v>
      </c>
      <c r="M157" s="74"/>
      <c r="N157" s="74"/>
      <c r="O157" s="74"/>
      <c r="Q157" s="74"/>
      <c r="R157" s="74"/>
      <c r="S157" s="74"/>
      <c r="T157" s="74"/>
    </row>
    <row r="158" spans="1:20" ht="14.1" customHeight="1" x14ac:dyDescent="0.2">
      <c r="A158" s="395">
        <v>2</v>
      </c>
      <c r="B158" s="493"/>
      <c r="C158" s="101"/>
      <c r="D158" s="74"/>
      <c r="E158" s="122" t="s">
        <v>327</v>
      </c>
      <c r="G158" s="65"/>
      <c r="H158" s="74"/>
      <c r="J158" s="74"/>
      <c r="K158" s="74"/>
      <c r="L158" s="101"/>
      <c r="M158" s="74"/>
      <c r="N158" s="74"/>
      <c r="O158" s="74"/>
      <c r="Q158" s="74"/>
      <c r="R158" s="74"/>
      <c r="S158" s="74"/>
      <c r="T158" s="74"/>
    </row>
    <row r="159" spans="1:20" ht="14.1" customHeight="1" x14ac:dyDescent="0.2">
      <c r="A159" s="395">
        <v>3</v>
      </c>
      <c r="B159" s="494"/>
      <c r="F159" s="134" t="s">
        <v>773</v>
      </c>
      <c r="G159" s="65"/>
      <c r="H159" s="74"/>
      <c r="I159" s="93">
        <f>+ROUND('2025 GSD Rate Class E-13c'!K18,2)</f>
        <v>1.08</v>
      </c>
      <c r="J159" s="74" t="s">
        <v>1050</v>
      </c>
      <c r="K159" s="74"/>
      <c r="L159" s="101"/>
      <c r="M159" s="74"/>
      <c r="N159" s="93">
        <f>+ROUND('2025 GSD Rate Class E-13c'!R18,2)</f>
        <v>1.72</v>
      </c>
      <c r="O159" s="120" t="s">
        <v>1050</v>
      </c>
      <c r="Q159" s="126">
        <f t="shared" ref="Q159:Q167" si="15">IF(I159=0,0,+(N159-I159)/I159)</f>
        <v>0.59259259259259245</v>
      </c>
      <c r="R159" s="74"/>
      <c r="S159" s="74"/>
      <c r="T159" s="74"/>
    </row>
    <row r="160" spans="1:20" ht="14.1" customHeight="1" x14ac:dyDescent="0.2">
      <c r="A160" s="395">
        <v>4</v>
      </c>
      <c r="B160" s="494"/>
      <c r="F160" s="134" t="s">
        <v>746</v>
      </c>
      <c r="I160" s="93">
        <f>+ROUND('2025 GSD Rate Class E-13c'!K19,2)</f>
        <v>5.98</v>
      </c>
      <c r="J160" s="74" t="s">
        <v>1050</v>
      </c>
      <c r="K160" s="74"/>
      <c r="N160" s="93">
        <f>+ROUND('2025 GSD Rate Class E-13c'!R19,2)</f>
        <v>9.36</v>
      </c>
      <c r="O160" s="120" t="s">
        <v>1050</v>
      </c>
      <c r="Q160" s="126">
        <f t="shared" si="15"/>
        <v>0.56521739130434767</v>
      </c>
      <c r="R160" s="74"/>
      <c r="S160" s="74"/>
      <c r="T160" s="74"/>
    </row>
    <row r="161" spans="1:20" ht="14.1" customHeight="1" x14ac:dyDescent="0.2">
      <c r="A161" s="395">
        <v>5</v>
      </c>
      <c r="B161" s="494"/>
      <c r="F161" s="134" t="s">
        <v>769</v>
      </c>
      <c r="I161" s="93">
        <f>+ROUND('2025 GSD Rate Class E-13c'!K20,2)</f>
        <v>17.48</v>
      </c>
      <c r="J161" s="74" t="s">
        <v>1050</v>
      </c>
      <c r="K161" s="74"/>
      <c r="N161" s="93">
        <f>+ROUND('2025 GSD Rate Class E-13c'!R20,2)</f>
        <v>25.76</v>
      </c>
      <c r="O161" s="120" t="s">
        <v>1050</v>
      </c>
      <c r="Q161" s="126">
        <f t="shared" si="15"/>
        <v>0.47368421052631582</v>
      </c>
      <c r="R161" s="68"/>
      <c r="S161" s="68"/>
      <c r="T161" s="68"/>
    </row>
    <row r="162" spans="1:20" ht="14.1" customHeight="1" x14ac:dyDescent="0.2">
      <c r="A162" s="395">
        <v>6</v>
      </c>
      <c r="B162" s="494"/>
      <c r="C162" s="65"/>
      <c r="F162" s="395" t="s">
        <v>1062</v>
      </c>
      <c r="H162" s="68"/>
      <c r="I162" s="93">
        <f>+ROUND('2025 GSD Rate Class E-13c'!K126,2)</f>
        <v>1.08</v>
      </c>
      <c r="J162" s="74" t="s">
        <v>1050</v>
      </c>
      <c r="K162" s="74"/>
      <c r="L162" s="68"/>
      <c r="M162" s="64"/>
      <c r="N162" s="93">
        <f>+ROUND('2025 GSD Rate Class E-13c'!R126,2)</f>
        <v>1.72</v>
      </c>
      <c r="O162" s="120" t="s">
        <v>1050</v>
      </c>
      <c r="Q162" s="126">
        <f t="shared" si="15"/>
        <v>0.59259259259259245</v>
      </c>
      <c r="R162" s="68"/>
      <c r="S162" s="68"/>
      <c r="T162" s="68"/>
    </row>
    <row r="163" spans="1:20" ht="14.1" customHeight="1" x14ac:dyDescent="0.2">
      <c r="A163" s="395">
        <v>7</v>
      </c>
      <c r="B163" s="494"/>
      <c r="C163" s="65"/>
      <c r="F163" s="395" t="s">
        <v>1063</v>
      </c>
      <c r="I163" s="93">
        <f>+ROUND('2025 GSD Rate Class E-13c'!K127,2)</f>
        <v>5.98</v>
      </c>
      <c r="J163" s="74" t="s">
        <v>1050</v>
      </c>
      <c r="K163" s="74"/>
      <c r="N163" s="93">
        <f>+ROUND('2025 GSD Rate Class E-13c'!R127,2)</f>
        <v>9.36</v>
      </c>
      <c r="O163" s="120" t="s">
        <v>1050</v>
      </c>
      <c r="Q163" s="126">
        <f t="shared" si="15"/>
        <v>0.56521739130434767</v>
      </c>
      <c r="R163" s="68"/>
      <c r="S163" s="68"/>
      <c r="T163" s="68"/>
    </row>
    <row r="164" spans="1:20" ht="14.1" customHeight="1" x14ac:dyDescent="0.2">
      <c r="A164" s="395">
        <v>8</v>
      </c>
      <c r="B164" s="494"/>
      <c r="C164" s="65"/>
      <c r="F164" s="395" t="s">
        <v>1064</v>
      </c>
      <c r="I164" s="93">
        <f>+ROUND('2025 GSD Rate Class E-13c'!K128,2)</f>
        <v>17.48</v>
      </c>
      <c r="J164" s="74" t="s">
        <v>1050</v>
      </c>
      <c r="K164" s="74"/>
      <c r="N164" s="93">
        <f>+ROUND('2025 GSD Rate Class E-13c'!R128,2)</f>
        <v>25.76</v>
      </c>
      <c r="O164" s="120" t="s">
        <v>1050</v>
      </c>
      <c r="Q164" s="126">
        <f t="shared" si="15"/>
        <v>0.47368421052631582</v>
      </c>
      <c r="R164" s="68"/>
      <c r="S164" s="68"/>
      <c r="T164" s="68"/>
    </row>
    <row r="165" spans="1:20" ht="14.1" customHeight="1" x14ac:dyDescent="0.2">
      <c r="A165" s="395">
        <v>9</v>
      </c>
      <c r="B165" s="494"/>
      <c r="C165" s="65"/>
      <c r="F165" s="395" t="s">
        <v>1065</v>
      </c>
      <c r="H165" s="74"/>
      <c r="I165" s="93">
        <f>+ROUND('2025 GSD Rate Class E-13c'!K21,2)</f>
        <v>1.08</v>
      </c>
      <c r="J165" s="74" t="s">
        <v>1050</v>
      </c>
      <c r="K165" s="74"/>
      <c r="L165" s="74"/>
      <c r="M165" s="65"/>
      <c r="N165" s="93">
        <f>+ROUND('2025 GSD Rate Class E-13c'!R21,2)</f>
        <v>1.72</v>
      </c>
      <c r="O165" s="120" t="s">
        <v>1050</v>
      </c>
      <c r="Q165" s="126">
        <f t="shared" si="15"/>
        <v>0.59259259259259245</v>
      </c>
      <c r="R165" s="68"/>
      <c r="S165" s="68"/>
      <c r="T165" s="68"/>
    </row>
    <row r="166" spans="1:20" ht="14.1" customHeight="1" x14ac:dyDescent="0.2">
      <c r="A166" s="395">
        <v>10</v>
      </c>
      <c r="B166" s="494"/>
      <c r="C166" s="65"/>
      <c r="F166" s="395" t="s">
        <v>1066</v>
      </c>
      <c r="I166" s="93">
        <f>+ROUND('2025 GSD Rate Class E-13c'!K22,2)</f>
        <v>5.98</v>
      </c>
      <c r="J166" s="74" t="s">
        <v>1050</v>
      </c>
      <c r="K166" s="74"/>
      <c r="N166" s="93">
        <f>+ROUND('2025 GSD Rate Class E-13c'!R22,2)</f>
        <v>9.36</v>
      </c>
      <c r="O166" s="120" t="s">
        <v>1050</v>
      </c>
      <c r="Q166" s="126">
        <f t="shared" si="15"/>
        <v>0.56521739130434767</v>
      </c>
      <c r="R166" s="68"/>
      <c r="S166" s="68"/>
      <c r="T166" s="68"/>
    </row>
    <row r="167" spans="1:20" ht="14.1" customHeight="1" x14ac:dyDescent="0.2">
      <c r="A167" s="395">
        <v>11</v>
      </c>
      <c r="B167" s="494"/>
      <c r="C167" s="74"/>
      <c r="F167" s="395" t="s">
        <v>1067</v>
      </c>
      <c r="I167" s="93">
        <f>+ROUND('2025 GSD Rate Class E-13c'!K23,2)</f>
        <v>17.48</v>
      </c>
      <c r="J167" s="74" t="s">
        <v>1050</v>
      </c>
      <c r="K167" s="74"/>
      <c r="N167" s="93">
        <f>+ROUND('2025 GSD Rate Class E-13c'!R23,2)</f>
        <v>25.76</v>
      </c>
      <c r="O167" s="120" t="s">
        <v>1050</v>
      </c>
      <c r="Q167" s="126">
        <f t="shared" si="15"/>
        <v>0.47368421052631582</v>
      </c>
      <c r="R167" s="68"/>
      <c r="S167" s="68"/>
      <c r="T167" s="68"/>
    </row>
    <row r="168" spans="1:20" ht="14.1" customHeight="1" x14ac:dyDescent="0.2">
      <c r="A168" s="395">
        <v>12</v>
      </c>
      <c r="B168" s="494"/>
      <c r="C168" s="74"/>
      <c r="E168" s="133" t="s">
        <v>343</v>
      </c>
      <c r="G168" s="65"/>
      <c r="H168" s="68"/>
      <c r="I168" s="93"/>
      <c r="J168" s="64"/>
      <c r="K168" s="64"/>
      <c r="L168" s="68"/>
      <c r="M168" s="64"/>
      <c r="N168" s="93"/>
      <c r="O168" s="64"/>
      <c r="Q168" s="132"/>
      <c r="R168" s="68"/>
      <c r="S168" s="68"/>
      <c r="T168" s="68"/>
    </row>
    <row r="169" spans="1:20" ht="14.1" customHeight="1" x14ac:dyDescent="0.2">
      <c r="A169" s="395">
        <v>13</v>
      </c>
      <c r="B169" s="494"/>
      <c r="C169" s="74"/>
      <c r="F169" s="134" t="s">
        <v>328</v>
      </c>
      <c r="H169" s="68"/>
      <c r="I169" s="148">
        <f>+ROUND('2025 GSD Rate Class E-13c'!K27,5)</f>
        <v>7.3600000000000002E-3</v>
      </c>
      <c r="J169" s="127" t="s">
        <v>1123</v>
      </c>
      <c r="K169" s="68"/>
      <c r="L169" s="68"/>
      <c r="M169" s="68"/>
      <c r="N169" s="148">
        <f>+ROUND('2025 GSD Rate Class E-13c'!R27,5)</f>
        <v>7.7299999999999999E-3</v>
      </c>
      <c r="O169" s="127" t="s">
        <v>1123</v>
      </c>
      <c r="Q169" s="126">
        <f>IF(I169=0,0,+(N169-I169)/I169)</f>
        <v>5.0271739130434735E-2</v>
      </c>
      <c r="R169" s="68"/>
      <c r="S169" s="68"/>
      <c r="T169" s="68"/>
    </row>
    <row r="170" spans="1:20" ht="14.1" customHeight="1" x14ac:dyDescent="0.2">
      <c r="A170" s="395">
        <v>14</v>
      </c>
      <c r="B170" s="494"/>
      <c r="C170" s="74"/>
      <c r="F170" s="395" t="s">
        <v>1068</v>
      </c>
      <c r="H170" s="68"/>
      <c r="I170" s="148">
        <f>+ROUND('2025 GSD Rate Class E-13c'!K132,5)</f>
        <v>7.1150000000000005E-2</v>
      </c>
      <c r="J170" s="127" t="s">
        <v>1123</v>
      </c>
      <c r="K170" s="68"/>
      <c r="L170" s="68"/>
      <c r="M170" s="68"/>
      <c r="N170" s="148">
        <f>+ROUND('2025 GSD Rate Class E-13c'!R132,5)</f>
        <v>8.4029999999999994E-2</v>
      </c>
      <c r="O170" s="127" t="s">
        <v>1123</v>
      </c>
      <c r="Q170" s="126">
        <f>IF(I170=0,0,+(N170-I170)/I170)</f>
        <v>0.1810260014054812</v>
      </c>
    </row>
    <row r="171" spans="1:20" ht="14.1" customHeight="1" x14ac:dyDescent="0.2">
      <c r="A171" s="395">
        <v>15</v>
      </c>
      <c r="B171" s="494"/>
      <c r="C171" s="74"/>
      <c r="F171" s="395" t="s">
        <v>1069</v>
      </c>
      <c r="G171" s="65"/>
      <c r="H171" s="68"/>
      <c r="I171" s="148">
        <f>+ROUND('2025 GSD Rate Class E-13c'!K30,5)</f>
        <v>1.193E-2</v>
      </c>
      <c r="J171" s="127" t="s">
        <v>1123</v>
      </c>
      <c r="K171" s="68"/>
      <c r="L171" s="68"/>
      <c r="M171" s="68"/>
      <c r="N171" s="148">
        <f>+ROUND('2025 GSD Rate Class E-13c'!R30,5)</f>
        <v>1.243E-2</v>
      </c>
      <c r="O171" s="127" t="s">
        <v>1123</v>
      </c>
      <c r="Q171" s="126">
        <f>IF(I171=0,0,+(N171-I171)/I171)</f>
        <v>4.1911148365465251E-2</v>
      </c>
    </row>
    <row r="172" spans="1:20" ht="14.1" customHeight="1" x14ac:dyDescent="0.2">
      <c r="A172" s="395">
        <v>16</v>
      </c>
      <c r="B172" s="494"/>
      <c r="C172" s="74"/>
      <c r="F172" s="395" t="s">
        <v>1070</v>
      </c>
      <c r="H172" s="68"/>
      <c r="I172" s="148">
        <f>+ROUND('2025 GSD Rate Class E-13c'!K33,5)</f>
        <v>5.7099999999999998E-3</v>
      </c>
      <c r="J172" s="127" t="s">
        <v>1123</v>
      </c>
      <c r="K172" s="68"/>
      <c r="L172" s="68"/>
      <c r="M172" s="68"/>
      <c r="N172" s="148">
        <f>+ROUND('2025 GSD Rate Class E-13c'!R33,5)</f>
        <v>8.1700000000000002E-3</v>
      </c>
      <c r="O172" s="127" t="s">
        <v>1123</v>
      </c>
      <c r="Q172" s="126">
        <f>IF(I172=0,0,+(N172-I172)/I172)</f>
        <v>0.4308231173380036</v>
      </c>
      <c r="R172" s="68"/>
      <c r="S172" s="68"/>
      <c r="T172" s="68"/>
    </row>
    <row r="173" spans="1:20" ht="14.1" customHeight="1" x14ac:dyDescent="0.2">
      <c r="A173" s="395">
        <v>17</v>
      </c>
      <c r="F173" s="395" t="s">
        <v>1606</v>
      </c>
      <c r="I173" s="148">
        <f>+ROUND('2025 GSD Rate Class E-13c'!K36,5)</f>
        <v>0</v>
      </c>
      <c r="J173" s="127" t="s">
        <v>1123</v>
      </c>
      <c r="N173" s="148">
        <f>+ROUND('2025 GSD Rate Class E-13c'!R36,5)</f>
        <v>4.6100000000000004E-3</v>
      </c>
      <c r="O173" s="127" t="s">
        <v>1123</v>
      </c>
      <c r="Q173" s="399" t="s">
        <v>1125</v>
      </c>
      <c r="R173" s="68"/>
      <c r="S173" s="68"/>
      <c r="T173" s="68"/>
    </row>
    <row r="174" spans="1:20" ht="14.1" customHeight="1" x14ac:dyDescent="0.2">
      <c r="A174" s="395">
        <v>18</v>
      </c>
      <c r="B174" s="494"/>
      <c r="C174" s="74"/>
      <c r="H174" s="68"/>
      <c r="I174" s="93"/>
      <c r="J174" s="68"/>
      <c r="K174" s="68"/>
      <c r="L174" s="68"/>
      <c r="M174" s="68"/>
      <c r="N174" s="93"/>
      <c r="O174" s="68"/>
      <c r="Q174" s="132"/>
      <c r="R174" s="68"/>
      <c r="S174" s="68"/>
      <c r="T174" s="68"/>
    </row>
    <row r="175" spans="1:20" ht="14.1" customHeight="1" x14ac:dyDescent="0.2">
      <c r="A175" s="395">
        <v>19</v>
      </c>
      <c r="B175" s="494"/>
      <c r="C175" s="74"/>
      <c r="E175" s="398" t="s">
        <v>380</v>
      </c>
      <c r="G175" s="74"/>
      <c r="H175" s="68"/>
      <c r="I175" s="93"/>
      <c r="J175" s="68"/>
      <c r="K175" s="68"/>
      <c r="L175" s="68"/>
      <c r="M175" s="68"/>
      <c r="N175" s="93"/>
      <c r="O175" s="68"/>
      <c r="Q175" s="132"/>
      <c r="R175" s="68"/>
      <c r="S175" s="68"/>
      <c r="T175" s="68"/>
    </row>
    <row r="176" spans="1:20" ht="14.1" customHeight="1" x14ac:dyDescent="0.2">
      <c r="A176" s="395">
        <v>20</v>
      </c>
      <c r="B176" s="494"/>
      <c r="C176" s="74"/>
      <c r="F176" s="134" t="s">
        <v>1071</v>
      </c>
      <c r="G176" s="74"/>
      <c r="H176" s="68"/>
      <c r="I176" s="93">
        <f>+ROUND('2025 GSD Rate Class E-13c'!K43,2)</f>
        <v>14.2</v>
      </c>
      <c r="J176" s="68" t="s">
        <v>1018</v>
      </c>
      <c r="K176" s="68"/>
      <c r="L176" s="68"/>
      <c r="M176" s="68"/>
      <c r="N176" s="93">
        <f>+ROUND('2025 GSD Rate Class E-13c'!R43,2)</f>
        <v>19.62</v>
      </c>
      <c r="O176" s="68" t="s">
        <v>1018</v>
      </c>
      <c r="Q176" s="126">
        <f>IF(I176=0,0,+(N176-I176)/I176)</f>
        <v>0.38169014084507058</v>
      </c>
    </row>
    <row r="177" spans="1:20" ht="14.1" customHeight="1" x14ac:dyDescent="0.2">
      <c r="A177" s="395">
        <v>21</v>
      </c>
      <c r="B177" s="494"/>
      <c r="C177" s="74"/>
      <c r="F177" s="395" t="s">
        <v>1072</v>
      </c>
      <c r="H177" s="68"/>
      <c r="I177" s="93">
        <f>+ROUND('2025 GSD Rate Class E-13c'!K138,2)</f>
        <v>0</v>
      </c>
      <c r="J177" s="68" t="s">
        <v>1018</v>
      </c>
      <c r="K177" s="68"/>
      <c r="L177" s="68"/>
      <c r="M177" s="68"/>
      <c r="N177" s="93">
        <f>+ROUND('2025 GSD Rate Class E-13c'!R138,2)</f>
        <v>0</v>
      </c>
      <c r="O177" s="68" t="s">
        <v>1018</v>
      </c>
      <c r="Q177" s="135">
        <f>IF(I177=0,0,+(N177-I177)/I177)</f>
        <v>0</v>
      </c>
      <c r="R177" s="68"/>
      <c r="S177" s="68"/>
      <c r="T177" s="68"/>
    </row>
    <row r="178" spans="1:20" ht="14.1" customHeight="1" x14ac:dyDescent="0.2">
      <c r="A178" s="395">
        <v>22</v>
      </c>
      <c r="B178" s="494"/>
      <c r="C178" s="74"/>
      <c r="F178" s="395" t="s">
        <v>1073</v>
      </c>
      <c r="H178" s="68"/>
      <c r="I178" s="93">
        <f>+ROUND('2025 GSD Rate Class E-13c'!K46,2)</f>
        <v>4.55</v>
      </c>
      <c r="J178" s="68" t="s">
        <v>1018</v>
      </c>
      <c r="K178" s="68"/>
      <c r="L178" s="68"/>
      <c r="M178" s="68"/>
      <c r="N178" s="93">
        <f>+ROUND('2025 GSD Rate Class E-13c'!R46,2)</f>
        <v>5.04</v>
      </c>
      <c r="O178" s="68" t="s">
        <v>1018</v>
      </c>
      <c r="Q178" s="126">
        <f>IF(I178=0,0,+(N178-I178)/I178)</f>
        <v>0.10769230769230774</v>
      </c>
      <c r="R178" s="68"/>
      <c r="S178" s="68"/>
      <c r="T178" s="68"/>
    </row>
    <row r="179" spans="1:20" ht="14.1" customHeight="1" x14ac:dyDescent="0.2">
      <c r="A179" s="395">
        <v>23</v>
      </c>
      <c r="B179" s="494"/>
      <c r="C179" s="74"/>
      <c r="F179" s="395" t="s">
        <v>1074</v>
      </c>
      <c r="G179" s="74"/>
      <c r="H179" s="68"/>
      <c r="I179" s="93">
        <f>+ROUND('2025 GSD Rate Class E-13c'!K49,2)</f>
        <v>9.2799999999999994</v>
      </c>
      <c r="J179" s="68" t="s">
        <v>1018</v>
      </c>
      <c r="K179" s="68"/>
      <c r="L179" s="68"/>
      <c r="M179" s="68"/>
      <c r="N179" s="93">
        <f>+ROUND('2025 GSD Rate Class E-13c'!R49,2)</f>
        <v>14.58</v>
      </c>
      <c r="O179" s="68" t="s">
        <v>1018</v>
      </c>
      <c r="Q179" s="126">
        <f>IF(I179=0,0,+(N179-I179)/I179)</f>
        <v>0.57112068965517249</v>
      </c>
      <c r="R179" s="68"/>
      <c r="S179" s="68"/>
      <c r="T179" s="68"/>
    </row>
    <row r="180" spans="1:20" ht="14.1" customHeight="1" x14ac:dyDescent="0.2">
      <c r="A180" s="395">
        <v>24</v>
      </c>
      <c r="B180" s="494"/>
      <c r="C180" s="74"/>
      <c r="F180" s="65"/>
      <c r="H180" s="68"/>
      <c r="I180" s="93"/>
      <c r="J180" s="68"/>
      <c r="K180" s="68"/>
      <c r="L180" s="68"/>
      <c r="M180" s="68"/>
      <c r="N180" s="93"/>
      <c r="O180" s="68"/>
      <c r="Q180" s="132"/>
      <c r="R180" s="68"/>
      <c r="S180" s="68"/>
      <c r="T180" s="68"/>
    </row>
    <row r="181" spans="1:20" ht="14.1" customHeight="1" x14ac:dyDescent="0.2">
      <c r="A181" s="395">
        <v>25</v>
      </c>
      <c r="B181" s="494"/>
      <c r="C181" s="74"/>
      <c r="E181" s="133" t="s">
        <v>734</v>
      </c>
      <c r="G181" s="65"/>
      <c r="H181" s="68"/>
      <c r="I181" s="93"/>
      <c r="J181" s="68"/>
      <c r="K181" s="68"/>
      <c r="L181" s="68"/>
      <c r="M181" s="68"/>
      <c r="N181" s="93"/>
      <c r="O181" s="68"/>
      <c r="Q181" s="132"/>
      <c r="R181" s="68"/>
      <c r="S181" s="68"/>
      <c r="T181" s="68"/>
    </row>
    <row r="182" spans="1:20" ht="14.1" customHeight="1" x14ac:dyDescent="0.2">
      <c r="A182" s="395">
        <v>26</v>
      </c>
      <c r="B182" s="494"/>
      <c r="C182" s="74"/>
      <c r="F182" s="65" t="s">
        <v>746</v>
      </c>
      <c r="H182" s="68"/>
      <c r="I182" s="93">
        <f>+ROUND('2025 GSD Rate Class E-13c'!K74,2)</f>
        <v>-0.49</v>
      </c>
      <c r="J182" s="68" t="s">
        <v>1018</v>
      </c>
      <c r="K182" s="68"/>
      <c r="L182" s="68"/>
      <c r="M182" s="68"/>
      <c r="N182" s="93">
        <f>+ROUND('2025 GSD Rate Class E-13c'!R74,2)</f>
        <v>-0.54</v>
      </c>
      <c r="O182" s="68" t="s">
        <v>1018</v>
      </c>
      <c r="Q182" s="126">
        <f t="shared" ref="Q182:Q187" si="16">IF(I182=0,0,+(N182-I182)/I182)</f>
        <v>0.10204081632653071</v>
      </c>
      <c r="R182" s="68"/>
      <c r="S182" s="68"/>
      <c r="T182" s="68"/>
    </row>
    <row r="183" spans="1:20" ht="14.1" customHeight="1" x14ac:dyDescent="0.2">
      <c r="A183" s="395">
        <v>27</v>
      </c>
      <c r="B183" s="494"/>
      <c r="C183" s="74"/>
      <c r="F183" s="65" t="s">
        <v>769</v>
      </c>
      <c r="H183" s="68"/>
      <c r="I183" s="93">
        <f>+ROUND('2025 GSD Rate Class E-13c'!K75,2)</f>
        <v>-2.06</v>
      </c>
      <c r="J183" s="68" t="s">
        <v>1018</v>
      </c>
      <c r="K183" s="68"/>
      <c r="L183" s="68"/>
      <c r="M183" s="68"/>
      <c r="N183" s="93">
        <f>+ROUND('2025 GSD Rate Class E-13c'!R75,2)</f>
        <v>-3.09</v>
      </c>
      <c r="O183" s="68" t="s">
        <v>1018</v>
      </c>
      <c r="Q183" s="126">
        <f t="shared" si="16"/>
        <v>0.49999999999999989</v>
      </c>
      <c r="R183" s="68"/>
      <c r="S183" s="68"/>
      <c r="T183" s="68"/>
    </row>
    <row r="184" spans="1:20" ht="14.1" customHeight="1" x14ac:dyDescent="0.2">
      <c r="A184" s="395">
        <v>28</v>
      </c>
      <c r="B184" s="494"/>
      <c r="C184" s="74"/>
      <c r="F184" s="65" t="s">
        <v>1075</v>
      </c>
      <c r="G184" s="68"/>
      <c r="H184" s="68"/>
      <c r="I184" s="148">
        <f>+ROUND('2025 GSD Rate Class E-13c'!K144,5)</f>
        <v>-1.23E-3</v>
      </c>
      <c r="J184" s="127" t="s">
        <v>1123</v>
      </c>
      <c r="K184" s="68"/>
      <c r="L184" s="68"/>
      <c r="M184" s="68"/>
      <c r="N184" s="148">
        <f>+ROUND('2025 GSD Rate Class E-13c'!R144,5)</f>
        <v>-1.3799999999999999E-3</v>
      </c>
      <c r="O184" s="127" t="s">
        <v>1123</v>
      </c>
      <c r="Q184" s="126">
        <f t="shared" si="16"/>
        <v>0.12195121951219509</v>
      </c>
      <c r="R184" s="68"/>
      <c r="S184" s="68"/>
      <c r="T184" s="68"/>
    </row>
    <row r="185" spans="1:20" ht="14.1" customHeight="1" x14ac:dyDescent="0.2">
      <c r="A185" s="395">
        <v>29</v>
      </c>
      <c r="B185" s="494"/>
      <c r="C185" s="74"/>
      <c r="F185" s="65" t="s">
        <v>1076</v>
      </c>
      <c r="G185" s="68"/>
      <c r="H185" s="68"/>
      <c r="I185" s="148">
        <f>+ROUND('2025 GSD Rate Class E-13c'!K145,5)</f>
        <v>-5.28E-3</v>
      </c>
      <c r="J185" s="127" t="s">
        <v>1123</v>
      </c>
      <c r="K185" s="68"/>
      <c r="L185" s="68"/>
      <c r="M185" s="68"/>
      <c r="N185" s="148">
        <f>+ROUND('2025 GSD Rate Class E-13c'!R145,5)</f>
        <v>-7.9100000000000004E-3</v>
      </c>
      <c r="O185" s="127" t="s">
        <v>1123</v>
      </c>
      <c r="Q185" s="126">
        <f t="shared" si="16"/>
        <v>0.49810606060606066</v>
      </c>
      <c r="R185" s="68"/>
      <c r="S185" s="68"/>
      <c r="T185" s="68"/>
    </row>
    <row r="186" spans="1:20" ht="14.1" customHeight="1" x14ac:dyDescent="0.2">
      <c r="A186" s="395">
        <v>30</v>
      </c>
      <c r="B186" s="494"/>
      <c r="C186" s="74"/>
      <c r="F186" s="395" t="s">
        <v>1066</v>
      </c>
      <c r="G186" s="65"/>
      <c r="H186" s="68"/>
      <c r="I186" s="93">
        <f>+ROUND('2025 GSD Rate Class E-13c'!K76,2)</f>
        <v>-0.49</v>
      </c>
      <c r="J186" s="68" t="s">
        <v>1018</v>
      </c>
      <c r="K186" s="68"/>
      <c r="L186" s="68"/>
      <c r="M186" s="68"/>
      <c r="N186" s="93">
        <f>+ROUND('2025 GSD Rate Class E-13c'!R76,2)</f>
        <v>-0.54</v>
      </c>
      <c r="O186" s="68" t="s">
        <v>1018</v>
      </c>
      <c r="Q186" s="126">
        <f t="shared" si="16"/>
        <v>0.10204081632653071</v>
      </c>
      <c r="R186" s="68"/>
      <c r="S186" s="68"/>
      <c r="T186" s="68"/>
    </row>
    <row r="187" spans="1:20" ht="14.1" customHeight="1" x14ac:dyDescent="0.2">
      <c r="A187" s="395">
        <v>31</v>
      </c>
      <c r="B187" s="494"/>
      <c r="C187" s="74"/>
      <c r="F187" s="395" t="s">
        <v>1067</v>
      </c>
      <c r="G187" s="68"/>
      <c r="H187" s="68"/>
      <c r="I187" s="93">
        <f>+ROUND('2025 GSD Rate Class E-13c'!K77,2)</f>
        <v>-2.06</v>
      </c>
      <c r="J187" s="68" t="s">
        <v>1018</v>
      </c>
      <c r="K187" s="68"/>
      <c r="L187" s="68"/>
      <c r="M187" s="68"/>
      <c r="N187" s="93">
        <f>+ROUND('2025 GSD Rate Class E-13c'!R77,2)</f>
        <v>-3.09</v>
      </c>
      <c r="O187" s="68" t="s">
        <v>1018</v>
      </c>
      <c r="Q187" s="126">
        <f t="shared" si="16"/>
        <v>0.49999999999999989</v>
      </c>
      <c r="R187" s="68"/>
      <c r="S187" s="68"/>
      <c r="T187" s="68"/>
    </row>
    <row r="188" spans="1:20" ht="14.1" customHeight="1" x14ac:dyDescent="0.2">
      <c r="A188" s="395">
        <v>32</v>
      </c>
      <c r="B188" s="494"/>
      <c r="C188" s="74"/>
      <c r="Q188" s="495"/>
      <c r="R188" s="68"/>
      <c r="S188" s="68"/>
      <c r="T188" s="68"/>
    </row>
    <row r="189" spans="1:20" ht="14.1" customHeight="1" x14ac:dyDescent="0.2">
      <c r="A189" s="395">
        <v>33</v>
      </c>
      <c r="B189" s="494"/>
      <c r="C189" s="74"/>
      <c r="E189" s="118" t="s">
        <v>1077</v>
      </c>
      <c r="G189" s="68"/>
      <c r="H189" s="68"/>
      <c r="Q189" s="495"/>
      <c r="R189" s="68"/>
      <c r="S189" s="68"/>
      <c r="T189" s="68"/>
    </row>
    <row r="190" spans="1:20" ht="14.1" customHeight="1" x14ac:dyDescent="0.2">
      <c r="A190" s="395">
        <v>34</v>
      </c>
      <c r="B190" s="494"/>
      <c r="C190" s="74"/>
      <c r="F190" s="134" t="s">
        <v>1071</v>
      </c>
      <c r="G190" s="68"/>
      <c r="H190" s="68"/>
      <c r="I190" s="93">
        <f>+ROUND('2025 GSD Rate Class E-13c'!K82,2)</f>
        <v>0.68</v>
      </c>
      <c r="J190" s="68" t="s">
        <v>1018</v>
      </c>
      <c r="K190" s="68"/>
      <c r="L190" s="68"/>
      <c r="M190" s="68"/>
      <c r="N190" s="93">
        <f>+ROUND('2025 GSD Rate Class E-13c'!R82,2)</f>
        <v>1.02</v>
      </c>
      <c r="O190" s="68" t="s">
        <v>1018</v>
      </c>
      <c r="Q190" s="126">
        <f>IF(I190=0,0,+(N190-I190)/I190)</f>
        <v>0.49999999999999994</v>
      </c>
      <c r="R190" s="68"/>
      <c r="S190" s="68"/>
      <c r="T190" s="68"/>
    </row>
    <row r="191" spans="1:20" ht="14.1" customHeight="1" x14ac:dyDescent="0.2">
      <c r="A191" s="395">
        <v>35</v>
      </c>
      <c r="B191" s="494"/>
      <c r="C191" s="74"/>
      <c r="F191" s="395" t="s">
        <v>1072</v>
      </c>
      <c r="I191" s="148">
        <f>+ROUND('2025 GSD Rate Class E-13c'!K150,5)</f>
        <v>1.7099999999999999E-3</v>
      </c>
      <c r="J191" s="127" t="s">
        <v>1123</v>
      </c>
      <c r="K191" s="68"/>
      <c r="N191" s="148">
        <f>+ROUND('2025 GSD Rate Class E-13c'!R150,5)</f>
        <v>2.5699999999999998E-3</v>
      </c>
      <c r="O191" s="68" t="s">
        <v>1019</v>
      </c>
      <c r="Q191" s="126">
        <f>IF(I191=0,0,+(N191-I191)/I191)</f>
        <v>0.50292397660818711</v>
      </c>
      <c r="R191" s="68"/>
      <c r="S191" s="68"/>
      <c r="T191" s="68"/>
    </row>
    <row r="192" spans="1:20" ht="14.1" customHeight="1" thickBot="1" x14ac:dyDescent="0.25">
      <c r="A192" s="396">
        <v>36</v>
      </c>
      <c r="B192" s="496"/>
      <c r="C192" s="136"/>
      <c r="D192" s="396"/>
      <c r="E192" s="396"/>
      <c r="F192" s="396" t="s">
        <v>1073</v>
      </c>
      <c r="G192" s="396"/>
      <c r="H192" s="396"/>
      <c r="I192" s="142">
        <f>+ROUND('2025 GSD Rate Class E-13c'!K85,2)</f>
        <v>0.68</v>
      </c>
      <c r="J192" s="105" t="s">
        <v>1018</v>
      </c>
      <c r="K192" s="105"/>
      <c r="L192" s="396"/>
      <c r="M192" s="396"/>
      <c r="N192" s="142">
        <f>+ROUND('2025 GSD Rate Class E-13c'!R85,2)</f>
        <v>1.02</v>
      </c>
      <c r="O192" s="105" t="s">
        <v>1018</v>
      </c>
      <c r="P192" s="396"/>
      <c r="Q192" s="150">
        <f>IF(I192=0,0,+(N192-I192)/I192)</f>
        <v>0.49999999999999994</v>
      </c>
      <c r="R192" s="105"/>
      <c r="S192" s="105"/>
      <c r="T192" s="137" t="s">
        <v>1078</v>
      </c>
    </row>
    <row r="193" spans="1:20" ht="14.1" customHeight="1" x14ac:dyDescent="0.2">
      <c r="A193" s="395" t="str">
        <f>+$A$49</f>
        <v>Supporting Schedules:  E-7, E-14 Supplement</v>
      </c>
      <c r="R193" s="395" t="s">
        <v>1003</v>
      </c>
    </row>
    <row r="194" spans="1:20" ht="14.1" customHeight="1" thickBot="1" x14ac:dyDescent="0.25">
      <c r="A194" s="396" t="str">
        <f>+$A$2</f>
        <v>SCHEDULE A-3</v>
      </c>
      <c r="B194" s="396"/>
      <c r="C194" s="396"/>
      <c r="D194" s="396"/>
      <c r="E194" s="396"/>
      <c r="F194" s="396"/>
      <c r="G194" s="396"/>
      <c r="H194" s="396"/>
      <c r="I194" s="396" t="str">
        <f>+$I$2</f>
        <v>SUMMARY OF TARIFFS</v>
      </c>
      <c r="J194" s="396"/>
      <c r="K194" s="396"/>
      <c r="L194" s="396"/>
      <c r="M194" s="396"/>
      <c r="N194" s="396"/>
      <c r="O194" s="396"/>
      <c r="P194" s="396"/>
      <c r="Q194" s="396"/>
      <c r="R194" s="396"/>
      <c r="S194" s="396"/>
      <c r="T194" s="492" t="s">
        <v>1150</v>
      </c>
    </row>
    <row r="195" spans="1:20" ht="14.1" customHeight="1" x14ac:dyDescent="0.2">
      <c r="A195" s="395" t="s">
        <v>307</v>
      </c>
      <c r="F195" s="399" t="s">
        <v>1041</v>
      </c>
      <c r="G195" s="395" t="s">
        <v>1042</v>
      </c>
      <c r="L195" s="397"/>
      <c r="M195" s="397"/>
      <c r="O195" s="397"/>
      <c r="P195" s="397"/>
      <c r="Q195" s="397" t="s">
        <v>847</v>
      </c>
      <c r="T195" s="398"/>
    </row>
    <row r="196" spans="1:20" ht="14.1" customHeight="1" x14ac:dyDescent="0.2">
      <c r="G196" s="395" t="s">
        <v>1043</v>
      </c>
      <c r="L196" s="399"/>
      <c r="M196" s="398"/>
      <c r="P196" s="399"/>
      <c r="Q196" s="311" t="s">
        <v>919</v>
      </c>
      <c r="R196" s="310" t="s">
        <v>920</v>
      </c>
      <c r="T196" s="399"/>
    </row>
    <row r="197" spans="1:20" ht="14.1" customHeight="1" x14ac:dyDescent="0.2">
      <c r="A197" s="395" t="s">
        <v>310</v>
      </c>
      <c r="L197" s="399"/>
      <c r="M197" s="398"/>
      <c r="N197" s="399"/>
      <c r="Q197" s="311"/>
      <c r="R197" s="310" t="s">
        <v>937</v>
      </c>
      <c r="T197" s="399"/>
    </row>
    <row r="198" spans="1:20" ht="14.1" customHeight="1" x14ac:dyDescent="0.2">
      <c r="L198" s="399"/>
      <c r="M198" s="398"/>
      <c r="N198" s="399"/>
      <c r="Q198" s="311"/>
      <c r="R198" s="310" t="s">
        <v>938</v>
      </c>
      <c r="T198" s="399"/>
    </row>
    <row r="199" spans="1:20" ht="14.1" customHeight="1" thickBot="1" x14ac:dyDescent="0.25">
      <c r="A199" s="396" t="s">
        <v>1022</v>
      </c>
      <c r="B199" s="396"/>
      <c r="C199" s="396"/>
      <c r="D199" s="396"/>
      <c r="E199" s="396"/>
      <c r="F199" s="396"/>
      <c r="G199" s="396"/>
      <c r="H199" s="396"/>
      <c r="I199" s="400"/>
      <c r="J199" s="396"/>
      <c r="K199" s="396"/>
      <c r="L199" s="396"/>
      <c r="M199" s="396"/>
      <c r="N199" s="396"/>
      <c r="O199" s="396"/>
      <c r="P199" s="396"/>
      <c r="Q199" s="396"/>
      <c r="R199" s="396" t="s">
        <v>311</v>
      </c>
      <c r="S199" s="396"/>
      <c r="T199" s="396"/>
    </row>
    <row r="200" spans="1:20" ht="14.1" customHeight="1" x14ac:dyDescent="0.2">
      <c r="A200" s="395" t="str">
        <f>IF(+A$8="","",A$8)</f>
        <v/>
      </c>
      <c r="B200" s="402" t="str">
        <f t="shared" ref="B200:T200" si="17">IF(+B$8="","",B$8)</f>
        <v/>
      </c>
      <c r="C200" s="402" t="str">
        <f t="shared" si="17"/>
        <v>(1)</v>
      </c>
      <c r="D200" s="402" t="str">
        <f t="shared" si="17"/>
        <v/>
      </c>
      <c r="E200" s="402" t="str">
        <f t="shared" si="17"/>
        <v/>
      </c>
      <c r="F200" s="402" t="str">
        <f t="shared" si="17"/>
        <v>(2)</v>
      </c>
      <c r="G200" s="402" t="str">
        <f t="shared" si="17"/>
        <v/>
      </c>
      <c r="H200" s="402" t="str">
        <f>IF(+H$8="","",H$8)</f>
        <v/>
      </c>
      <c r="I200" s="402" t="str">
        <f>IF(+I$8="","",I$8)</f>
        <v>(3)</v>
      </c>
      <c r="J200" s="402" t="str">
        <f>IF(+J$8="","",J$8)</f>
        <v/>
      </c>
      <c r="K200" s="402"/>
      <c r="L200" s="402" t="str">
        <f t="shared" si="17"/>
        <v>(4)</v>
      </c>
      <c r="M200" s="402" t="str">
        <f t="shared" si="17"/>
        <v/>
      </c>
      <c r="N200" s="402" t="str">
        <f t="shared" si="17"/>
        <v>(5)</v>
      </c>
      <c r="O200" s="402" t="str">
        <f t="shared" si="17"/>
        <v/>
      </c>
      <c r="Q200" s="402" t="str">
        <f>IF(+Q$8="","",Q$8)</f>
        <v>(6)</v>
      </c>
      <c r="R200" s="402" t="str">
        <f t="shared" si="17"/>
        <v/>
      </c>
      <c r="S200" s="402" t="str">
        <f t="shared" si="17"/>
        <v/>
      </c>
      <c r="T200" s="402" t="str">
        <f t="shared" si="17"/>
        <v/>
      </c>
    </row>
    <row r="201" spans="1:20" ht="14.1" customHeight="1" x14ac:dyDescent="0.2">
      <c r="A201" s="395" t="str">
        <f>IF(+A$9="","",A$9)</f>
        <v/>
      </c>
      <c r="B201" s="402" t="str">
        <f t="shared" ref="B201:T201" si="18">IF(+B$9="","",B$9)</f>
        <v/>
      </c>
      <c r="C201" s="402" t="str">
        <f t="shared" si="18"/>
        <v/>
      </c>
      <c r="D201" s="402" t="str">
        <f t="shared" si="18"/>
        <v/>
      </c>
      <c r="E201" s="402" t="str">
        <f t="shared" si="18"/>
        <v/>
      </c>
      <c r="F201" s="402" t="str">
        <f t="shared" si="18"/>
        <v/>
      </c>
      <c r="G201" s="402" t="str">
        <f t="shared" si="18"/>
        <v/>
      </c>
      <c r="H201" s="402" t="str">
        <f>IF(+H$9="","",H$9)</f>
        <v/>
      </c>
      <c r="I201" s="402" t="str">
        <f>IF(+I$9="","",I$9)</f>
        <v/>
      </c>
      <c r="J201" s="402" t="str">
        <f>IF(+J$9="","",J$9)</f>
        <v/>
      </c>
      <c r="K201" s="402"/>
      <c r="L201" s="402" t="str">
        <f t="shared" si="18"/>
        <v/>
      </c>
      <c r="M201" s="402" t="str">
        <f t="shared" si="18"/>
        <v/>
      </c>
      <c r="N201" s="402" t="str">
        <f t="shared" si="18"/>
        <v/>
      </c>
      <c r="O201" s="402" t="str">
        <f t="shared" si="18"/>
        <v/>
      </c>
      <c r="Q201" s="402" t="str">
        <f>IF(+Q$9="","",Q$9)</f>
        <v/>
      </c>
      <c r="R201" s="402" t="str">
        <f t="shared" si="18"/>
        <v/>
      </c>
      <c r="S201" s="402" t="str">
        <f t="shared" si="18"/>
        <v/>
      </c>
      <c r="T201" s="402" t="str">
        <f t="shared" si="18"/>
        <v/>
      </c>
    </row>
    <row r="202" spans="1:20" ht="14.1" customHeight="1" x14ac:dyDescent="0.2">
      <c r="A202" s="395" t="str">
        <f>IF(+A$10="","",A$10)</f>
        <v/>
      </c>
      <c r="B202" s="402" t="str">
        <f t="shared" ref="B202:T202" si="19">IF(+B$10="","",B$10)</f>
        <v/>
      </c>
      <c r="C202" s="402" t="str">
        <f t="shared" si="19"/>
        <v xml:space="preserve">Current </v>
      </c>
      <c r="D202" s="402" t="str">
        <f t="shared" si="19"/>
        <v/>
      </c>
      <c r="E202" s="402" t="str">
        <f t="shared" si="19"/>
        <v/>
      </c>
      <c r="F202" s="402" t="str">
        <f t="shared" si="19"/>
        <v/>
      </c>
      <c r="G202" s="402" t="str">
        <f t="shared" si="19"/>
        <v/>
      </c>
      <c r="H202" s="402" t="str">
        <f>IF(+H$10="","",H$10)</f>
        <v/>
      </c>
      <c r="I202" s="402" t="str">
        <f>IF(+I$10="","",I$10)</f>
        <v/>
      </c>
      <c r="J202" s="402" t="str">
        <f>IF(+J$10="","",J$10)</f>
        <v/>
      </c>
      <c r="K202" s="402"/>
      <c r="L202" s="402" t="str">
        <f t="shared" si="19"/>
        <v>Proposed</v>
      </c>
      <c r="M202" s="402" t="str">
        <f t="shared" si="19"/>
        <v/>
      </c>
      <c r="N202" s="402" t="str">
        <f t="shared" si="19"/>
        <v/>
      </c>
      <c r="O202" s="402" t="str">
        <f t="shared" si="19"/>
        <v/>
      </c>
      <c r="Q202" s="402" t="str">
        <f>IF(+Q$10="","",Q$10)</f>
        <v>Percent</v>
      </c>
      <c r="R202" s="402" t="str">
        <f t="shared" si="19"/>
        <v/>
      </c>
      <c r="S202" s="402" t="str">
        <f t="shared" si="19"/>
        <v/>
      </c>
      <c r="T202" s="402" t="str">
        <f t="shared" si="19"/>
        <v/>
      </c>
    </row>
    <row r="203" spans="1:20" ht="14.1" customHeight="1" x14ac:dyDescent="0.2">
      <c r="A203" s="395" t="str">
        <f>IF(+A$11="","",A$11)</f>
        <v>Line</v>
      </c>
      <c r="B203" s="402" t="str">
        <f t="shared" ref="B203:T203" si="20">IF(+B$11="","",B$11)</f>
        <v/>
      </c>
      <c r="C203" s="402" t="str">
        <f t="shared" si="20"/>
        <v>Rate</v>
      </c>
      <c r="D203" s="402" t="str">
        <f t="shared" si="20"/>
        <v/>
      </c>
      <c r="E203" s="402" t="str">
        <f t="shared" si="20"/>
        <v/>
      </c>
      <c r="F203" s="402" t="str">
        <f t="shared" si="20"/>
        <v/>
      </c>
      <c r="G203" s="402" t="str">
        <f t="shared" si="20"/>
        <v/>
      </c>
      <c r="H203" s="402" t="str">
        <f>IF(+H$11="","",H$11)</f>
        <v/>
      </c>
      <c r="I203" s="402" t="str">
        <f>IF(+I$11="","",I$11)</f>
        <v>Current</v>
      </c>
      <c r="J203" s="402" t="str">
        <f>IF(+J$11="","",J$11)</f>
        <v/>
      </c>
      <c r="K203" s="402"/>
      <c r="L203" s="402" t="str">
        <f t="shared" si="20"/>
        <v>Rate</v>
      </c>
      <c r="M203" s="402" t="str">
        <f t="shared" si="20"/>
        <v/>
      </c>
      <c r="N203" s="402" t="str">
        <f t="shared" si="20"/>
        <v>Proposed</v>
      </c>
      <c r="O203" s="402" t="str">
        <f t="shared" si="20"/>
        <v/>
      </c>
      <c r="Q203" s="402" t="str">
        <f>IF(+Q$11="","",Q$11)</f>
        <v>Increase</v>
      </c>
      <c r="R203" s="402" t="str">
        <f t="shared" si="20"/>
        <v/>
      </c>
      <c r="S203" s="402" t="str">
        <f t="shared" si="20"/>
        <v/>
      </c>
      <c r="T203" s="402" t="str">
        <f t="shared" si="20"/>
        <v/>
      </c>
    </row>
    <row r="204" spans="1:20" ht="14.1" customHeight="1" thickBot="1" x14ac:dyDescent="0.25">
      <c r="A204" s="396" t="str">
        <f>IF(+A$12="","",A$12)</f>
        <v>No.</v>
      </c>
      <c r="B204" s="400" t="str">
        <f t="shared" ref="B204:T204" si="21">IF(+B$12="","",B$12)</f>
        <v/>
      </c>
      <c r="C204" s="400" t="str">
        <f t="shared" si="21"/>
        <v>Schedule</v>
      </c>
      <c r="D204" s="400" t="str">
        <f t="shared" si="21"/>
        <v/>
      </c>
      <c r="E204" s="400"/>
      <c r="F204" s="400" t="str">
        <f t="shared" si="21"/>
        <v>Type of Charge</v>
      </c>
      <c r="G204" s="400"/>
      <c r="H204" s="400" t="str">
        <f>IF(+H$12="","",H$12)</f>
        <v/>
      </c>
      <c r="I204" s="400" t="str">
        <f>IF(+I$12="","",I$12)</f>
        <v>Rate</v>
      </c>
      <c r="J204" s="400" t="str">
        <f>IF(+J$12="","",J$12)</f>
        <v/>
      </c>
      <c r="K204" s="400"/>
      <c r="L204" s="400" t="str">
        <f t="shared" si="21"/>
        <v>Schedule</v>
      </c>
      <c r="M204" s="400" t="str">
        <f t="shared" si="21"/>
        <v/>
      </c>
      <c r="N204" s="400" t="str">
        <f t="shared" si="21"/>
        <v>Rate</v>
      </c>
      <c r="O204" s="400" t="str">
        <f t="shared" si="21"/>
        <v/>
      </c>
      <c r="P204" s="396"/>
      <c r="Q204" s="400" t="str">
        <f>IF(+Q$12="","",Q$12)</f>
        <v>((5)-(3))/(3)</v>
      </c>
      <c r="R204" s="400" t="str">
        <f t="shared" si="21"/>
        <v/>
      </c>
      <c r="S204" s="400" t="str">
        <f t="shared" si="21"/>
        <v/>
      </c>
      <c r="T204" s="400" t="str">
        <f t="shared" si="21"/>
        <v/>
      </c>
    </row>
    <row r="205" spans="1:20" ht="14.1" customHeight="1" x14ac:dyDescent="0.2">
      <c r="A205" s="395">
        <v>1</v>
      </c>
      <c r="B205" s="407" t="s">
        <v>1079</v>
      </c>
      <c r="C205" s="407"/>
      <c r="D205" s="74"/>
      <c r="E205" s="133"/>
      <c r="G205" s="65"/>
      <c r="H205" s="74"/>
      <c r="J205" s="74"/>
      <c r="K205" s="74"/>
      <c r="M205" s="74"/>
      <c r="N205" s="74"/>
      <c r="O205" s="74"/>
      <c r="Q205" s="74"/>
      <c r="R205" s="74"/>
      <c r="S205" s="74"/>
      <c r="T205" s="74"/>
    </row>
    <row r="206" spans="1:20" ht="14.1" customHeight="1" x14ac:dyDescent="0.2">
      <c r="A206" s="395">
        <v>2</v>
      </c>
      <c r="B206" s="497"/>
      <c r="C206" s="101" t="s">
        <v>1061</v>
      </c>
      <c r="D206" s="74"/>
      <c r="E206" s="133"/>
      <c r="G206" s="65"/>
      <c r="H206" s="74"/>
      <c r="J206" s="74"/>
      <c r="K206" s="74"/>
      <c r="L206" s="101" t="s">
        <v>1061</v>
      </c>
      <c r="M206" s="74"/>
      <c r="N206" s="74"/>
      <c r="O206" s="74"/>
      <c r="Q206" s="74"/>
      <c r="R206" s="74"/>
      <c r="S206" s="74"/>
      <c r="T206" s="74"/>
    </row>
    <row r="207" spans="1:20" ht="14.1" customHeight="1" x14ac:dyDescent="0.2">
      <c r="A207" s="395">
        <v>3</v>
      </c>
      <c r="B207" s="497"/>
      <c r="C207" s="101"/>
      <c r="D207" s="74"/>
      <c r="E207" s="133" t="s">
        <v>812</v>
      </c>
      <c r="H207" s="68"/>
      <c r="I207" s="93"/>
      <c r="J207" s="68"/>
      <c r="K207" s="68"/>
      <c r="L207" s="68"/>
      <c r="M207" s="68"/>
      <c r="N207" s="93"/>
      <c r="O207" s="68"/>
      <c r="Q207" s="68"/>
      <c r="R207" s="74"/>
      <c r="S207" s="74"/>
      <c r="T207" s="74"/>
    </row>
    <row r="208" spans="1:20" ht="14.1" customHeight="1" x14ac:dyDescent="0.2">
      <c r="A208" s="395">
        <v>4</v>
      </c>
      <c r="B208" s="497"/>
      <c r="C208" s="497"/>
      <c r="D208" s="74"/>
      <c r="F208" s="65" t="s">
        <v>746</v>
      </c>
      <c r="G208" s="74"/>
      <c r="H208" s="68"/>
      <c r="I208" s="88">
        <f>+'2025 GSD Rate Class E-13c'!K92*100</f>
        <v>-1</v>
      </c>
      <c r="J208" s="68" t="s">
        <v>1083</v>
      </c>
      <c r="K208" s="68"/>
      <c r="L208" s="68"/>
      <c r="M208" s="68"/>
      <c r="N208" s="88">
        <f>+'2025 GSD Rate Class E-13c'!R92*100</f>
        <v>-1</v>
      </c>
      <c r="O208" s="68" t="s">
        <v>1083</v>
      </c>
      <c r="Q208" s="67">
        <f t="shared" ref="Q208:Q213" si="22">IF(I208=0,0,+(N208-I208)/I208)</f>
        <v>0</v>
      </c>
      <c r="R208" s="74"/>
      <c r="S208" s="74"/>
      <c r="T208" s="74"/>
    </row>
    <row r="209" spans="1:20" ht="14.1" customHeight="1" x14ac:dyDescent="0.2">
      <c r="A209" s="395">
        <v>5</v>
      </c>
      <c r="B209" s="497"/>
      <c r="C209" s="497"/>
      <c r="D209" s="74"/>
      <c r="F209" s="65" t="s">
        <v>769</v>
      </c>
      <c r="G209" s="74"/>
      <c r="H209" s="68"/>
      <c r="I209" s="88">
        <f>+'2025 GSD Rate Class E-13c'!K93*100</f>
        <v>-2</v>
      </c>
      <c r="J209" s="68" t="s">
        <v>1083</v>
      </c>
      <c r="K209" s="68"/>
      <c r="L209" s="68"/>
      <c r="M209" s="68"/>
      <c r="N209" s="88">
        <f>+'2025 GSD Rate Class E-13c'!R93*100</f>
        <v>-2</v>
      </c>
      <c r="O209" s="68" t="s">
        <v>1083</v>
      </c>
      <c r="Q209" s="67">
        <f t="shared" si="22"/>
        <v>0</v>
      </c>
      <c r="R209" s="74"/>
      <c r="S209" s="74"/>
      <c r="T209" s="74"/>
    </row>
    <row r="210" spans="1:20" ht="14.1" customHeight="1" x14ac:dyDescent="0.2">
      <c r="A210" s="395">
        <v>6</v>
      </c>
      <c r="B210" s="497"/>
      <c r="C210" s="497"/>
      <c r="D210" s="74"/>
      <c r="F210" s="65" t="s">
        <v>1075</v>
      </c>
      <c r="G210" s="74"/>
      <c r="H210" s="68"/>
      <c r="I210" s="88">
        <f>+'2025 GSD Rate Class E-13c'!K157*100</f>
        <v>-1</v>
      </c>
      <c r="J210" s="68" t="s">
        <v>1083</v>
      </c>
      <c r="K210" s="68"/>
      <c r="L210" s="68"/>
      <c r="M210" s="68"/>
      <c r="N210" s="88">
        <f>+'2025 GSD Rate Class E-13c'!R157*100</f>
        <v>-1</v>
      </c>
      <c r="O210" s="68" t="s">
        <v>1083</v>
      </c>
      <c r="Q210" s="67">
        <f t="shared" si="22"/>
        <v>0</v>
      </c>
      <c r="R210" s="74"/>
      <c r="S210" s="74"/>
      <c r="T210" s="74"/>
    </row>
    <row r="211" spans="1:20" ht="14.1" customHeight="1" x14ac:dyDescent="0.2">
      <c r="A211" s="395">
        <v>7</v>
      </c>
      <c r="B211" s="494"/>
      <c r="F211" s="65" t="s">
        <v>1076</v>
      </c>
      <c r="G211" s="65"/>
      <c r="H211" s="68"/>
      <c r="I211" s="88">
        <f>+'2025 GSD Rate Class E-13c'!K158*100</f>
        <v>-2</v>
      </c>
      <c r="J211" s="68" t="s">
        <v>1083</v>
      </c>
      <c r="K211" s="68"/>
      <c r="L211" s="68"/>
      <c r="M211" s="68"/>
      <c r="N211" s="88">
        <f>+'2025 GSD Rate Class E-13c'!R158*100</f>
        <v>-2</v>
      </c>
      <c r="O211" s="68" t="s">
        <v>1083</v>
      </c>
      <c r="Q211" s="67">
        <f t="shared" si="22"/>
        <v>0</v>
      </c>
      <c r="R211" s="68"/>
      <c r="S211" s="68"/>
      <c r="T211" s="68"/>
    </row>
    <row r="212" spans="1:20" ht="14.1" customHeight="1" x14ac:dyDescent="0.2">
      <c r="A212" s="395">
        <v>8</v>
      </c>
      <c r="B212" s="494"/>
      <c r="C212" s="65"/>
      <c r="F212" s="395" t="s">
        <v>1066</v>
      </c>
      <c r="H212" s="68"/>
      <c r="I212" s="88">
        <f>+'2025 GSD Rate Class E-13c'!K94*100</f>
        <v>-1</v>
      </c>
      <c r="J212" s="68" t="s">
        <v>1083</v>
      </c>
      <c r="K212" s="68"/>
      <c r="L212" s="68"/>
      <c r="M212" s="68"/>
      <c r="N212" s="88">
        <f>+'2025 GSD Rate Class E-13c'!R94*100</f>
        <v>-1</v>
      </c>
      <c r="O212" s="68" t="s">
        <v>1083</v>
      </c>
      <c r="Q212" s="67">
        <f t="shared" si="22"/>
        <v>0</v>
      </c>
      <c r="R212" s="68"/>
      <c r="S212" s="68"/>
      <c r="T212" s="68"/>
    </row>
    <row r="213" spans="1:20" ht="14.1" customHeight="1" x14ac:dyDescent="0.2">
      <c r="A213" s="395">
        <v>9</v>
      </c>
      <c r="B213" s="494"/>
      <c r="C213" s="65"/>
      <c r="F213" s="395" t="s">
        <v>1067</v>
      </c>
      <c r="H213" s="68"/>
      <c r="I213" s="88">
        <f>+'2025 GSD Rate Class E-13c'!K95*100</f>
        <v>-2</v>
      </c>
      <c r="J213" s="68" t="s">
        <v>1083</v>
      </c>
      <c r="K213" s="68"/>
      <c r="L213" s="68"/>
      <c r="M213" s="68"/>
      <c r="N213" s="88">
        <f>+'2025 GSD Rate Class E-13c'!R95*100</f>
        <v>-2</v>
      </c>
      <c r="O213" s="68" t="s">
        <v>1083</v>
      </c>
      <c r="Q213" s="67">
        <f t="shared" si="22"/>
        <v>0</v>
      </c>
      <c r="R213" s="68"/>
      <c r="S213" s="68"/>
      <c r="T213" s="68"/>
    </row>
    <row r="214" spans="1:20" ht="14.1" customHeight="1" x14ac:dyDescent="0.2">
      <c r="A214" s="395">
        <v>10</v>
      </c>
      <c r="B214" s="494"/>
      <c r="C214" s="65"/>
      <c r="R214" s="68"/>
      <c r="S214" s="68"/>
      <c r="T214" s="68"/>
    </row>
    <row r="215" spans="1:20" ht="14.1" customHeight="1" x14ac:dyDescent="0.2">
      <c r="A215" s="395">
        <v>11</v>
      </c>
      <c r="B215" s="494"/>
      <c r="C215" s="65"/>
      <c r="R215" s="68"/>
      <c r="S215" s="68"/>
      <c r="T215" s="68"/>
    </row>
    <row r="216" spans="1:20" ht="14.1" customHeight="1" x14ac:dyDescent="0.2">
      <c r="A216" s="395">
        <v>12</v>
      </c>
      <c r="B216" s="494"/>
      <c r="C216" s="65"/>
      <c r="R216" s="68"/>
      <c r="S216" s="68"/>
      <c r="T216" s="68"/>
    </row>
    <row r="217" spans="1:20" ht="14.1" customHeight="1" x14ac:dyDescent="0.2">
      <c r="A217" s="395">
        <v>13</v>
      </c>
      <c r="B217" s="494"/>
      <c r="C217" s="74"/>
      <c r="R217" s="68"/>
      <c r="S217" s="68"/>
      <c r="T217" s="68"/>
    </row>
    <row r="218" spans="1:20" ht="14.1" customHeight="1" x14ac:dyDescent="0.2">
      <c r="A218" s="395">
        <v>14</v>
      </c>
      <c r="B218" s="494"/>
      <c r="C218" s="74"/>
      <c r="E218" s="133"/>
      <c r="G218" s="65"/>
      <c r="H218" s="68"/>
      <c r="I218" s="93"/>
      <c r="J218" s="68"/>
      <c r="K218" s="68"/>
      <c r="L218" s="68"/>
      <c r="M218" s="68"/>
      <c r="N218" s="93"/>
      <c r="O218" s="68"/>
      <c r="Q218" s="68"/>
      <c r="R218" s="68"/>
      <c r="S218" s="68"/>
      <c r="T218" s="68"/>
    </row>
    <row r="219" spans="1:20" ht="14.1" customHeight="1" x14ac:dyDescent="0.2">
      <c r="A219" s="395">
        <v>15</v>
      </c>
      <c r="B219" s="494"/>
      <c r="C219" s="74"/>
      <c r="E219" s="133"/>
      <c r="G219" s="65"/>
      <c r="H219" s="68"/>
      <c r="I219" s="93"/>
      <c r="J219" s="68"/>
      <c r="K219" s="68"/>
      <c r="L219" s="68"/>
      <c r="M219" s="68"/>
      <c r="N219" s="93"/>
      <c r="O219" s="68"/>
      <c r="Q219" s="68"/>
      <c r="R219" s="68"/>
      <c r="S219" s="68"/>
      <c r="T219" s="68"/>
    </row>
    <row r="220" spans="1:20" ht="14.1" customHeight="1" x14ac:dyDescent="0.2">
      <c r="A220" s="395">
        <v>16</v>
      </c>
      <c r="B220" s="494"/>
      <c r="C220" s="74"/>
      <c r="E220" s="133"/>
      <c r="G220" s="65"/>
      <c r="H220" s="68"/>
      <c r="I220" s="93"/>
      <c r="J220" s="68"/>
      <c r="K220" s="68"/>
      <c r="L220" s="68"/>
      <c r="M220" s="68"/>
      <c r="N220" s="93"/>
      <c r="O220" s="68"/>
      <c r="Q220" s="68"/>
      <c r="R220" s="68"/>
      <c r="S220" s="68"/>
      <c r="T220" s="68"/>
    </row>
    <row r="221" spans="1:20" ht="14.1" customHeight="1" x14ac:dyDescent="0.2">
      <c r="A221" s="395">
        <v>17</v>
      </c>
      <c r="B221" s="494"/>
      <c r="C221" s="74"/>
      <c r="E221" s="133"/>
      <c r="G221" s="65"/>
      <c r="H221" s="68"/>
      <c r="I221" s="93"/>
      <c r="J221" s="68"/>
      <c r="K221" s="68"/>
      <c r="L221" s="68"/>
      <c r="M221" s="68"/>
      <c r="N221" s="93"/>
      <c r="O221" s="68"/>
      <c r="Q221" s="68"/>
      <c r="R221" s="68"/>
      <c r="S221" s="68"/>
      <c r="T221" s="68"/>
    </row>
    <row r="222" spans="1:20" ht="14.1" customHeight="1" x14ac:dyDescent="0.2">
      <c r="A222" s="395">
        <v>18</v>
      </c>
      <c r="B222" s="494"/>
      <c r="C222" s="74"/>
      <c r="E222" s="133"/>
      <c r="G222" s="65"/>
      <c r="H222" s="68"/>
      <c r="I222" s="93"/>
      <c r="J222" s="68"/>
      <c r="K222" s="68"/>
      <c r="L222" s="68"/>
      <c r="M222" s="68"/>
      <c r="N222" s="93"/>
      <c r="O222" s="68"/>
      <c r="Q222" s="68"/>
      <c r="R222" s="68"/>
      <c r="S222" s="68"/>
      <c r="T222" s="68"/>
    </row>
    <row r="223" spans="1:20" ht="14.1" customHeight="1" x14ac:dyDescent="0.2">
      <c r="A223" s="395">
        <v>19</v>
      </c>
      <c r="B223" s="494"/>
      <c r="C223" s="74"/>
      <c r="F223" s="65"/>
      <c r="H223" s="68"/>
      <c r="I223" s="93"/>
      <c r="J223" s="68"/>
      <c r="K223" s="68"/>
      <c r="L223" s="68"/>
      <c r="M223" s="68"/>
      <c r="N223" s="93"/>
      <c r="O223" s="68"/>
      <c r="Q223" s="67"/>
      <c r="R223" s="68"/>
      <c r="S223" s="68"/>
      <c r="T223" s="68"/>
    </row>
    <row r="224" spans="1:20" ht="14.1" customHeight="1" x14ac:dyDescent="0.2">
      <c r="A224" s="395">
        <v>20</v>
      </c>
      <c r="B224" s="494"/>
      <c r="C224" s="74"/>
      <c r="F224" s="65"/>
      <c r="H224" s="68"/>
      <c r="I224" s="93"/>
      <c r="J224" s="68"/>
      <c r="K224" s="68"/>
      <c r="L224" s="68"/>
      <c r="M224" s="68"/>
      <c r="N224" s="93"/>
      <c r="O224" s="68"/>
      <c r="Q224" s="67"/>
      <c r="R224" s="68"/>
      <c r="S224" s="68"/>
      <c r="T224" s="68"/>
    </row>
    <row r="225" spans="1:20" ht="14.1" customHeight="1" x14ac:dyDescent="0.2">
      <c r="A225" s="395">
        <v>21</v>
      </c>
      <c r="B225" s="494"/>
      <c r="C225" s="74"/>
      <c r="F225" s="65"/>
      <c r="G225" s="68"/>
      <c r="H225" s="68"/>
      <c r="I225" s="93"/>
      <c r="J225" s="68"/>
      <c r="K225" s="68"/>
      <c r="L225" s="68"/>
      <c r="M225" s="68"/>
      <c r="N225" s="93"/>
      <c r="O225" s="68"/>
      <c r="Q225" s="67"/>
      <c r="R225" s="68"/>
      <c r="S225" s="68"/>
      <c r="T225" s="68"/>
    </row>
    <row r="226" spans="1:20" ht="14.1" customHeight="1" x14ac:dyDescent="0.2">
      <c r="A226" s="395">
        <v>22</v>
      </c>
      <c r="B226" s="494"/>
      <c r="C226" s="74"/>
      <c r="F226" s="65"/>
      <c r="G226" s="68"/>
      <c r="H226" s="68"/>
      <c r="I226" s="93"/>
      <c r="J226" s="68"/>
      <c r="K226" s="68"/>
      <c r="L226" s="68"/>
      <c r="M226" s="68"/>
      <c r="N226" s="93"/>
      <c r="O226" s="68"/>
      <c r="Q226" s="67"/>
      <c r="R226" s="68"/>
      <c r="S226" s="68"/>
      <c r="T226" s="68"/>
    </row>
    <row r="227" spans="1:20" ht="14.1" customHeight="1" x14ac:dyDescent="0.2">
      <c r="A227" s="395">
        <v>23</v>
      </c>
      <c r="B227" s="494"/>
      <c r="C227" s="74"/>
      <c r="G227" s="65"/>
      <c r="H227" s="68"/>
      <c r="I227" s="93"/>
      <c r="J227" s="68"/>
      <c r="K227" s="68"/>
      <c r="L227" s="68"/>
      <c r="M227" s="68"/>
      <c r="N227" s="93"/>
      <c r="O227" s="68"/>
      <c r="Q227" s="68"/>
      <c r="R227" s="68"/>
      <c r="S227" s="68"/>
      <c r="T227" s="68"/>
    </row>
    <row r="228" spans="1:20" ht="14.1" customHeight="1" x14ac:dyDescent="0.2">
      <c r="A228" s="395">
        <v>24</v>
      </c>
      <c r="B228" s="494"/>
      <c r="C228" s="74"/>
      <c r="R228" s="68"/>
      <c r="S228" s="68"/>
      <c r="T228" s="68"/>
    </row>
    <row r="229" spans="1:20" ht="14.1" customHeight="1" x14ac:dyDescent="0.2">
      <c r="A229" s="395">
        <v>25</v>
      </c>
      <c r="B229" s="494"/>
      <c r="C229" s="74"/>
      <c r="R229" s="68"/>
      <c r="S229" s="68"/>
      <c r="T229" s="68"/>
    </row>
    <row r="230" spans="1:20" ht="14.1" customHeight="1" x14ac:dyDescent="0.2">
      <c r="A230" s="395">
        <v>26</v>
      </c>
      <c r="B230" s="494"/>
      <c r="C230" s="74"/>
      <c r="R230" s="68"/>
      <c r="S230" s="68"/>
      <c r="T230" s="68"/>
    </row>
    <row r="231" spans="1:20" ht="14.1" customHeight="1" x14ac:dyDescent="0.2">
      <c r="A231" s="395">
        <v>27</v>
      </c>
      <c r="B231" s="494"/>
      <c r="C231" s="74"/>
      <c r="R231" s="68"/>
      <c r="S231" s="68"/>
      <c r="T231" s="68"/>
    </row>
    <row r="232" spans="1:20" ht="14.1" customHeight="1" x14ac:dyDescent="0.2">
      <c r="A232" s="395">
        <v>28</v>
      </c>
      <c r="B232" s="494"/>
      <c r="C232" s="74"/>
      <c r="R232" s="68"/>
      <c r="S232" s="68"/>
      <c r="T232" s="68"/>
    </row>
    <row r="233" spans="1:20" ht="14.1" customHeight="1" x14ac:dyDescent="0.2">
      <c r="A233" s="395">
        <v>29</v>
      </c>
      <c r="B233" s="494"/>
      <c r="C233" s="74"/>
      <c r="F233" s="68"/>
      <c r="G233" s="68"/>
      <c r="H233" s="68"/>
      <c r="I233" s="93"/>
      <c r="J233" s="68"/>
      <c r="K233" s="68"/>
      <c r="L233" s="68"/>
      <c r="M233" s="68"/>
      <c r="N233" s="93"/>
      <c r="O233" s="68"/>
      <c r="Q233" s="68"/>
      <c r="R233" s="68"/>
      <c r="S233" s="68"/>
      <c r="T233" s="68"/>
    </row>
    <row r="234" spans="1:20" ht="14.1" customHeight="1" x14ac:dyDescent="0.2">
      <c r="A234" s="395">
        <v>30</v>
      </c>
      <c r="B234" s="494"/>
      <c r="C234" s="74"/>
      <c r="E234" s="118"/>
      <c r="G234" s="68"/>
      <c r="H234" s="68"/>
      <c r="I234" s="93"/>
      <c r="J234" s="68"/>
      <c r="K234" s="68"/>
      <c r="L234" s="68"/>
      <c r="M234" s="68"/>
      <c r="N234" s="93"/>
      <c r="O234" s="68"/>
      <c r="Q234" s="67"/>
      <c r="R234" s="68"/>
      <c r="S234" s="68"/>
      <c r="T234" s="68"/>
    </row>
    <row r="235" spans="1:20" ht="14.1" customHeight="1" x14ac:dyDescent="0.2">
      <c r="A235" s="395">
        <v>31</v>
      </c>
      <c r="B235" s="494"/>
      <c r="C235" s="74"/>
      <c r="F235" s="68"/>
      <c r="G235" s="68"/>
      <c r="H235" s="68"/>
      <c r="I235" s="93"/>
      <c r="J235" s="68"/>
      <c r="K235" s="68"/>
      <c r="L235" s="68"/>
      <c r="M235" s="68"/>
      <c r="N235" s="68"/>
      <c r="O235" s="68"/>
      <c r="Q235" s="68"/>
      <c r="R235" s="68"/>
      <c r="S235" s="68"/>
      <c r="T235" s="68"/>
    </row>
    <row r="236" spans="1:20" ht="14.1" customHeight="1" x14ac:dyDescent="0.2">
      <c r="A236" s="395">
        <v>32</v>
      </c>
      <c r="B236" s="494"/>
      <c r="C236" s="74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Q236" s="68"/>
      <c r="R236" s="68"/>
      <c r="S236" s="68"/>
      <c r="T236" s="68"/>
    </row>
    <row r="237" spans="1:20" ht="14.1" customHeight="1" x14ac:dyDescent="0.2">
      <c r="A237" s="395">
        <v>33</v>
      </c>
      <c r="B237" s="494"/>
      <c r="C237" s="74"/>
      <c r="E237" s="133"/>
      <c r="H237" s="68"/>
      <c r="I237" s="93"/>
      <c r="J237" s="68"/>
      <c r="K237" s="68"/>
      <c r="L237" s="68"/>
      <c r="M237" s="68"/>
      <c r="N237" s="93"/>
      <c r="O237" s="68"/>
      <c r="Q237" s="68"/>
      <c r="R237" s="68"/>
      <c r="S237" s="68"/>
      <c r="T237" s="68"/>
    </row>
    <row r="238" spans="1:20" ht="14.1" customHeight="1" x14ac:dyDescent="0.2">
      <c r="A238" s="395">
        <v>34</v>
      </c>
      <c r="B238" s="494"/>
      <c r="C238" s="74"/>
      <c r="F238" s="65"/>
      <c r="G238" s="74"/>
      <c r="H238" s="68"/>
      <c r="I238" s="139"/>
      <c r="J238" s="68"/>
      <c r="K238" s="68"/>
      <c r="L238" s="68"/>
      <c r="M238" s="68"/>
      <c r="N238" s="139"/>
      <c r="O238" s="68"/>
      <c r="Q238" s="67"/>
      <c r="R238" s="68"/>
      <c r="S238" s="68"/>
      <c r="T238" s="68"/>
    </row>
    <row r="239" spans="1:20" ht="14.1" customHeight="1" x14ac:dyDescent="0.2">
      <c r="A239" s="395">
        <v>35</v>
      </c>
      <c r="B239" s="494"/>
      <c r="C239" s="74"/>
      <c r="F239" s="65"/>
      <c r="G239" s="74"/>
      <c r="H239" s="68"/>
      <c r="I239" s="139"/>
      <c r="J239" s="68"/>
      <c r="K239" s="68"/>
      <c r="L239" s="68"/>
      <c r="M239" s="68"/>
      <c r="N239" s="139"/>
      <c r="O239" s="68"/>
      <c r="Q239" s="67"/>
      <c r="R239" s="68"/>
      <c r="S239" s="68"/>
      <c r="T239" s="68"/>
    </row>
    <row r="240" spans="1:20" ht="14.1" customHeight="1" thickBot="1" x14ac:dyDescent="0.25">
      <c r="A240" s="396">
        <v>36</v>
      </c>
      <c r="B240" s="496"/>
      <c r="C240" s="136"/>
      <c r="D240" s="396"/>
      <c r="E240" s="396"/>
      <c r="F240" s="136"/>
      <c r="G240" s="136"/>
      <c r="H240" s="105"/>
      <c r="I240" s="140"/>
      <c r="J240" s="105"/>
      <c r="K240" s="105"/>
      <c r="L240" s="105"/>
      <c r="M240" s="105"/>
      <c r="N240" s="140"/>
      <c r="O240" s="105"/>
      <c r="P240" s="396"/>
      <c r="Q240" s="141"/>
      <c r="R240" s="105"/>
      <c r="S240" s="105"/>
      <c r="T240" s="105"/>
    </row>
    <row r="241" spans="1:20" ht="14.1" customHeight="1" x14ac:dyDescent="0.2">
      <c r="A241" s="395" t="str">
        <f>+$A$49</f>
        <v>Supporting Schedules:  E-7, E-14 Supplement</v>
      </c>
      <c r="R241" s="395" t="s">
        <v>1003</v>
      </c>
    </row>
    <row r="242" spans="1:20" ht="14.1" customHeight="1" thickBot="1" x14ac:dyDescent="0.25">
      <c r="A242" s="396" t="str">
        <f>+$A$2</f>
        <v>SCHEDULE A-3</v>
      </c>
      <c r="B242" s="396"/>
      <c r="C242" s="396"/>
      <c r="D242" s="396"/>
      <c r="E242" s="396"/>
      <c r="F242" s="396"/>
      <c r="G242" s="396"/>
      <c r="H242" s="396"/>
      <c r="I242" s="396" t="str">
        <f>+$I$2</f>
        <v>SUMMARY OF TARIFFS</v>
      </c>
      <c r="J242" s="396"/>
      <c r="K242" s="396"/>
      <c r="L242" s="396"/>
      <c r="M242" s="396"/>
      <c r="N242" s="396"/>
      <c r="O242" s="396"/>
      <c r="P242" s="396"/>
      <c r="Q242" s="396"/>
      <c r="R242" s="396"/>
      <c r="S242" s="396"/>
      <c r="T242" s="492" t="s">
        <v>1151</v>
      </c>
    </row>
    <row r="243" spans="1:20" ht="14.1" customHeight="1" x14ac:dyDescent="0.2">
      <c r="A243" s="395" t="s">
        <v>307</v>
      </c>
      <c r="F243" s="399" t="s">
        <v>1041</v>
      </c>
      <c r="G243" s="395" t="s">
        <v>1042</v>
      </c>
      <c r="L243" s="397"/>
      <c r="M243" s="397"/>
      <c r="O243" s="397"/>
      <c r="P243" s="397"/>
      <c r="Q243" s="397" t="s">
        <v>847</v>
      </c>
      <c r="T243" s="398"/>
    </row>
    <row r="244" spans="1:20" ht="14.1" customHeight="1" x14ac:dyDescent="0.2">
      <c r="G244" s="395" t="s">
        <v>1043</v>
      </c>
      <c r="L244" s="399"/>
      <c r="M244" s="398"/>
      <c r="P244" s="399"/>
      <c r="Q244" s="311" t="s">
        <v>919</v>
      </c>
      <c r="R244" s="310" t="s">
        <v>920</v>
      </c>
      <c r="T244" s="399"/>
    </row>
    <row r="245" spans="1:20" ht="14.1" customHeight="1" x14ac:dyDescent="0.2">
      <c r="A245" s="395" t="s">
        <v>310</v>
      </c>
      <c r="L245" s="399"/>
      <c r="M245" s="398"/>
      <c r="N245" s="399"/>
      <c r="Q245" s="311"/>
      <c r="R245" s="310" t="s">
        <v>937</v>
      </c>
      <c r="T245" s="399"/>
    </row>
    <row r="246" spans="1:20" ht="14.1" customHeight="1" x14ac:dyDescent="0.2">
      <c r="L246" s="399"/>
      <c r="M246" s="398"/>
      <c r="N246" s="399"/>
      <c r="Q246" s="311"/>
      <c r="R246" s="310" t="s">
        <v>938</v>
      </c>
      <c r="T246" s="399"/>
    </row>
    <row r="247" spans="1:20" ht="14.1" customHeight="1" thickBot="1" x14ac:dyDescent="0.25">
      <c r="A247" s="396" t="s">
        <v>1022</v>
      </c>
      <c r="B247" s="396"/>
      <c r="C247" s="396"/>
      <c r="D247" s="396"/>
      <c r="E247" s="396"/>
      <c r="F247" s="396"/>
      <c r="G247" s="396"/>
      <c r="H247" s="396"/>
      <c r="I247" s="400"/>
      <c r="J247" s="396"/>
      <c r="K247" s="396"/>
      <c r="L247" s="396"/>
      <c r="M247" s="396"/>
      <c r="N247" s="396"/>
      <c r="O247" s="396"/>
      <c r="P247" s="396"/>
      <c r="Q247" s="396"/>
      <c r="R247" s="396" t="s">
        <v>311</v>
      </c>
      <c r="S247" s="396"/>
      <c r="T247" s="396"/>
    </row>
    <row r="248" spans="1:20" ht="14.1" customHeight="1" x14ac:dyDescent="0.2">
      <c r="A248" s="395" t="str">
        <f>IF(+A$8="","",A$8)</f>
        <v/>
      </c>
      <c r="B248" s="402" t="str">
        <f t="shared" ref="B248:T248" si="23">IF(+B$8="","",B$8)</f>
        <v/>
      </c>
      <c r="C248" s="402" t="str">
        <f t="shared" si="23"/>
        <v>(1)</v>
      </c>
      <c r="D248" s="402" t="str">
        <f t="shared" si="23"/>
        <v/>
      </c>
      <c r="E248" s="402" t="str">
        <f t="shared" si="23"/>
        <v/>
      </c>
      <c r="F248" s="402" t="str">
        <f t="shared" si="23"/>
        <v>(2)</v>
      </c>
      <c r="G248" s="402" t="str">
        <f t="shared" si="23"/>
        <v/>
      </c>
      <c r="H248" s="402" t="str">
        <f>IF(+H$8="","",H$8)</f>
        <v/>
      </c>
      <c r="I248" s="402" t="str">
        <f>IF(+I$8="","",I$8)</f>
        <v>(3)</v>
      </c>
      <c r="J248" s="402" t="str">
        <f>IF(+J$8="","",J$8)</f>
        <v/>
      </c>
      <c r="K248" s="402"/>
      <c r="L248" s="402" t="str">
        <f t="shared" si="23"/>
        <v>(4)</v>
      </c>
      <c r="M248" s="402" t="str">
        <f t="shared" si="23"/>
        <v/>
      </c>
      <c r="N248" s="402" t="str">
        <f t="shared" si="23"/>
        <v>(5)</v>
      </c>
      <c r="O248" s="402" t="str">
        <f t="shared" si="23"/>
        <v/>
      </c>
      <c r="Q248" s="402" t="str">
        <f>IF(+Q$8="","",Q$8)</f>
        <v>(6)</v>
      </c>
      <c r="R248" s="402" t="str">
        <f t="shared" si="23"/>
        <v/>
      </c>
      <c r="S248" s="402" t="str">
        <f t="shared" si="23"/>
        <v/>
      </c>
      <c r="T248" s="402" t="str">
        <f t="shared" si="23"/>
        <v/>
      </c>
    </row>
    <row r="249" spans="1:20" ht="14.1" customHeight="1" x14ac:dyDescent="0.2">
      <c r="A249" s="395" t="str">
        <f>IF(+A$9="","",A$9)</f>
        <v/>
      </c>
      <c r="B249" s="402" t="str">
        <f t="shared" ref="B249:T249" si="24">IF(+B$9="","",B$9)</f>
        <v/>
      </c>
      <c r="C249" s="402" t="str">
        <f t="shared" si="24"/>
        <v/>
      </c>
      <c r="D249" s="402" t="str">
        <f t="shared" si="24"/>
        <v/>
      </c>
      <c r="E249" s="402" t="str">
        <f t="shared" si="24"/>
        <v/>
      </c>
      <c r="F249" s="402" t="str">
        <f t="shared" si="24"/>
        <v/>
      </c>
      <c r="G249" s="402" t="str">
        <f t="shared" si="24"/>
        <v/>
      </c>
      <c r="H249" s="402" t="str">
        <f>IF(+H$9="","",H$9)</f>
        <v/>
      </c>
      <c r="I249" s="402" t="str">
        <f>IF(+I$9="","",I$9)</f>
        <v/>
      </c>
      <c r="J249" s="402" t="str">
        <f>IF(+J$9="","",J$9)</f>
        <v/>
      </c>
      <c r="K249" s="402"/>
      <c r="L249" s="402" t="str">
        <f t="shared" si="24"/>
        <v/>
      </c>
      <c r="M249" s="402" t="str">
        <f t="shared" si="24"/>
        <v/>
      </c>
      <c r="N249" s="402" t="str">
        <f t="shared" si="24"/>
        <v/>
      </c>
      <c r="O249" s="402" t="str">
        <f t="shared" si="24"/>
        <v/>
      </c>
      <c r="Q249" s="402" t="str">
        <f>IF(+Q$9="","",Q$9)</f>
        <v/>
      </c>
      <c r="R249" s="402" t="str">
        <f t="shared" si="24"/>
        <v/>
      </c>
      <c r="S249" s="402" t="str">
        <f t="shared" si="24"/>
        <v/>
      </c>
      <c r="T249" s="402" t="str">
        <f t="shared" si="24"/>
        <v/>
      </c>
    </row>
    <row r="250" spans="1:20" ht="14.1" customHeight="1" x14ac:dyDescent="0.2">
      <c r="A250" s="395" t="str">
        <f>IF(+A$10="","",A$10)</f>
        <v/>
      </c>
      <c r="B250" s="402" t="str">
        <f t="shared" ref="B250:T250" si="25">IF(+B$10="","",B$10)</f>
        <v/>
      </c>
      <c r="C250" s="402" t="str">
        <f t="shared" si="25"/>
        <v xml:space="preserve">Current </v>
      </c>
      <c r="D250" s="402" t="str">
        <f t="shared" si="25"/>
        <v/>
      </c>
      <c r="E250" s="402" t="str">
        <f t="shared" si="25"/>
        <v/>
      </c>
      <c r="F250" s="402" t="str">
        <f t="shared" si="25"/>
        <v/>
      </c>
      <c r="G250" s="402" t="str">
        <f t="shared" si="25"/>
        <v/>
      </c>
      <c r="H250" s="402" t="str">
        <f>IF(+H$10="","",H$10)</f>
        <v/>
      </c>
      <c r="I250" s="402" t="str">
        <f>IF(+I$10="","",I$10)</f>
        <v/>
      </c>
      <c r="J250" s="402" t="str">
        <f>IF(+J$10="","",J$10)</f>
        <v/>
      </c>
      <c r="K250" s="402"/>
      <c r="L250" s="402" t="str">
        <f t="shared" si="25"/>
        <v>Proposed</v>
      </c>
      <c r="M250" s="402" t="str">
        <f t="shared" si="25"/>
        <v/>
      </c>
      <c r="N250" s="402" t="str">
        <f t="shared" si="25"/>
        <v/>
      </c>
      <c r="O250" s="402" t="str">
        <f t="shared" si="25"/>
        <v/>
      </c>
      <c r="Q250" s="402" t="str">
        <f>IF(+Q$10="","",Q$10)</f>
        <v>Percent</v>
      </c>
      <c r="R250" s="402" t="str">
        <f t="shared" si="25"/>
        <v/>
      </c>
      <c r="S250" s="402" t="str">
        <f t="shared" si="25"/>
        <v/>
      </c>
      <c r="T250" s="402" t="str">
        <f t="shared" si="25"/>
        <v/>
      </c>
    </row>
    <row r="251" spans="1:20" ht="14.1" customHeight="1" x14ac:dyDescent="0.2">
      <c r="A251" s="395" t="str">
        <f>IF(+A$11="","",A$11)</f>
        <v>Line</v>
      </c>
      <c r="B251" s="402" t="str">
        <f t="shared" ref="B251:T251" si="26">IF(+B$11="","",B$11)</f>
        <v/>
      </c>
      <c r="C251" s="402" t="str">
        <f t="shared" si="26"/>
        <v>Rate</v>
      </c>
      <c r="D251" s="402" t="str">
        <f t="shared" si="26"/>
        <v/>
      </c>
      <c r="E251" s="402" t="str">
        <f t="shared" si="26"/>
        <v/>
      </c>
      <c r="F251" s="402" t="str">
        <f t="shared" si="26"/>
        <v/>
      </c>
      <c r="G251" s="402" t="str">
        <f t="shared" si="26"/>
        <v/>
      </c>
      <c r="H251" s="402" t="str">
        <f>IF(+H$11="","",H$11)</f>
        <v/>
      </c>
      <c r="I251" s="402" t="str">
        <f>IF(+I$11="","",I$11)</f>
        <v>Current</v>
      </c>
      <c r="J251" s="402" t="str">
        <f>IF(+J$11="","",J$11)</f>
        <v/>
      </c>
      <c r="K251" s="402"/>
      <c r="L251" s="402" t="str">
        <f t="shared" si="26"/>
        <v>Rate</v>
      </c>
      <c r="M251" s="402" t="str">
        <f t="shared" si="26"/>
        <v/>
      </c>
      <c r="N251" s="402" t="str">
        <f t="shared" si="26"/>
        <v>Proposed</v>
      </c>
      <c r="O251" s="402" t="str">
        <f t="shared" si="26"/>
        <v/>
      </c>
      <c r="Q251" s="402" t="str">
        <f>IF(+Q$11="","",Q$11)</f>
        <v>Increase</v>
      </c>
      <c r="R251" s="402" t="str">
        <f t="shared" si="26"/>
        <v/>
      </c>
      <c r="S251" s="402" t="str">
        <f t="shared" si="26"/>
        <v/>
      </c>
      <c r="T251" s="402" t="str">
        <f t="shared" si="26"/>
        <v/>
      </c>
    </row>
    <row r="252" spans="1:20" ht="14.1" customHeight="1" thickBot="1" x14ac:dyDescent="0.25">
      <c r="A252" s="396" t="str">
        <f>IF(+A$12="","",A$12)</f>
        <v>No.</v>
      </c>
      <c r="B252" s="400" t="str">
        <f t="shared" ref="B252:T252" si="27">IF(+B$12="","",B$12)</f>
        <v/>
      </c>
      <c r="C252" s="400" t="str">
        <f t="shared" si="27"/>
        <v>Schedule</v>
      </c>
      <c r="D252" s="400" t="str">
        <f t="shared" si="27"/>
        <v/>
      </c>
      <c r="E252" s="400"/>
      <c r="F252" s="400" t="str">
        <f t="shared" si="27"/>
        <v>Type of Charge</v>
      </c>
      <c r="G252" s="400"/>
      <c r="H252" s="400" t="str">
        <f>IF(+H$12="","",H$12)</f>
        <v/>
      </c>
      <c r="I252" s="400" t="str">
        <f>IF(+I$12="","",I$12)</f>
        <v>Rate</v>
      </c>
      <c r="J252" s="400" t="str">
        <f>IF(+J$12="","",J$12)</f>
        <v/>
      </c>
      <c r="K252" s="400"/>
      <c r="L252" s="400" t="str">
        <f t="shared" si="27"/>
        <v>Schedule</v>
      </c>
      <c r="M252" s="400" t="str">
        <f t="shared" si="27"/>
        <v/>
      </c>
      <c r="N252" s="400" t="str">
        <f t="shared" si="27"/>
        <v>Rate</v>
      </c>
      <c r="O252" s="400" t="str">
        <f t="shared" si="27"/>
        <v/>
      </c>
      <c r="P252" s="396"/>
      <c r="Q252" s="400" t="str">
        <f>IF(+Q$12="","",Q$12)</f>
        <v>((5)-(3))/(3)</v>
      </c>
      <c r="R252" s="400" t="str">
        <f t="shared" si="27"/>
        <v/>
      </c>
      <c r="S252" s="400" t="str">
        <f t="shared" si="27"/>
        <v/>
      </c>
      <c r="T252" s="400" t="str">
        <f t="shared" si="27"/>
        <v/>
      </c>
    </row>
    <row r="253" spans="1:20" ht="14.1" customHeight="1" x14ac:dyDescent="0.2">
      <c r="A253" s="395">
        <v>1</v>
      </c>
      <c r="B253" s="493"/>
      <c r="C253" s="101" t="s">
        <v>396</v>
      </c>
      <c r="D253" s="74"/>
      <c r="E253" s="122" t="s">
        <v>327</v>
      </c>
      <c r="G253" s="65"/>
      <c r="H253" s="74"/>
      <c r="J253" s="74"/>
      <c r="K253" s="74"/>
      <c r="L253" s="101" t="s">
        <v>396</v>
      </c>
      <c r="M253" s="74"/>
      <c r="N253" s="74"/>
      <c r="O253" s="74"/>
      <c r="Q253" s="74"/>
      <c r="R253" s="74"/>
      <c r="S253" s="74"/>
      <c r="T253" s="74"/>
    </row>
    <row r="254" spans="1:20" ht="14.1" customHeight="1" x14ac:dyDescent="0.2">
      <c r="A254" s="395">
        <v>2</v>
      </c>
      <c r="B254" s="494"/>
      <c r="F254" s="134" t="s">
        <v>773</v>
      </c>
      <c r="G254" s="65"/>
      <c r="H254" s="74"/>
      <c r="I254" s="93">
        <f>+ROUND('2025 GSD Rate Class E-13c'!K181,2)</f>
        <v>1.91</v>
      </c>
      <c r="J254" s="74" t="s">
        <v>1050</v>
      </c>
      <c r="K254" s="74"/>
      <c r="L254" s="74"/>
      <c r="M254" s="74"/>
      <c r="N254" s="93">
        <f>+ROUND('2025 GSD Rate Class E-13c'!R181,2)</f>
        <v>1.72</v>
      </c>
      <c r="O254" s="74" t="s">
        <v>1050</v>
      </c>
      <c r="Q254" s="67">
        <f t="shared" ref="Q254:Q259" si="28">IF(I254=0,0,+(N254-I254)/I254)</f>
        <v>-9.9476439790575896E-2</v>
      </c>
      <c r="R254" s="74"/>
      <c r="S254" s="74"/>
      <c r="T254" s="74"/>
    </row>
    <row r="255" spans="1:20" ht="14.1" customHeight="1" x14ac:dyDescent="0.2">
      <c r="A255" s="395">
        <v>3</v>
      </c>
      <c r="B255" s="494"/>
      <c r="F255" s="134" t="s">
        <v>746</v>
      </c>
      <c r="I255" s="93">
        <f>+ROUND('2025 GSD Rate Class E-13c'!K182,2)</f>
        <v>6.8</v>
      </c>
      <c r="J255" s="74" t="s">
        <v>1050</v>
      </c>
      <c r="K255" s="74"/>
      <c r="N255" s="93">
        <f>+ROUND('2025 GSD Rate Class E-13c'!R182,2)</f>
        <v>9.36</v>
      </c>
      <c r="O255" s="74" t="s">
        <v>1050</v>
      </c>
      <c r="Q255" s="67">
        <f t="shared" si="28"/>
        <v>0.37647058823529406</v>
      </c>
      <c r="R255" s="74"/>
      <c r="S255" s="74"/>
      <c r="T255" s="74"/>
    </row>
    <row r="256" spans="1:20" ht="14.1" customHeight="1" x14ac:dyDescent="0.2">
      <c r="A256" s="395">
        <v>4</v>
      </c>
      <c r="B256" s="494"/>
      <c r="F256" s="134" t="s">
        <v>769</v>
      </c>
      <c r="H256" s="68"/>
      <c r="I256" s="93">
        <f>+ROUND('2025 GSD Rate Class E-13c'!K183,2)</f>
        <v>18.309999999999999</v>
      </c>
      <c r="J256" s="74" t="s">
        <v>1050</v>
      </c>
      <c r="K256" s="74"/>
      <c r="L256" s="68"/>
      <c r="M256" s="64"/>
      <c r="N256" s="93">
        <f>+ROUND('2025 GSD Rate Class E-13c'!R183,2)</f>
        <v>25.76</v>
      </c>
      <c r="O256" s="74" t="s">
        <v>1050</v>
      </c>
      <c r="Q256" s="67">
        <f t="shared" si="28"/>
        <v>0.40688148552703457</v>
      </c>
      <c r="R256" s="68"/>
      <c r="S256" s="68"/>
      <c r="T256" s="68"/>
    </row>
    <row r="257" spans="1:20" ht="14.1" customHeight="1" x14ac:dyDescent="0.2">
      <c r="A257" s="395">
        <v>5</v>
      </c>
      <c r="B257" s="494"/>
      <c r="C257" s="65"/>
      <c r="F257" s="395" t="s">
        <v>1065</v>
      </c>
      <c r="H257" s="74"/>
      <c r="I257" s="93">
        <f>+ROUND('2025 GSD Rate Class E-13c'!K184,2)</f>
        <v>1.91</v>
      </c>
      <c r="J257" s="74" t="s">
        <v>1050</v>
      </c>
      <c r="K257" s="74"/>
      <c r="L257" s="74"/>
      <c r="M257" s="65"/>
      <c r="N257" s="93">
        <f>+ROUND('2025 GSD Rate Class E-13c'!R184,2)</f>
        <v>1.72</v>
      </c>
      <c r="O257" s="74" t="s">
        <v>1050</v>
      </c>
      <c r="Q257" s="67">
        <f t="shared" si="28"/>
        <v>-9.9476439790575896E-2</v>
      </c>
      <c r="R257" s="68"/>
      <c r="S257" s="68"/>
      <c r="T257" s="68"/>
    </row>
    <row r="258" spans="1:20" ht="14.1" customHeight="1" x14ac:dyDescent="0.2">
      <c r="A258" s="395">
        <v>6</v>
      </c>
      <c r="B258" s="494"/>
      <c r="C258" s="65"/>
      <c r="F258" s="395" t="s">
        <v>1066</v>
      </c>
      <c r="I258" s="93">
        <f>+ROUND('2025 GSD Rate Class E-13c'!K185,2)</f>
        <v>6.8</v>
      </c>
      <c r="J258" s="74" t="s">
        <v>1050</v>
      </c>
      <c r="K258" s="74"/>
      <c r="N258" s="93">
        <f>+ROUND('2025 GSD Rate Class E-13c'!R185,2)</f>
        <v>9.36</v>
      </c>
      <c r="O258" s="74" t="s">
        <v>1050</v>
      </c>
      <c r="Q258" s="67">
        <f t="shared" si="28"/>
        <v>0.37647058823529406</v>
      </c>
      <c r="R258" s="68"/>
      <c r="S258" s="68"/>
      <c r="T258" s="68"/>
    </row>
    <row r="259" spans="1:20" ht="14.1" customHeight="1" x14ac:dyDescent="0.2">
      <c r="A259" s="395">
        <v>7</v>
      </c>
      <c r="B259" s="494"/>
      <c r="C259" s="65"/>
      <c r="F259" s="395" t="s">
        <v>1067</v>
      </c>
      <c r="I259" s="93">
        <f>+ROUND('2025 GSD Rate Class E-13c'!K186,2)</f>
        <v>18.309999999999999</v>
      </c>
      <c r="J259" s="74" t="s">
        <v>1050</v>
      </c>
      <c r="K259" s="74"/>
      <c r="N259" s="93">
        <f>+ROUND('2025 GSD Rate Class E-13c'!R186,2)</f>
        <v>25.76</v>
      </c>
      <c r="O259" s="74" t="s">
        <v>1050</v>
      </c>
      <c r="Q259" s="67">
        <f t="shared" si="28"/>
        <v>0.40688148552703457</v>
      </c>
      <c r="R259" s="68"/>
      <c r="S259" s="68"/>
      <c r="T259" s="68"/>
    </row>
    <row r="260" spans="1:20" ht="14.1" customHeight="1" x14ac:dyDescent="0.2">
      <c r="A260" s="395">
        <v>8</v>
      </c>
      <c r="B260" s="494"/>
      <c r="C260" s="65"/>
      <c r="R260" s="68"/>
      <c r="S260" s="68"/>
      <c r="T260" s="68"/>
    </row>
    <row r="261" spans="1:20" ht="14.1" customHeight="1" x14ac:dyDescent="0.2">
      <c r="A261" s="395">
        <v>9</v>
      </c>
      <c r="B261" s="494"/>
      <c r="C261" s="65"/>
      <c r="E261" s="398" t="s">
        <v>1084</v>
      </c>
      <c r="G261" s="74"/>
      <c r="H261" s="68"/>
      <c r="I261" s="93"/>
      <c r="J261" s="68"/>
      <c r="K261" s="68"/>
      <c r="L261" s="68"/>
      <c r="M261" s="64"/>
      <c r="N261" s="93"/>
      <c r="O261" s="68"/>
      <c r="Q261" s="68"/>
      <c r="R261" s="68"/>
      <c r="S261" s="68"/>
      <c r="T261" s="68"/>
    </row>
    <row r="262" spans="1:20" ht="14.1" customHeight="1" x14ac:dyDescent="0.2">
      <c r="A262" s="395">
        <v>10</v>
      </c>
      <c r="B262" s="494"/>
      <c r="C262" s="74"/>
      <c r="F262" s="134" t="s">
        <v>1085</v>
      </c>
      <c r="G262" s="74"/>
      <c r="H262" s="68"/>
      <c r="I262" s="138">
        <f>+ROUND('2025 GSD Rate Class E-13c'!K236,2)</f>
        <v>14.2</v>
      </c>
      <c r="J262" s="68" t="s">
        <v>1018</v>
      </c>
      <c r="K262" s="68"/>
      <c r="L262" s="68"/>
      <c r="M262" s="64"/>
      <c r="N262" s="138">
        <f>+ROUND('2025 GSD Rate Class E-13c'!R236,2)</f>
        <v>19.62</v>
      </c>
      <c r="O262" s="68" t="s">
        <v>1018</v>
      </c>
      <c r="Q262" s="67">
        <f>IF(I262=0,0,+(N262-I262)/I262)</f>
        <v>0.38169014084507058</v>
      </c>
      <c r="R262" s="68"/>
      <c r="S262" s="68"/>
      <c r="T262" s="68"/>
    </row>
    <row r="263" spans="1:20" ht="14.1" customHeight="1" x14ac:dyDescent="0.2">
      <c r="A263" s="395">
        <v>11</v>
      </c>
      <c r="B263" s="494"/>
      <c r="C263" s="74"/>
      <c r="F263" s="395" t="s">
        <v>1086</v>
      </c>
      <c r="H263" s="68"/>
      <c r="I263" s="138">
        <f>+ROUND('2025 GSD Rate Class E-13c'!K239,2)</f>
        <v>4.55</v>
      </c>
      <c r="J263" s="68" t="s">
        <v>1018</v>
      </c>
      <c r="K263" s="68"/>
      <c r="L263" s="68"/>
      <c r="M263" s="68"/>
      <c r="N263" s="138">
        <f>+ROUND('2025 GSD Rate Class E-13c'!R239,2)</f>
        <v>5.04</v>
      </c>
      <c r="O263" s="68" t="s">
        <v>1018</v>
      </c>
      <c r="Q263" s="67">
        <f>IF(I263=0,0,+(N263-I263)/I263)</f>
        <v>0.10769230769230774</v>
      </c>
      <c r="R263" s="68"/>
      <c r="S263" s="68"/>
      <c r="T263" s="68"/>
    </row>
    <row r="264" spans="1:20" ht="14.1" customHeight="1" x14ac:dyDescent="0.2">
      <c r="A264" s="395">
        <v>12</v>
      </c>
      <c r="B264" s="494"/>
      <c r="C264" s="74"/>
      <c r="F264" s="395" t="s">
        <v>1087</v>
      </c>
      <c r="G264" s="74"/>
      <c r="H264" s="68"/>
      <c r="I264" s="138">
        <f>+ROUND('2025 GSD Rate Class E-13c'!K242,2)</f>
        <v>9.2799999999999994</v>
      </c>
      <c r="J264" s="68" t="s">
        <v>1018</v>
      </c>
      <c r="K264" s="68"/>
      <c r="L264" s="68"/>
      <c r="M264" s="68"/>
      <c r="N264" s="138">
        <f>+ROUND('2025 GSD Rate Class E-13c'!R242,2)</f>
        <v>14.58</v>
      </c>
      <c r="O264" s="68" t="s">
        <v>1018</v>
      </c>
      <c r="Q264" s="67">
        <f>+(N264-I264)/I264</f>
        <v>0.57112068965517249</v>
      </c>
      <c r="R264" s="68"/>
      <c r="S264" s="68"/>
      <c r="T264" s="68"/>
    </row>
    <row r="265" spans="1:20" ht="14.1" customHeight="1" x14ac:dyDescent="0.2">
      <c r="A265" s="395">
        <v>13</v>
      </c>
      <c r="B265" s="494"/>
      <c r="C265" s="74"/>
      <c r="R265" s="68"/>
      <c r="S265" s="68"/>
      <c r="T265" s="68"/>
    </row>
    <row r="266" spans="1:20" ht="14.1" customHeight="1" x14ac:dyDescent="0.2">
      <c r="A266" s="395">
        <v>14</v>
      </c>
      <c r="B266" s="494"/>
      <c r="C266" s="74"/>
      <c r="E266" s="133" t="s">
        <v>1088</v>
      </c>
      <c r="G266" s="65"/>
      <c r="H266" s="68"/>
      <c r="I266" s="93"/>
      <c r="J266" s="64"/>
      <c r="K266" s="64"/>
      <c r="L266" s="68"/>
      <c r="M266" s="68"/>
      <c r="N266" s="93"/>
      <c r="O266" s="64"/>
      <c r="Q266" s="68"/>
      <c r="R266" s="68"/>
      <c r="S266" s="68"/>
      <c r="T266" s="68"/>
    </row>
    <row r="267" spans="1:20" ht="14.1" customHeight="1" x14ac:dyDescent="0.2">
      <c r="A267" s="395">
        <v>15</v>
      </c>
      <c r="B267" s="494"/>
      <c r="C267" s="74"/>
      <c r="F267" s="395" t="s">
        <v>1089</v>
      </c>
      <c r="H267" s="68"/>
      <c r="I267" s="148">
        <f>+ROUND('2025 GSD Rate Class E-13c'!K190,5)</f>
        <v>7.3600000000000002E-3</v>
      </c>
      <c r="J267" s="127" t="s">
        <v>1123</v>
      </c>
      <c r="K267" s="68"/>
      <c r="L267" s="68"/>
      <c r="M267" s="68"/>
      <c r="N267" s="148">
        <f>+ROUND('2025 GSD Rate Class E-13c'!R190,5)</f>
        <v>7.7299999999999999E-3</v>
      </c>
      <c r="O267" s="127" t="s">
        <v>1123</v>
      </c>
      <c r="Q267" s="67">
        <f>IF(I267=0,0,+(N267-I267)/I267)</f>
        <v>5.0271739130434735E-2</v>
      </c>
      <c r="R267" s="68"/>
      <c r="S267" s="68"/>
      <c r="T267" s="68"/>
    </row>
    <row r="268" spans="1:20" ht="14.1" customHeight="1" x14ac:dyDescent="0.2">
      <c r="A268" s="395">
        <v>16</v>
      </c>
      <c r="B268" s="494"/>
      <c r="C268" s="74"/>
      <c r="F268" s="395" t="s">
        <v>1090</v>
      </c>
      <c r="G268" s="65"/>
      <c r="H268" s="68"/>
      <c r="I268" s="148">
        <f>+ROUND('2025 GSD Rate Class E-13c'!K193,5)</f>
        <v>1.193E-2</v>
      </c>
      <c r="J268" s="127" t="s">
        <v>1123</v>
      </c>
      <c r="K268" s="68"/>
      <c r="L268" s="68"/>
      <c r="M268" s="68"/>
      <c r="N268" s="148">
        <f>+ROUND('2025 GSD Rate Class E-13c'!R193,5)</f>
        <v>1.243E-2</v>
      </c>
      <c r="O268" s="127" t="s">
        <v>1123</v>
      </c>
      <c r="Q268" s="67">
        <f>IF(I268=0,0,+(N268-I268)/I268)</f>
        <v>4.1911148365465251E-2</v>
      </c>
      <c r="R268" s="68"/>
      <c r="S268" s="68"/>
      <c r="T268" s="68"/>
    </row>
    <row r="269" spans="1:20" ht="14.1" customHeight="1" x14ac:dyDescent="0.2">
      <c r="A269" s="395">
        <v>17</v>
      </c>
      <c r="B269" s="494"/>
      <c r="C269" s="74"/>
      <c r="F269" s="395" t="s">
        <v>1091</v>
      </c>
      <c r="H269" s="68"/>
      <c r="I269" s="148">
        <f>+ROUND('2025 GSD Rate Class E-13c'!K196,5)</f>
        <v>5.7099999999999998E-3</v>
      </c>
      <c r="J269" s="127" t="s">
        <v>1123</v>
      </c>
      <c r="K269" s="68"/>
      <c r="L269" s="68"/>
      <c r="M269" s="68"/>
      <c r="N269" s="148">
        <f>+ROUND('2025 GSD Rate Class E-13c'!R196,5)</f>
        <v>8.1700000000000002E-3</v>
      </c>
      <c r="O269" s="127" t="s">
        <v>1123</v>
      </c>
      <c r="Q269" s="67">
        <f>IF(I269=0,0,+(N269-I269)/I269)</f>
        <v>0.4308231173380036</v>
      </c>
      <c r="R269" s="68"/>
      <c r="S269" s="68"/>
      <c r="T269" s="68"/>
    </row>
    <row r="270" spans="1:20" ht="14.1" customHeight="1" x14ac:dyDescent="0.2">
      <c r="A270" s="395">
        <v>18</v>
      </c>
      <c r="B270" s="494"/>
      <c r="C270" s="74"/>
      <c r="F270" s="395" t="s">
        <v>1607</v>
      </c>
      <c r="I270" s="148">
        <f>+ROUND('2025 GSD Rate Class E-13c'!K199,5)</f>
        <v>0</v>
      </c>
      <c r="J270" s="127" t="s">
        <v>1123</v>
      </c>
      <c r="N270" s="148">
        <f>+ROUND('2025 GSD Rate Class E-13c'!R199,5)</f>
        <v>4.6100000000000004E-3</v>
      </c>
      <c r="O270" s="127" t="s">
        <v>1123</v>
      </c>
      <c r="Q270" s="67">
        <f>IF(I270=0,0,+(N270-I270)/I270)</f>
        <v>0</v>
      </c>
      <c r="R270" s="68"/>
      <c r="S270" s="68"/>
      <c r="T270" s="68"/>
    </row>
    <row r="271" spans="1:20" ht="14.1" customHeight="1" x14ac:dyDescent="0.2">
      <c r="A271" s="395">
        <v>19</v>
      </c>
      <c r="B271" s="494"/>
      <c r="C271" s="74"/>
      <c r="E271" s="398" t="s">
        <v>1092</v>
      </c>
      <c r="G271" s="74"/>
      <c r="H271" s="68"/>
      <c r="I271" s="93"/>
      <c r="J271" s="68"/>
      <c r="K271" s="68"/>
      <c r="L271" s="68"/>
      <c r="M271" s="68"/>
      <c r="N271" s="93"/>
      <c r="O271" s="68"/>
      <c r="Q271" s="68"/>
      <c r="R271" s="68"/>
      <c r="S271" s="68"/>
      <c r="T271" s="68"/>
    </row>
    <row r="272" spans="1:20" ht="14.1" customHeight="1" x14ac:dyDescent="0.2">
      <c r="A272" s="395">
        <v>20</v>
      </c>
      <c r="B272" s="494"/>
      <c r="C272" s="74"/>
      <c r="F272" s="395" t="s">
        <v>1093</v>
      </c>
      <c r="G272" s="74"/>
      <c r="H272" s="68"/>
      <c r="I272" s="138">
        <f>+ROUND('2025 GSD Rate Class E-13c'!K246,2)</f>
        <v>1.75</v>
      </c>
      <c r="J272" s="68" t="s">
        <v>1018</v>
      </c>
      <c r="K272" s="68"/>
      <c r="L272" s="68"/>
      <c r="M272" s="68"/>
      <c r="N272" s="138">
        <f>+ROUND('2025 GSD Rate Class E-13c'!R246,2)</f>
        <v>2.4700000000000002</v>
      </c>
      <c r="O272" s="68" t="s">
        <v>1018</v>
      </c>
      <c r="Q272" s="67">
        <f>IF(I272=0,0,+(N272-I272)/I272)</f>
        <v>0.41142857142857153</v>
      </c>
      <c r="R272" s="68"/>
      <c r="S272" s="68"/>
      <c r="T272" s="68"/>
    </row>
    <row r="273" spans="1:20" ht="14.1" customHeight="1" x14ac:dyDescent="0.2">
      <c r="A273" s="395">
        <v>21</v>
      </c>
      <c r="B273" s="494"/>
      <c r="C273" s="74"/>
      <c r="F273" s="395" t="s">
        <v>1094</v>
      </c>
      <c r="L273" s="68"/>
      <c r="M273" s="68"/>
      <c r="Q273" s="68"/>
      <c r="R273" s="68"/>
      <c r="S273" s="68"/>
      <c r="T273" s="68"/>
    </row>
    <row r="274" spans="1:20" ht="14.1" customHeight="1" x14ac:dyDescent="0.2">
      <c r="A274" s="395">
        <v>22</v>
      </c>
      <c r="B274" s="494"/>
      <c r="C274" s="74"/>
      <c r="F274" s="395" t="s">
        <v>1095</v>
      </c>
      <c r="I274" s="138">
        <f>+ROUND('2025 GSD Rate Class E-13c'!K249,2)</f>
        <v>1.7</v>
      </c>
      <c r="J274" s="395" t="s">
        <v>1096</v>
      </c>
      <c r="L274" s="68"/>
      <c r="M274" s="68"/>
      <c r="N274" s="138">
        <f>+ROUND('2025 GSD Rate Class E-13c'!R249,2)</f>
        <v>2.36</v>
      </c>
      <c r="O274" s="395" t="s">
        <v>1096</v>
      </c>
      <c r="Q274" s="67">
        <f>IF(I274=0,0,+(N274-I274)/I274)</f>
        <v>0.38823529411764701</v>
      </c>
      <c r="R274" s="68"/>
      <c r="S274" s="68"/>
      <c r="T274" s="68"/>
    </row>
    <row r="275" spans="1:20" ht="14.1" customHeight="1" x14ac:dyDescent="0.2">
      <c r="A275" s="395">
        <v>23</v>
      </c>
      <c r="B275" s="494"/>
      <c r="C275" s="74"/>
      <c r="F275" s="395" t="s">
        <v>1097</v>
      </c>
      <c r="I275" s="138">
        <f>+ROUND('2025 GSD Rate Class E-13c'!K252,2)</f>
        <v>0.68</v>
      </c>
      <c r="J275" s="395" t="s">
        <v>1098</v>
      </c>
      <c r="L275" s="68"/>
      <c r="M275" s="68"/>
      <c r="N275" s="138">
        <f>+ROUND('2025 GSD Rate Class E-13c'!R252,2)</f>
        <v>0.93</v>
      </c>
      <c r="O275" s="395" t="s">
        <v>1098</v>
      </c>
      <c r="Q275" s="67">
        <f>IF(I275=0,0,+(N275-I275)/I275)</f>
        <v>0.36764705882352938</v>
      </c>
      <c r="R275" s="68"/>
      <c r="S275" s="68"/>
      <c r="T275" s="68"/>
    </row>
    <row r="276" spans="1:20" ht="14.1" customHeight="1" x14ac:dyDescent="0.2">
      <c r="A276" s="395">
        <v>24</v>
      </c>
      <c r="B276" s="494"/>
      <c r="C276" s="74"/>
      <c r="Q276" s="68"/>
      <c r="R276" s="68"/>
      <c r="S276" s="68"/>
      <c r="T276" s="68"/>
    </row>
    <row r="277" spans="1:20" ht="14.1" customHeight="1" x14ac:dyDescent="0.2">
      <c r="A277" s="395">
        <v>25</v>
      </c>
      <c r="B277" s="494"/>
      <c r="C277" s="74"/>
      <c r="E277" s="133" t="s">
        <v>1099</v>
      </c>
      <c r="G277" s="65"/>
      <c r="H277" s="68"/>
      <c r="Q277" s="68"/>
      <c r="R277" s="68"/>
      <c r="S277" s="68"/>
      <c r="T277" s="68"/>
    </row>
    <row r="278" spans="1:20" ht="14.1" customHeight="1" x14ac:dyDescent="0.2">
      <c r="A278" s="395">
        <v>26</v>
      </c>
      <c r="B278" s="494"/>
      <c r="C278" s="74"/>
      <c r="F278" s="395" t="s">
        <v>1100</v>
      </c>
      <c r="H278" s="68"/>
      <c r="I278" s="148">
        <f>+ROUND('2025 GSD Rate Class E-13c'!K205,5)</f>
        <v>8.5699999999999995E-3</v>
      </c>
      <c r="J278" s="127" t="s">
        <v>1123</v>
      </c>
      <c r="K278" s="68"/>
      <c r="L278" s="68"/>
      <c r="M278" s="68"/>
      <c r="N278" s="148">
        <f>+ROUND('2025 GSD Rate Class E-13c'!R205,5)</f>
        <v>8.9999999999999993E-3</v>
      </c>
      <c r="O278" s="127" t="s">
        <v>1123</v>
      </c>
      <c r="Q278" s="67">
        <f>IF(I278=0,0,+(N278-I278)/I278)</f>
        <v>5.0175029171528572E-2</v>
      </c>
      <c r="R278" s="68"/>
      <c r="S278" s="68"/>
      <c r="T278" s="68"/>
    </row>
    <row r="279" spans="1:20" ht="14.1" customHeight="1" x14ac:dyDescent="0.2">
      <c r="A279" s="395">
        <v>27</v>
      </c>
      <c r="B279" s="494"/>
      <c r="C279" s="74"/>
      <c r="Q279" s="68"/>
      <c r="R279" s="68"/>
      <c r="S279" s="68"/>
      <c r="T279" s="68"/>
    </row>
    <row r="280" spans="1:20" ht="14.1" customHeight="1" x14ac:dyDescent="0.2">
      <c r="A280" s="395">
        <v>28</v>
      </c>
      <c r="B280" s="494"/>
      <c r="C280" s="74"/>
      <c r="R280" s="68"/>
      <c r="S280" s="68"/>
      <c r="T280" s="68"/>
    </row>
    <row r="281" spans="1:20" ht="14.1" customHeight="1" x14ac:dyDescent="0.2">
      <c r="A281" s="395">
        <v>29</v>
      </c>
      <c r="B281" s="494"/>
      <c r="C281" s="74"/>
      <c r="R281" s="68"/>
      <c r="S281" s="68"/>
      <c r="T281" s="68"/>
    </row>
    <row r="282" spans="1:20" ht="14.1" customHeight="1" x14ac:dyDescent="0.2">
      <c r="A282" s="395">
        <v>30</v>
      </c>
      <c r="B282" s="494"/>
      <c r="C282" s="74"/>
      <c r="R282" s="68"/>
      <c r="S282" s="68"/>
      <c r="T282" s="68"/>
    </row>
    <row r="283" spans="1:20" ht="14.1" customHeight="1" x14ac:dyDescent="0.2">
      <c r="A283" s="395">
        <v>31</v>
      </c>
      <c r="B283" s="494"/>
      <c r="C283" s="74"/>
      <c r="R283" s="68"/>
      <c r="S283" s="68"/>
      <c r="T283" s="68"/>
    </row>
    <row r="284" spans="1:20" ht="14.1" customHeight="1" x14ac:dyDescent="0.2">
      <c r="A284" s="395">
        <v>32</v>
      </c>
      <c r="B284" s="494"/>
      <c r="C284" s="74"/>
      <c r="R284" s="68"/>
      <c r="S284" s="68"/>
      <c r="T284" s="68"/>
    </row>
    <row r="285" spans="1:20" ht="14.1" customHeight="1" x14ac:dyDescent="0.2">
      <c r="A285" s="395">
        <v>33</v>
      </c>
      <c r="B285" s="494"/>
      <c r="C285" s="74"/>
      <c r="R285" s="68"/>
      <c r="S285" s="68"/>
      <c r="T285" s="68"/>
    </row>
    <row r="286" spans="1:20" ht="14.1" customHeight="1" x14ac:dyDescent="0.2">
      <c r="A286" s="395">
        <v>34</v>
      </c>
      <c r="B286" s="494"/>
      <c r="C286" s="74"/>
      <c r="R286" s="68"/>
      <c r="S286" s="68"/>
      <c r="T286" s="68"/>
    </row>
    <row r="287" spans="1:20" ht="14.1" customHeight="1" x14ac:dyDescent="0.2">
      <c r="A287" s="395">
        <v>35</v>
      </c>
      <c r="B287" s="494"/>
      <c r="C287" s="74"/>
      <c r="R287" s="68"/>
      <c r="S287" s="68"/>
      <c r="T287" s="68"/>
    </row>
    <row r="288" spans="1:20" ht="14.1" customHeight="1" thickBot="1" x14ac:dyDescent="0.25">
      <c r="A288" s="396">
        <v>36</v>
      </c>
      <c r="B288" s="496"/>
      <c r="C288" s="136"/>
      <c r="D288" s="396"/>
      <c r="E288" s="396"/>
      <c r="F288" s="396"/>
      <c r="G288" s="396"/>
      <c r="H288" s="396"/>
      <c r="I288" s="396"/>
      <c r="J288" s="396"/>
      <c r="K288" s="396"/>
      <c r="L288" s="396"/>
      <c r="M288" s="396"/>
      <c r="N288" s="396"/>
      <c r="O288" s="396"/>
      <c r="P288" s="396"/>
      <c r="Q288" s="396"/>
      <c r="R288" s="105"/>
      <c r="S288" s="105"/>
      <c r="T288" s="137" t="s">
        <v>1105</v>
      </c>
    </row>
    <row r="289" spans="1:20" ht="14.1" customHeight="1" x14ac:dyDescent="0.2">
      <c r="A289" s="395" t="str">
        <f>+$A$49</f>
        <v>Supporting Schedules:  E-7, E-14 Supplement</v>
      </c>
      <c r="R289" s="395" t="s">
        <v>1003</v>
      </c>
    </row>
    <row r="290" spans="1:20" ht="14.1" customHeight="1" thickBot="1" x14ac:dyDescent="0.25">
      <c r="A290" s="396" t="str">
        <f>+$A$2</f>
        <v>SCHEDULE A-3</v>
      </c>
      <c r="B290" s="396"/>
      <c r="C290" s="396"/>
      <c r="D290" s="396"/>
      <c r="E290" s="396"/>
      <c r="F290" s="396"/>
      <c r="G290" s="396"/>
      <c r="H290" s="396"/>
      <c r="I290" s="396" t="str">
        <f>+$I$2</f>
        <v>SUMMARY OF TARIFFS</v>
      </c>
      <c r="J290" s="396"/>
      <c r="K290" s="396"/>
      <c r="L290" s="396"/>
      <c r="M290" s="396"/>
      <c r="N290" s="396"/>
      <c r="O290" s="396"/>
      <c r="P290" s="396"/>
      <c r="Q290" s="396"/>
      <c r="R290" s="396"/>
      <c r="S290" s="396"/>
      <c r="T290" s="492" t="s">
        <v>1152</v>
      </c>
    </row>
    <row r="291" spans="1:20" ht="14.1" customHeight="1" x14ac:dyDescent="0.2">
      <c r="A291" s="395" t="s">
        <v>307</v>
      </c>
      <c r="F291" s="399" t="s">
        <v>1041</v>
      </c>
      <c r="G291" s="395" t="s">
        <v>1042</v>
      </c>
      <c r="L291" s="397"/>
      <c r="M291" s="397"/>
      <c r="O291" s="397"/>
      <c r="P291" s="397"/>
      <c r="Q291" s="397" t="s">
        <v>847</v>
      </c>
      <c r="T291" s="398"/>
    </row>
    <row r="292" spans="1:20" ht="14.1" customHeight="1" x14ac:dyDescent="0.2">
      <c r="G292" s="395" t="s">
        <v>1043</v>
      </c>
      <c r="L292" s="399"/>
      <c r="M292" s="398"/>
      <c r="P292" s="399"/>
      <c r="Q292" s="311" t="s">
        <v>919</v>
      </c>
      <c r="R292" s="310" t="s">
        <v>920</v>
      </c>
      <c r="T292" s="399"/>
    </row>
    <row r="293" spans="1:20" ht="14.1" customHeight="1" x14ac:dyDescent="0.2">
      <c r="A293" s="395" t="s">
        <v>310</v>
      </c>
      <c r="L293" s="399"/>
      <c r="M293" s="398"/>
      <c r="N293" s="399"/>
      <c r="Q293" s="311"/>
      <c r="R293" s="310" t="s">
        <v>937</v>
      </c>
      <c r="T293" s="399"/>
    </row>
    <row r="294" spans="1:20" ht="14.1" customHeight="1" x14ac:dyDescent="0.2">
      <c r="L294" s="399"/>
      <c r="M294" s="398"/>
      <c r="N294" s="399"/>
      <c r="Q294" s="311"/>
      <c r="R294" s="310" t="s">
        <v>938</v>
      </c>
      <c r="T294" s="399"/>
    </row>
    <row r="295" spans="1:20" ht="14.1" customHeight="1" thickBot="1" x14ac:dyDescent="0.25">
      <c r="A295" s="396" t="s">
        <v>1022</v>
      </c>
      <c r="B295" s="396"/>
      <c r="C295" s="396"/>
      <c r="D295" s="396"/>
      <c r="E295" s="396"/>
      <c r="F295" s="396"/>
      <c r="G295" s="396"/>
      <c r="H295" s="396"/>
      <c r="I295" s="400"/>
      <c r="J295" s="396"/>
      <c r="K295" s="396"/>
      <c r="L295" s="396"/>
      <c r="M295" s="396"/>
      <c r="N295" s="396"/>
      <c r="O295" s="396"/>
      <c r="P295" s="396"/>
      <c r="Q295" s="396"/>
      <c r="R295" s="396" t="s">
        <v>311</v>
      </c>
      <c r="S295" s="396"/>
      <c r="T295" s="396"/>
    </row>
    <row r="296" spans="1:20" ht="14.1" customHeight="1" x14ac:dyDescent="0.2">
      <c r="A296" s="395" t="str">
        <f>IF(+A$8="","",A$8)</f>
        <v/>
      </c>
      <c r="B296" s="402" t="str">
        <f t="shared" ref="B296:T296" si="29">IF(+B$8="","",B$8)</f>
        <v/>
      </c>
      <c r="C296" s="402" t="str">
        <f t="shared" si="29"/>
        <v>(1)</v>
      </c>
      <c r="D296" s="402" t="str">
        <f t="shared" si="29"/>
        <v/>
      </c>
      <c r="E296" s="402" t="str">
        <f t="shared" si="29"/>
        <v/>
      </c>
      <c r="F296" s="402" t="str">
        <f t="shared" si="29"/>
        <v>(2)</v>
      </c>
      <c r="G296" s="402" t="str">
        <f t="shared" si="29"/>
        <v/>
      </c>
      <c r="H296" s="402" t="str">
        <f>IF(+H$8="","",H$8)</f>
        <v/>
      </c>
      <c r="I296" s="402" t="str">
        <f>IF(+I$8="","",I$8)</f>
        <v>(3)</v>
      </c>
      <c r="J296" s="402" t="str">
        <f>IF(+J$8="","",J$8)</f>
        <v/>
      </c>
      <c r="K296" s="402"/>
      <c r="L296" s="402" t="str">
        <f t="shared" si="29"/>
        <v>(4)</v>
      </c>
      <c r="M296" s="402" t="str">
        <f t="shared" si="29"/>
        <v/>
      </c>
      <c r="N296" s="402" t="str">
        <f t="shared" si="29"/>
        <v>(5)</v>
      </c>
      <c r="O296" s="402" t="str">
        <f t="shared" si="29"/>
        <v/>
      </c>
      <c r="Q296" s="402" t="str">
        <f>IF(+Q$8="","",Q$8)</f>
        <v>(6)</v>
      </c>
      <c r="R296" s="402" t="str">
        <f t="shared" si="29"/>
        <v/>
      </c>
      <c r="S296" s="402" t="str">
        <f t="shared" si="29"/>
        <v/>
      </c>
      <c r="T296" s="402" t="str">
        <f t="shared" si="29"/>
        <v/>
      </c>
    </row>
    <row r="297" spans="1:20" ht="14.1" customHeight="1" x14ac:dyDescent="0.2">
      <c r="A297" s="395" t="str">
        <f>IF(+A$9="","",A$9)</f>
        <v/>
      </c>
      <c r="B297" s="402" t="str">
        <f t="shared" ref="B297:T297" si="30">IF(+B$9="","",B$9)</f>
        <v/>
      </c>
      <c r="C297" s="402" t="str">
        <f t="shared" si="30"/>
        <v/>
      </c>
      <c r="D297" s="402" t="str">
        <f t="shared" si="30"/>
        <v/>
      </c>
      <c r="E297" s="402" t="str">
        <f t="shared" si="30"/>
        <v/>
      </c>
      <c r="F297" s="402" t="str">
        <f t="shared" si="30"/>
        <v/>
      </c>
      <c r="G297" s="402" t="str">
        <f t="shared" si="30"/>
        <v/>
      </c>
      <c r="H297" s="402" t="str">
        <f>IF(+H$9="","",H$9)</f>
        <v/>
      </c>
      <c r="I297" s="402" t="str">
        <f>IF(+I$9="","",I$9)</f>
        <v/>
      </c>
      <c r="J297" s="402" t="str">
        <f>IF(+J$9="","",J$9)</f>
        <v/>
      </c>
      <c r="K297" s="402"/>
      <c r="L297" s="402" t="str">
        <f t="shared" si="30"/>
        <v/>
      </c>
      <c r="M297" s="402" t="str">
        <f t="shared" si="30"/>
        <v/>
      </c>
      <c r="N297" s="402" t="str">
        <f t="shared" si="30"/>
        <v/>
      </c>
      <c r="O297" s="402" t="str">
        <f t="shared" si="30"/>
        <v/>
      </c>
      <c r="Q297" s="402" t="str">
        <f>IF(+Q$9="","",Q$9)</f>
        <v/>
      </c>
      <c r="R297" s="402" t="str">
        <f t="shared" si="30"/>
        <v/>
      </c>
      <c r="S297" s="402" t="str">
        <f t="shared" si="30"/>
        <v/>
      </c>
      <c r="T297" s="402" t="str">
        <f t="shared" si="30"/>
        <v/>
      </c>
    </row>
    <row r="298" spans="1:20" ht="14.1" customHeight="1" x14ac:dyDescent="0.2">
      <c r="A298" s="395" t="str">
        <f>IF(+A$10="","",A$10)</f>
        <v/>
      </c>
      <c r="B298" s="402" t="str">
        <f t="shared" ref="B298:T298" si="31">IF(+B$10="","",B$10)</f>
        <v/>
      </c>
      <c r="C298" s="402" t="str">
        <f t="shared" si="31"/>
        <v xml:space="preserve">Current </v>
      </c>
      <c r="D298" s="402" t="str">
        <f t="shared" si="31"/>
        <v/>
      </c>
      <c r="E298" s="402" t="str">
        <f t="shared" si="31"/>
        <v/>
      </c>
      <c r="F298" s="402" t="str">
        <f t="shared" si="31"/>
        <v/>
      </c>
      <c r="G298" s="402" t="str">
        <f t="shared" si="31"/>
        <v/>
      </c>
      <c r="H298" s="402" t="str">
        <f>IF(+H$10="","",H$10)</f>
        <v/>
      </c>
      <c r="I298" s="402" t="str">
        <f>IF(+I$10="","",I$10)</f>
        <v/>
      </c>
      <c r="J298" s="402" t="str">
        <f>IF(+J$10="","",J$10)</f>
        <v/>
      </c>
      <c r="K298" s="402"/>
      <c r="L298" s="402" t="str">
        <f t="shared" si="31"/>
        <v>Proposed</v>
      </c>
      <c r="M298" s="402" t="str">
        <f t="shared" si="31"/>
        <v/>
      </c>
      <c r="N298" s="402" t="str">
        <f t="shared" si="31"/>
        <v/>
      </c>
      <c r="O298" s="402" t="str">
        <f t="shared" si="31"/>
        <v/>
      </c>
      <c r="Q298" s="402" t="str">
        <f>IF(+Q$10="","",Q$10)</f>
        <v>Percent</v>
      </c>
      <c r="R298" s="402" t="str">
        <f t="shared" si="31"/>
        <v/>
      </c>
      <c r="S298" s="402" t="str">
        <f t="shared" si="31"/>
        <v/>
      </c>
      <c r="T298" s="402" t="str">
        <f t="shared" si="31"/>
        <v/>
      </c>
    </row>
    <row r="299" spans="1:20" ht="14.1" customHeight="1" x14ac:dyDescent="0.2">
      <c r="A299" s="395" t="str">
        <f>IF(+A$11="","",A$11)</f>
        <v>Line</v>
      </c>
      <c r="B299" s="402" t="str">
        <f t="shared" ref="B299:T299" si="32">IF(+B$11="","",B$11)</f>
        <v/>
      </c>
      <c r="C299" s="402" t="str">
        <f t="shared" si="32"/>
        <v>Rate</v>
      </c>
      <c r="D299" s="402" t="str">
        <f t="shared" si="32"/>
        <v/>
      </c>
      <c r="E299" s="402" t="str">
        <f t="shared" si="32"/>
        <v/>
      </c>
      <c r="F299" s="402" t="str">
        <f t="shared" si="32"/>
        <v/>
      </c>
      <c r="G299" s="402" t="str">
        <f t="shared" si="32"/>
        <v/>
      </c>
      <c r="H299" s="402" t="str">
        <f>IF(+H$11="","",H$11)</f>
        <v/>
      </c>
      <c r="I299" s="402" t="str">
        <f>IF(+I$11="","",I$11)</f>
        <v>Current</v>
      </c>
      <c r="J299" s="402" t="str">
        <f>IF(+J$11="","",J$11)</f>
        <v/>
      </c>
      <c r="K299" s="402"/>
      <c r="L299" s="402" t="str">
        <f t="shared" si="32"/>
        <v>Rate</v>
      </c>
      <c r="M299" s="402" t="str">
        <f t="shared" si="32"/>
        <v/>
      </c>
      <c r="N299" s="402" t="str">
        <f t="shared" si="32"/>
        <v>Proposed</v>
      </c>
      <c r="O299" s="402" t="str">
        <f t="shared" si="32"/>
        <v/>
      </c>
      <c r="Q299" s="402" t="str">
        <f>IF(+Q$11="","",Q$11)</f>
        <v>Increase</v>
      </c>
      <c r="R299" s="402" t="str">
        <f t="shared" si="32"/>
        <v/>
      </c>
      <c r="S299" s="402" t="str">
        <f t="shared" si="32"/>
        <v/>
      </c>
      <c r="T299" s="402" t="str">
        <f t="shared" si="32"/>
        <v/>
      </c>
    </row>
    <row r="300" spans="1:20" ht="14.1" customHeight="1" thickBot="1" x14ac:dyDescent="0.25">
      <c r="A300" s="396" t="str">
        <f>IF(+A$12="","",A$12)</f>
        <v>No.</v>
      </c>
      <c r="B300" s="400" t="str">
        <f t="shared" ref="B300:T300" si="33">IF(+B$12="","",B$12)</f>
        <v/>
      </c>
      <c r="C300" s="400" t="str">
        <f t="shared" si="33"/>
        <v>Schedule</v>
      </c>
      <c r="D300" s="400" t="str">
        <f t="shared" si="33"/>
        <v/>
      </c>
      <c r="E300" s="400"/>
      <c r="F300" s="400" t="str">
        <f t="shared" si="33"/>
        <v>Type of Charge</v>
      </c>
      <c r="G300" s="400"/>
      <c r="H300" s="400" t="str">
        <f>IF(+H$12="","",H$12)</f>
        <v/>
      </c>
      <c r="I300" s="400" t="str">
        <f>IF(+I$12="","",I$12)</f>
        <v>Rate</v>
      </c>
      <c r="J300" s="400" t="str">
        <f>IF(+J$12="","",J$12)</f>
        <v/>
      </c>
      <c r="K300" s="400"/>
      <c r="L300" s="400" t="str">
        <f t="shared" si="33"/>
        <v>Schedule</v>
      </c>
      <c r="M300" s="400" t="str">
        <f t="shared" si="33"/>
        <v/>
      </c>
      <c r="N300" s="400" t="str">
        <f t="shared" si="33"/>
        <v>Rate</v>
      </c>
      <c r="O300" s="400" t="str">
        <f t="shared" si="33"/>
        <v/>
      </c>
      <c r="P300" s="396"/>
      <c r="Q300" s="400" t="str">
        <f>IF(+Q$12="","",Q$12)</f>
        <v>((5)-(3))/(3)</v>
      </c>
      <c r="R300" s="400" t="str">
        <f t="shared" si="33"/>
        <v/>
      </c>
      <c r="S300" s="400" t="str">
        <f t="shared" si="33"/>
        <v/>
      </c>
      <c r="T300" s="400" t="str">
        <f t="shared" si="33"/>
        <v/>
      </c>
    </row>
    <row r="301" spans="1:20" ht="14.1" customHeight="1" x14ac:dyDescent="0.2">
      <c r="A301" s="395">
        <v>1</v>
      </c>
      <c r="B301" s="579" t="s">
        <v>1106</v>
      </c>
      <c r="C301" s="579"/>
      <c r="D301" s="579"/>
      <c r="E301" s="498"/>
      <c r="G301" s="65"/>
      <c r="H301" s="74"/>
      <c r="J301" s="74"/>
      <c r="K301" s="74"/>
      <c r="L301" s="101"/>
      <c r="M301" s="74"/>
      <c r="N301" s="74"/>
      <c r="O301" s="74"/>
      <c r="Q301" s="74"/>
      <c r="R301" s="74"/>
      <c r="S301" s="74"/>
      <c r="T301" s="74"/>
    </row>
    <row r="302" spans="1:20" ht="14.1" customHeight="1" x14ac:dyDescent="0.2">
      <c r="A302" s="395">
        <v>2</v>
      </c>
      <c r="B302" s="494"/>
      <c r="C302" s="101" t="s">
        <v>396</v>
      </c>
      <c r="L302" s="101" t="s">
        <v>396</v>
      </c>
      <c r="R302" s="74"/>
      <c r="S302" s="74"/>
      <c r="T302" s="74"/>
    </row>
    <row r="303" spans="1:20" ht="14.1" customHeight="1" x14ac:dyDescent="0.2">
      <c r="A303" s="395">
        <v>3</v>
      </c>
      <c r="B303" s="494"/>
      <c r="E303" s="133" t="s">
        <v>734</v>
      </c>
      <c r="G303" s="65"/>
      <c r="H303" s="68"/>
      <c r="I303" s="93"/>
      <c r="J303" s="68"/>
      <c r="K303" s="68"/>
      <c r="L303" s="68"/>
      <c r="M303" s="68"/>
      <c r="N303" s="93"/>
      <c r="O303" s="68"/>
      <c r="Q303" s="68"/>
      <c r="R303" s="74"/>
      <c r="S303" s="74"/>
      <c r="T303" s="74"/>
    </row>
    <row r="304" spans="1:20" ht="14.1" customHeight="1" x14ac:dyDescent="0.2">
      <c r="A304" s="395">
        <v>4</v>
      </c>
      <c r="B304" s="494"/>
      <c r="F304" s="395" t="s">
        <v>1101</v>
      </c>
      <c r="R304" s="68"/>
      <c r="S304" s="68"/>
      <c r="T304" s="68"/>
    </row>
    <row r="305" spans="1:20" ht="14.1" customHeight="1" x14ac:dyDescent="0.2">
      <c r="A305" s="395">
        <v>5</v>
      </c>
      <c r="B305" s="494"/>
      <c r="C305" s="65"/>
      <c r="F305" s="130" t="s">
        <v>746</v>
      </c>
      <c r="I305" s="93">
        <f>+ROUND('2025 GSD Rate Class E-13c'!K307,2)</f>
        <v>-0.49</v>
      </c>
      <c r="J305" s="68" t="s">
        <v>1018</v>
      </c>
      <c r="K305" s="68"/>
      <c r="N305" s="93">
        <f>+ROUND('2025 GSD Rate Class E-13c'!R307,2)</f>
        <v>-0.54</v>
      </c>
      <c r="O305" s="68" t="s">
        <v>1018</v>
      </c>
      <c r="Q305" s="67">
        <f>IF(I305=0,0,+(N305-I305)/I305)</f>
        <v>0.10204081632653071</v>
      </c>
      <c r="R305" s="68"/>
      <c r="S305" s="68"/>
      <c r="T305" s="68"/>
    </row>
    <row r="306" spans="1:20" ht="14.1" customHeight="1" x14ac:dyDescent="0.2">
      <c r="A306" s="395">
        <v>6</v>
      </c>
      <c r="B306" s="494"/>
      <c r="C306" s="65"/>
      <c r="F306" s="130" t="s">
        <v>769</v>
      </c>
      <c r="I306" s="93">
        <f>+ROUND('2025 GSD Rate Class E-13c'!K308,2)</f>
        <v>-2.06</v>
      </c>
      <c r="J306" s="68" t="s">
        <v>1018</v>
      </c>
      <c r="K306" s="68"/>
      <c r="N306" s="93">
        <f>+ROUND('2025 GSD Rate Class E-13c'!R308,2)</f>
        <v>-3.09</v>
      </c>
      <c r="O306" s="68" t="s">
        <v>1018</v>
      </c>
      <c r="Q306" s="67">
        <f>IF(I306=0,0,+(N306-I306)/I306)</f>
        <v>0.49999999999999989</v>
      </c>
      <c r="R306" s="68"/>
      <c r="S306" s="68"/>
      <c r="T306" s="68"/>
    </row>
    <row r="307" spans="1:20" ht="14.1" customHeight="1" x14ac:dyDescent="0.2">
      <c r="A307" s="395">
        <v>7</v>
      </c>
      <c r="B307" s="494"/>
      <c r="C307" s="65"/>
      <c r="F307" s="499" t="s">
        <v>1066</v>
      </c>
      <c r="H307" s="68"/>
      <c r="I307" s="93">
        <f>+ROUND('2025 GSD Rate Class E-13c'!K309,2)</f>
        <v>-0.49</v>
      </c>
      <c r="J307" s="68" t="s">
        <v>1018</v>
      </c>
      <c r="K307" s="68"/>
      <c r="L307" s="68"/>
      <c r="M307" s="68"/>
      <c r="N307" s="93">
        <f>+ROUND('2025 GSD Rate Class E-13c'!R309,2)</f>
        <v>-0.54</v>
      </c>
      <c r="O307" s="68" t="s">
        <v>1018</v>
      </c>
      <c r="Q307" s="67">
        <f>IF(I307=0,0,+(N307-I307)/I307)</f>
        <v>0.10204081632653071</v>
      </c>
      <c r="R307" s="68"/>
      <c r="S307" s="68"/>
      <c r="T307" s="68"/>
    </row>
    <row r="308" spans="1:20" ht="14.1" customHeight="1" x14ac:dyDescent="0.2">
      <c r="A308" s="395">
        <v>8</v>
      </c>
      <c r="B308" s="494"/>
      <c r="C308" s="65"/>
      <c r="F308" s="499" t="s">
        <v>1067</v>
      </c>
      <c r="H308" s="68"/>
      <c r="I308" s="93">
        <f>+ROUND('2025 GSD Rate Class E-13c'!K310,2)</f>
        <v>-2.06</v>
      </c>
      <c r="J308" s="68" t="s">
        <v>1018</v>
      </c>
      <c r="K308" s="68"/>
      <c r="L308" s="68"/>
      <c r="M308" s="68"/>
      <c r="N308" s="93">
        <f>+ROUND('2025 GSD Rate Class E-13c'!R310,2)</f>
        <v>-3.09</v>
      </c>
      <c r="O308" s="68" t="s">
        <v>1018</v>
      </c>
      <c r="Q308" s="67">
        <f>IF(I308=0,0,+(N308-I308)/I308)</f>
        <v>0.49999999999999989</v>
      </c>
      <c r="R308" s="68"/>
      <c r="S308" s="68"/>
      <c r="T308" s="68"/>
    </row>
    <row r="309" spans="1:20" ht="14.1" customHeight="1" x14ac:dyDescent="0.2">
      <c r="A309" s="395">
        <v>9</v>
      </c>
      <c r="B309" s="494"/>
      <c r="C309" s="65"/>
      <c r="F309" s="395" t="s">
        <v>1102</v>
      </c>
      <c r="R309" s="68"/>
      <c r="S309" s="68"/>
      <c r="T309" s="68"/>
    </row>
    <row r="310" spans="1:20" ht="14.1" customHeight="1" x14ac:dyDescent="0.2">
      <c r="A310" s="395">
        <v>10</v>
      </c>
      <c r="B310" s="494"/>
      <c r="C310" s="74"/>
      <c r="F310" s="130" t="s">
        <v>746</v>
      </c>
      <c r="I310" s="93">
        <f>+ROUND('2025 GSD Rate Class E-13c'!K313,2)</f>
        <v>-1.3</v>
      </c>
      <c r="N310" s="93">
        <f>+ROUND('2025 GSD Rate Class E-13c'!R313,2)</f>
        <v>-2.06</v>
      </c>
      <c r="R310" s="68"/>
      <c r="S310" s="68"/>
      <c r="T310" s="68"/>
    </row>
    <row r="311" spans="1:20" ht="14.1" customHeight="1" x14ac:dyDescent="0.2">
      <c r="A311" s="395">
        <v>11</v>
      </c>
      <c r="B311" s="494"/>
      <c r="C311" s="74"/>
      <c r="F311" s="130" t="s">
        <v>769</v>
      </c>
      <c r="I311" s="93">
        <f>+ROUND('2025 GSD Rate Class E-13c'!K314,2)</f>
        <v>-1.71</v>
      </c>
      <c r="N311" s="93">
        <f>+ROUND('2025 GSD Rate Class E-13c'!R314,2)</f>
        <v>-2.5099999999999998</v>
      </c>
      <c r="R311" s="68"/>
      <c r="S311" s="68"/>
      <c r="T311" s="68"/>
    </row>
    <row r="312" spans="1:20" ht="14.1" customHeight="1" x14ac:dyDescent="0.2">
      <c r="A312" s="395">
        <v>12</v>
      </c>
      <c r="B312" s="494"/>
      <c r="C312" s="74"/>
      <c r="F312" s="130" t="s">
        <v>1103</v>
      </c>
      <c r="G312" s="65"/>
      <c r="H312" s="68"/>
      <c r="I312" s="93">
        <f>+ROUND('2025 GSD Rate Class E-13c'!K315,2)</f>
        <v>-1.3</v>
      </c>
      <c r="J312" s="68" t="s">
        <v>1018</v>
      </c>
      <c r="K312" s="68"/>
      <c r="L312" s="68"/>
      <c r="M312" s="68"/>
      <c r="N312" s="93">
        <f>+ROUND('2025 GSD Rate Class E-13c'!R315,2)</f>
        <v>-2.06</v>
      </c>
      <c r="O312" s="68" t="s">
        <v>1018</v>
      </c>
      <c r="Q312" s="67">
        <f>IF(I312=0,0,+(N312-I312)/I312)</f>
        <v>0.58461538461538465</v>
      </c>
      <c r="R312" s="68"/>
      <c r="S312" s="68"/>
      <c r="T312" s="68"/>
    </row>
    <row r="313" spans="1:20" ht="14.1" customHeight="1" x14ac:dyDescent="0.2">
      <c r="A313" s="395">
        <v>13</v>
      </c>
      <c r="B313" s="494"/>
      <c r="C313" s="74"/>
      <c r="F313" s="151" t="s">
        <v>1104</v>
      </c>
      <c r="I313" s="93">
        <f>+ROUND('2025 GSD Rate Class E-13c'!K316,2)</f>
        <v>-1.71</v>
      </c>
      <c r="J313" s="68" t="s">
        <v>1018</v>
      </c>
      <c r="K313" s="68"/>
      <c r="N313" s="93">
        <f>+ROUND('2025 GSD Rate Class E-13c'!R316,2)</f>
        <v>-2.5099999999999998</v>
      </c>
      <c r="O313" s="68" t="s">
        <v>1018</v>
      </c>
      <c r="Q313" s="94">
        <f>IF(I313=0,0,+(N313-I313)/I313)</f>
        <v>0.46783625730994144</v>
      </c>
      <c r="R313" s="68"/>
      <c r="S313" s="68"/>
      <c r="T313" s="68"/>
    </row>
    <row r="314" spans="1:20" ht="14.1" customHeight="1" x14ac:dyDescent="0.2">
      <c r="A314" s="395">
        <v>14</v>
      </c>
      <c r="B314" s="494"/>
      <c r="C314" s="74"/>
      <c r="R314" s="68"/>
      <c r="S314" s="68"/>
      <c r="T314" s="68"/>
    </row>
    <row r="315" spans="1:20" ht="14.1" customHeight="1" x14ac:dyDescent="0.2">
      <c r="A315" s="395">
        <v>15</v>
      </c>
      <c r="B315" s="494"/>
      <c r="C315" s="74"/>
      <c r="E315" s="118" t="s">
        <v>1107</v>
      </c>
      <c r="G315" s="68"/>
      <c r="H315" s="68"/>
      <c r="R315" s="68"/>
      <c r="S315" s="68"/>
      <c r="T315" s="68"/>
    </row>
    <row r="316" spans="1:20" ht="14.1" customHeight="1" x14ac:dyDescent="0.2">
      <c r="A316" s="395">
        <v>16</v>
      </c>
      <c r="B316" s="494"/>
      <c r="C316" s="74"/>
      <c r="F316" s="395" t="s">
        <v>1108</v>
      </c>
      <c r="I316" s="93">
        <f>+ROUND('2025 GSD Rate Class E-13c'!K344,2)</f>
        <v>0.68</v>
      </c>
      <c r="J316" s="68" t="s">
        <v>1018</v>
      </c>
      <c r="K316" s="68"/>
      <c r="L316" s="68"/>
      <c r="M316" s="68"/>
      <c r="N316" s="93">
        <f>+ROUND('2025 GSD Rate Class E-13c'!R344,2)</f>
        <v>1.02</v>
      </c>
      <c r="O316" s="68" t="s">
        <v>1018</v>
      </c>
      <c r="Q316" s="67">
        <f>IF(I316=0,0,+(N316-I316)/I316)</f>
        <v>0.49999999999999994</v>
      </c>
      <c r="R316" s="68"/>
      <c r="S316" s="68"/>
      <c r="T316" s="68"/>
    </row>
    <row r="317" spans="1:20" ht="14.1" customHeight="1" x14ac:dyDescent="0.2">
      <c r="A317" s="395">
        <v>17</v>
      </c>
      <c r="B317" s="494"/>
      <c r="C317" s="74"/>
      <c r="I317" s="93"/>
      <c r="J317" s="68"/>
      <c r="N317" s="93"/>
      <c r="O317" s="68"/>
      <c r="Q317" s="67"/>
      <c r="R317" s="68"/>
      <c r="S317" s="68"/>
      <c r="T317" s="68"/>
    </row>
    <row r="318" spans="1:20" ht="14.1" customHeight="1" x14ac:dyDescent="0.2">
      <c r="A318" s="395">
        <v>18</v>
      </c>
      <c r="B318" s="494"/>
      <c r="C318" s="74"/>
      <c r="R318" s="68"/>
      <c r="S318" s="68"/>
      <c r="T318" s="68"/>
    </row>
    <row r="319" spans="1:20" ht="14.1" customHeight="1" x14ac:dyDescent="0.2">
      <c r="A319" s="395">
        <v>19</v>
      </c>
      <c r="B319" s="494"/>
      <c r="C319" s="74"/>
      <c r="E319" s="395" t="s">
        <v>1080</v>
      </c>
      <c r="I319" s="152">
        <f>+ROUND('2025 GSD Rate Class E-13c'!K290,5)</f>
        <v>2.0300000000000001E-3</v>
      </c>
      <c r="J319" s="395" t="s">
        <v>1081</v>
      </c>
      <c r="L319" s="68"/>
      <c r="M319" s="68"/>
      <c r="N319" s="152">
        <f>+ROUND('2025 GSD Rate Class E-13c'!R290,5)</f>
        <v>2.0300000000000001E-3</v>
      </c>
      <c r="O319" s="395" t="s">
        <v>1081</v>
      </c>
      <c r="Q319" s="67">
        <f>IF(I319=0,0,+(N319-I319)/I319)</f>
        <v>0</v>
      </c>
      <c r="R319" s="68"/>
      <c r="S319" s="68"/>
      <c r="T319" s="68"/>
    </row>
    <row r="320" spans="1:20" ht="14.1" customHeight="1" x14ac:dyDescent="0.2">
      <c r="A320" s="395">
        <v>20</v>
      </c>
      <c r="B320" s="494"/>
      <c r="C320" s="74"/>
      <c r="Q320" s="68"/>
      <c r="R320" s="68"/>
      <c r="S320" s="68"/>
      <c r="T320" s="68"/>
    </row>
    <row r="321" spans="1:20" ht="14.1" customHeight="1" x14ac:dyDescent="0.2">
      <c r="A321" s="395">
        <v>21</v>
      </c>
      <c r="B321" s="494"/>
      <c r="C321" s="74"/>
      <c r="E321" s="395" t="s">
        <v>1082</v>
      </c>
      <c r="F321" s="65"/>
      <c r="G321" s="68"/>
      <c r="H321" s="68"/>
      <c r="I321" s="152">
        <f>+ROUND('2025 GSD Rate Class E-13c'!K298,5)</f>
        <v>-1.0200000000000001E-3</v>
      </c>
      <c r="J321" s="395" t="s">
        <v>1081</v>
      </c>
      <c r="L321" s="68"/>
      <c r="M321" s="68"/>
      <c r="N321" s="152">
        <f>+ROUND('2025 GSD Rate Class E-13c'!R298,5)</f>
        <v>-1.0200000000000001E-3</v>
      </c>
      <c r="O321" s="395" t="s">
        <v>1081</v>
      </c>
      <c r="Q321" s="67">
        <f>IF(I321=0,0,+(N321-I321)/I321)</f>
        <v>0</v>
      </c>
      <c r="R321" s="68"/>
      <c r="S321" s="68"/>
      <c r="T321" s="68"/>
    </row>
    <row r="322" spans="1:20" ht="14.1" customHeight="1" x14ac:dyDescent="0.2">
      <c r="A322" s="395">
        <v>22</v>
      </c>
      <c r="B322" s="494"/>
      <c r="C322" s="74"/>
      <c r="R322" s="68"/>
      <c r="S322" s="68"/>
      <c r="T322" s="68"/>
    </row>
    <row r="323" spans="1:20" ht="14.1" customHeight="1" x14ac:dyDescent="0.2">
      <c r="A323" s="395">
        <v>23</v>
      </c>
      <c r="B323" s="494"/>
      <c r="C323" s="74"/>
      <c r="E323" s="133" t="s">
        <v>812</v>
      </c>
      <c r="H323" s="68"/>
      <c r="I323" s="93"/>
      <c r="J323" s="68"/>
      <c r="K323" s="68"/>
      <c r="L323" s="68"/>
      <c r="M323" s="68"/>
      <c r="N323" s="93"/>
      <c r="O323" s="68"/>
      <c r="Q323" s="68"/>
      <c r="R323" s="68"/>
      <c r="S323" s="68"/>
      <c r="T323" s="68"/>
    </row>
    <row r="324" spans="1:20" ht="14.1" customHeight="1" x14ac:dyDescent="0.2">
      <c r="A324" s="395">
        <v>24</v>
      </c>
      <c r="B324" s="494"/>
      <c r="C324" s="74"/>
      <c r="F324" s="395" t="s">
        <v>1109</v>
      </c>
      <c r="G324" s="74"/>
      <c r="H324" s="68"/>
      <c r="R324" s="68"/>
      <c r="S324" s="68"/>
      <c r="T324" s="68"/>
    </row>
    <row r="325" spans="1:20" ht="14.1" customHeight="1" x14ac:dyDescent="0.2">
      <c r="A325" s="395">
        <v>25</v>
      </c>
      <c r="B325" s="494"/>
      <c r="C325" s="74"/>
      <c r="F325" s="130" t="s">
        <v>746</v>
      </c>
      <c r="G325" s="74"/>
      <c r="H325" s="68"/>
      <c r="I325" s="144">
        <f>+'2025 GSD Rate Class E-13c'!K353*100</f>
        <v>-1</v>
      </c>
      <c r="J325" s="68" t="s">
        <v>1083</v>
      </c>
      <c r="K325" s="68"/>
      <c r="L325" s="68"/>
      <c r="M325" s="68"/>
      <c r="N325" s="144">
        <f>+'2025 GSD Rate Class E-13c'!R353*100</f>
        <v>-1</v>
      </c>
      <c r="O325" s="68" t="s">
        <v>1083</v>
      </c>
      <c r="Q325" s="67">
        <f>IF(I325=0,0,+(N325-I325)/I325)</f>
        <v>0</v>
      </c>
      <c r="R325" s="68"/>
      <c r="S325" s="68"/>
      <c r="T325" s="68"/>
    </row>
    <row r="326" spans="1:20" ht="14.1" customHeight="1" x14ac:dyDescent="0.2">
      <c r="A326" s="395">
        <v>26</v>
      </c>
      <c r="B326" s="494"/>
      <c r="C326" s="74"/>
      <c r="F326" s="130" t="s">
        <v>769</v>
      </c>
      <c r="I326" s="144">
        <f>+'2025 GSD Rate Class E-13c'!K354*100</f>
        <v>-2</v>
      </c>
      <c r="J326" s="68" t="s">
        <v>1083</v>
      </c>
      <c r="K326" s="68"/>
      <c r="L326" s="68"/>
      <c r="M326" s="68"/>
      <c r="N326" s="144">
        <f>+'2025 GSD Rate Class E-13c'!R354*100</f>
        <v>-2</v>
      </c>
      <c r="O326" s="68" t="s">
        <v>1083</v>
      </c>
      <c r="Q326" s="67">
        <f>IF(I326=0,0,+(N326-I326)/I326)</f>
        <v>0</v>
      </c>
      <c r="R326" s="68"/>
      <c r="S326" s="68"/>
      <c r="T326" s="68"/>
    </row>
    <row r="327" spans="1:20" ht="14.1" customHeight="1" x14ac:dyDescent="0.2">
      <c r="A327" s="395">
        <v>27</v>
      </c>
      <c r="B327" s="494"/>
      <c r="C327" s="74"/>
      <c r="F327" s="499" t="s">
        <v>1066</v>
      </c>
      <c r="I327" s="144">
        <f>+'2025 GSD Rate Class E-13c'!K355*100</f>
        <v>-1</v>
      </c>
      <c r="J327" s="68" t="s">
        <v>1083</v>
      </c>
      <c r="K327" s="68"/>
      <c r="N327" s="144">
        <f>+'2025 GSD Rate Class E-13c'!R355*100</f>
        <v>-1</v>
      </c>
      <c r="O327" s="68" t="s">
        <v>1083</v>
      </c>
      <c r="Q327" s="67">
        <f>IF(I327=0,0,+(N327-I327)/I327)</f>
        <v>0</v>
      </c>
      <c r="R327" s="68"/>
      <c r="S327" s="68"/>
      <c r="T327" s="68"/>
    </row>
    <row r="328" spans="1:20" ht="14.1" customHeight="1" x14ac:dyDescent="0.2">
      <c r="A328" s="395">
        <v>28</v>
      </c>
      <c r="B328" s="494"/>
      <c r="C328" s="74"/>
      <c r="F328" s="499" t="s">
        <v>1067</v>
      </c>
      <c r="I328" s="144">
        <f>+'2025 GSD Rate Class E-13c'!K356*100</f>
        <v>-2</v>
      </c>
      <c r="J328" s="68" t="s">
        <v>1083</v>
      </c>
      <c r="K328" s="68"/>
      <c r="N328" s="144">
        <f>+'2025 GSD Rate Class E-13c'!R356*100</f>
        <v>-2</v>
      </c>
      <c r="O328" s="68" t="s">
        <v>1083</v>
      </c>
      <c r="Q328" s="67">
        <f>IF(I328=0,0,+(N328-I328)/I328)</f>
        <v>0</v>
      </c>
      <c r="R328" s="68"/>
      <c r="S328" s="68"/>
      <c r="T328" s="68"/>
    </row>
    <row r="329" spans="1:20" ht="14.1" customHeight="1" x14ac:dyDescent="0.2">
      <c r="A329" s="395">
        <v>29</v>
      </c>
      <c r="B329" s="494"/>
      <c r="C329" s="74"/>
      <c r="R329" s="68"/>
      <c r="S329" s="68"/>
      <c r="T329" s="68"/>
    </row>
    <row r="330" spans="1:20" ht="14.1" customHeight="1" x14ac:dyDescent="0.2">
      <c r="A330" s="395">
        <v>30</v>
      </c>
      <c r="B330" s="494"/>
      <c r="C330" s="74"/>
      <c r="R330" s="68"/>
      <c r="S330" s="68"/>
      <c r="T330" s="68"/>
    </row>
    <row r="331" spans="1:20" ht="14.1" customHeight="1" x14ac:dyDescent="0.2">
      <c r="A331" s="395">
        <v>31</v>
      </c>
      <c r="B331" s="494"/>
      <c r="C331" s="74"/>
      <c r="R331" s="68"/>
      <c r="S331" s="68"/>
      <c r="T331" s="68"/>
    </row>
    <row r="332" spans="1:20" ht="14.1" customHeight="1" x14ac:dyDescent="0.2">
      <c r="A332" s="395">
        <v>32</v>
      </c>
      <c r="B332" s="494"/>
      <c r="C332" s="74"/>
      <c r="R332" s="68"/>
      <c r="S332" s="68"/>
      <c r="T332" s="68"/>
    </row>
    <row r="333" spans="1:20" ht="14.1" customHeight="1" x14ac:dyDescent="0.2">
      <c r="A333" s="395">
        <v>33</v>
      </c>
      <c r="B333" s="494"/>
      <c r="C333" s="74"/>
      <c r="L333" s="68"/>
      <c r="M333" s="68"/>
      <c r="Q333" s="68"/>
      <c r="R333" s="68"/>
      <c r="S333" s="68"/>
      <c r="T333" s="68"/>
    </row>
    <row r="334" spans="1:20" ht="14.1" customHeight="1" x14ac:dyDescent="0.2">
      <c r="A334" s="395">
        <v>34</v>
      </c>
      <c r="B334" s="494"/>
      <c r="C334" s="74"/>
      <c r="E334" s="118"/>
      <c r="G334" s="68"/>
      <c r="H334" s="68"/>
      <c r="I334" s="93"/>
      <c r="J334" s="68"/>
      <c r="K334" s="68"/>
      <c r="L334" s="68"/>
      <c r="M334" s="68"/>
      <c r="N334" s="93"/>
      <c r="O334" s="68"/>
      <c r="Q334" s="67"/>
      <c r="R334" s="68"/>
      <c r="S334" s="68"/>
      <c r="T334" s="68"/>
    </row>
    <row r="335" spans="1:20" ht="14.1" customHeight="1" x14ac:dyDescent="0.2">
      <c r="A335" s="395">
        <v>35</v>
      </c>
      <c r="B335" s="494"/>
      <c r="C335" s="74"/>
      <c r="L335" s="68"/>
      <c r="M335" s="68"/>
      <c r="Q335" s="68"/>
      <c r="R335" s="68"/>
      <c r="S335" s="68"/>
      <c r="T335" s="68"/>
    </row>
    <row r="336" spans="1:20" ht="14.1" customHeight="1" thickBot="1" x14ac:dyDescent="0.25">
      <c r="A336" s="396">
        <v>36</v>
      </c>
      <c r="B336" s="496"/>
      <c r="C336" s="136"/>
      <c r="D336" s="396"/>
      <c r="E336" s="396"/>
      <c r="F336" s="396"/>
      <c r="G336" s="396"/>
      <c r="H336" s="396"/>
      <c r="I336" s="145"/>
      <c r="J336" s="396"/>
      <c r="K336" s="396"/>
      <c r="L336" s="105"/>
      <c r="M336" s="105"/>
      <c r="N336" s="145"/>
      <c r="O336" s="396"/>
      <c r="P336" s="396"/>
      <c r="Q336" s="141"/>
      <c r="R336" s="105"/>
      <c r="S336" s="105"/>
      <c r="T336" s="105"/>
    </row>
    <row r="337" spans="1:20" ht="14.1" customHeight="1" x14ac:dyDescent="0.2">
      <c r="A337" s="395" t="str">
        <f>+$A$49</f>
        <v>Supporting Schedules:  E-7, E-14 Supplement</v>
      </c>
      <c r="R337" s="395" t="s">
        <v>1003</v>
      </c>
    </row>
    <row r="338" spans="1:20" ht="14.1" customHeight="1" thickBot="1" x14ac:dyDescent="0.25">
      <c r="A338" s="396" t="str">
        <f>+$A$2</f>
        <v>SCHEDULE A-3</v>
      </c>
      <c r="B338" s="396"/>
      <c r="C338" s="396"/>
      <c r="D338" s="396"/>
      <c r="E338" s="396"/>
      <c r="F338" s="396"/>
      <c r="G338" s="396"/>
      <c r="H338" s="396"/>
      <c r="I338" s="396" t="str">
        <f>+$I$2</f>
        <v>SUMMARY OF TARIFFS</v>
      </c>
      <c r="J338" s="396"/>
      <c r="K338" s="396"/>
      <c r="L338" s="396"/>
      <c r="M338" s="396"/>
      <c r="N338" s="396"/>
      <c r="O338" s="396"/>
      <c r="P338" s="396"/>
      <c r="Q338" s="396"/>
      <c r="R338" s="396"/>
      <c r="S338" s="396"/>
      <c r="T338" s="492" t="s">
        <v>1153</v>
      </c>
    </row>
    <row r="339" spans="1:20" ht="14.1" customHeight="1" x14ac:dyDescent="0.2">
      <c r="A339" s="395" t="s">
        <v>307</v>
      </c>
      <c r="F339" s="399" t="s">
        <v>1041</v>
      </c>
      <c r="G339" s="395" t="s">
        <v>1042</v>
      </c>
      <c r="L339" s="397"/>
      <c r="M339" s="397"/>
      <c r="O339" s="397"/>
      <c r="P339" s="397"/>
      <c r="Q339" s="397" t="s">
        <v>847</v>
      </c>
      <c r="T339" s="398"/>
    </row>
    <row r="340" spans="1:20" ht="14.1" customHeight="1" x14ac:dyDescent="0.2">
      <c r="G340" s="395" t="s">
        <v>1043</v>
      </c>
      <c r="L340" s="399"/>
      <c r="M340" s="398"/>
      <c r="P340" s="399"/>
      <c r="Q340" s="311" t="s">
        <v>919</v>
      </c>
      <c r="R340" s="310" t="s">
        <v>920</v>
      </c>
      <c r="T340" s="399"/>
    </row>
    <row r="341" spans="1:20" ht="14.1" customHeight="1" x14ac:dyDescent="0.2">
      <c r="A341" s="395" t="s">
        <v>310</v>
      </c>
      <c r="L341" s="399"/>
      <c r="M341" s="398"/>
      <c r="N341" s="399"/>
      <c r="Q341" s="311"/>
      <c r="R341" s="310" t="s">
        <v>937</v>
      </c>
      <c r="T341" s="399"/>
    </row>
    <row r="342" spans="1:20" ht="14.1" customHeight="1" x14ac:dyDescent="0.2">
      <c r="L342" s="399"/>
      <c r="M342" s="398"/>
      <c r="N342" s="399"/>
      <c r="Q342" s="311"/>
      <c r="R342" s="310" t="s">
        <v>938</v>
      </c>
      <c r="T342" s="399"/>
    </row>
    <row r="343" spans="1:20" ht="14.1" customHeight="1" thickBot="1" x14ac:dyDescent="0.25">
      <c r="A343" s="396" t="s">
        <v>1022</v>
      </c>
      <c r="B343" s="396"/>
      <c r="C343" s="396"/>
      <c r="D343" s="396"/>
      <c r="E343" s="396"/>
      <c r="F343" s="396"/>
      <c r="G343" s="396"/>
      <c r="H343" s="396"/>
      <c r="I343" s="400"/>
      <c r="J343" s="396"/>
      <c r="K343" s="396"/>
      <c r="L343" s="396"/>
      <c r="M343" s="396"/>
      <c r="N343" s="396"/>
      <c r="O343" s="396"/>
      <c r="P343" s="396"/>
      <c r="Q343" s="396"/>
      <c r="R343" s="396" t="s">
        <v>311</v>
      </c>
      <c r="S343" s="396"/>
      <c r="T343" s="396"/>
    </row>
    <row r="344" spans="1:20" ht="14.1" customHeight="1" x14ac:dyDescent="0.2">
      <c r="A344" s="395" t="str">
        <f>IF(+A$8="","",A$8)</f>
        <v/>
      </c>
      <c r="B344" s="402" t="str">
        <f t="shared" ref="B344:T344" si="34">IF(+B$8="","",B$8)</f>
        <v/>
      </c>
      <c r="C344" s="402" t="str">
        <f t="shared" si="34"/>
        <v>(1)</v>
      </c>
      <c r="D344" s="402" t="str">
        <f t="shared" si="34"/>
        <v/>
      </c>
      <c r="E344" s="402" t="str">
        <f t="shared" si="34"/>
        <v/>
      </c>
      <c r="F344" s="402" t="str">
        <f t="shared" si="34"/>
        <v>(2)</v>
      </c>
      <c r="G344" s="402" t="str">
        <f t="shared" si="34"/>
        <v/>
      </c>
      <c r="H344" s="402" t="str">
        <f>IF(+H$8="","",H$8)</f>
        <v/>
      </c>
      <c r="I344" s="402" t="str">
        <f>IF(+I$8="","",I$8)</f>
        <v>(3)</v>
      </c>
      <c r="J344" s="402" t="str">
        <f>IF(+J$8="","",J$8)</f>
        <v/>
      </c>
      <c r="K344" s="402"/>
      <c r="L344" s="402" t="str">
        <f t="shared" si="34"/>
        <v>(4)</v>
      </c>
      <c r="M344" s="402" t="str">
        <f t="shared" si="34"/>
        <v/>
      </c>
      <c r="N344" s="402" t="str">
        <f t="shared" si="34"/>
        <v>(5)</v>
      </c>
      <c r="O344" s="402" t="str">
        <f t="shared" si="34"/>
        <v/>
      </c>
      <c r="Q344" s="402" t="str">
        <f>IF(+Q$8="","",Q$8)</f>
        <v>(6)</v>
      </c>
      <c r="R344" s="402" t="str">
        <f t="shared" si="34"/>
        <v/>
      </c>
      <c r="S344" s="402" t="str">
        <f t="shared" si="34"/>
        <v/>
      </c>
      <c r="T344" s="402" t="str">
        <f t="shared" si="34"/>
        <v/>
      </c>
    </row>
    <row r="345" spans="1:20" ht="14.1" customHeight="1" x14ac:dyDescent="0.2">
      <c r="A345" s="395" t="str">
        <f>IF(+A$9="","",A$9)</f>
        <v/>
      </c>
      <c r="B345" s="402" t="str">
        <f t="shared" ref="B345:T345" si="35">IF(+B$9="","",B$9)</f>
        <v/>
      </c>
      <c r="C345" s="402" t="str">
        <f t="shared" si="35"/>
        <v/>
      </c>
      <c r="D345" s="402" t="str">
        <f t="shared" si="35"/>
        <v/>
      </c>
      <c r="E345" s="402" t="str">
        <f t="shared" si="35"/>
        <v/>
      </c>
      <c r="F345" s="402" t="str">
        <f t="shared" si="35"/>
        <v/>
      </c>
      <c r="G345" s="402" t="str">
        <f t="shared" si="35"/>
        <v/>
      </c>
      <c r="H345" s="402" t="str">
        <f>IF(+H$9="","",H$9)</f>
        <v/>
      </c>
      <c r="I345" s="402" t="str">
        <f>IF(+I$9="","",I$9)</f>
        <v/>
      </c>
      <c r="J345" s="402" t="str">
        <f>IF(+J$9="","",J$9)</f>
        <v/>
      </c>
      <c r="K345" s="402"/>
      <c r="L345" s="402" t="str">
        <f t="shared" si="35"/>
        <v/>
      </c>
      <c r="M345" s="402" t="str">
        <f t="shared" si="35"/>
        <v/>
      </c>
      <c r="N345" s="402" t="str">
        <f t="shared" si="35"/>
        <v/>
      </c>
      <c r="O345" s="402" t="str">
        <f t="shared" si="35"/>
        <v/>
      </c>
      <c r="Q345" s="402" t="str">
        <f>IF(+Q$9="","",Q$9)</f>
        <v/>
      </c>
      <c r="R345" s="402" t="str">
        <f t="shared" si="35"/>
        <v/>
      </c>
      <c r="S345" s="402" t="str">
        <f t="shared" si="35"/>
        <v/>
      </c>
      <c r="T345" s="402" t="str">
        <f t="shared" si="35"/>
        <v/>
      </c>
    </row>
    <row r="346" spans="1:20" ht="14.1" customHeight="1" x14ac:dyDescent="0.2">
      <c r="A346" s="395" t="str">
        <f>IF(+A$10="","",A$10)</f>
        <v/>
      </c>
      <c r="B346" s="402" t="str">
        <f t="shared" ref="B346:T346" si="36">IF(+B$10="","",B$10)</f>
        <v/>
      </c>
      <c r="C346" s="402" t="str">
        <f t="shared" si="36"/>
        <v xml:space="preserve">Current </v>
      </c>
      <c r="D346" s="402" t="str">
        <f t="shared" si="36"/>
        <v/>
      </c>
      <c r="E346" s="402" t="str">
        <f t="shared" si="36"/>
        <v/>
      </c>
      <c r="F346" s="402" t="str">
        <f t="shared" si="36"/>
        <v/>
      </c>
      <c r="G346" s="402" t="str">
        <f t="shared" si="36"/>
        <v/>
      </c>
      <c r="H346" s="402" t="str">
        <f>IF(+H$10="","",H$10)</f>
        <v/>
      </c>
      <c r="I346" s="402" t="str">
        <f>IF(+I$10="","",I$10)</f>
        <v/>
      </c>
      <c r="J346" s="402" t="str">
        <f>IF(+J$10="","",J$10)</f>
        <v/>
      </c>
      <c r="K346" s="402"/>
      <c r="L346" s="402" t="str">
        <f t="shared" si="36"/>
        <v>Proposed</v>
      </c>
      <c r="M346" s="402" t="str">
        <f t="shared" si="36"/>
        <v/>
      </c>
      <c r="N346" s="402" t="str">
        <f t="shared" si="36"/>
        <v/>
      </c>
      <c r="O346" s="402" t="str">
        <f t="shared" si="36"/>
        <v/>
      </c>
      <c r="Q346" s="402" t="str">
        <f>IF(+Q$10="","",Q$10)</f>
        <v>Percent</v>
      </c>
      <c r="R346" s="402" t="str">
        <f t="shared" si="36"/>
        <v/>
      </c>
      <c r="S346" s="402" t="str">
        <f t="shared" si="36"/>
        <v/>
      </c>
      <c r="T346" s="402" t="str">
        <f t="shared" si="36"/>
        <v/>
      </c>
    </row>
    <row r="347" spans="1:20" ht="14.1" customHeight="1" x14ac:dyDescent="0.2">
      <c r="A347" s="395" t="str">
        <f>IF(+A$11="","",A$11)</f>
        <v>Line</v>
      </c>
      <c r="B347" s="402" t="str">
        <f t="shared" ref="B347:T347" si="37">IF(+B$11="","",B$11)</f>
        <v/>
      </c>
      <c r="C347" s="402" t="str">
        <f t="shared" si="37"/>
        <v>Rate</v>
      </c>
      <c r="D347" s="402" t="str">
        <f t="shared" si="37"/>
        <v/>
      </c>
      <c r="E347" s="402" t="str">
        <f t="shared" si="37"/>
        <v/>
      </c>
      <c r="F347" s="402" t="str">
        <f t="shared" si="37"/>
        <v/>
      </c>
      <c r="G347" s="402" t="str">
        <f t="shared" si="37"/>
        <v/>
      </c>
      <c r="H347" s="402" t="str">
        <f>IF(+H$11="","",H$11)</f>
        <v/>
      </c>
      <c r="I347" s="402" t="str">
        <f>IF(+I$11="","",I$11)</f>
        <v>Current</v>
      </c>
      <c r="J347" s="402" t="str">
        <f>IF(+J$11="","",J$11)</f>
        <v/>
      </c>
      <c r="K347" s="402"/>
      <c r="L347" s="402" t="str">
        <f t="shared" si="37"/>
        <v>Rate</v>
      </c>
      <c r="M347" s="402" t="str">
        <f t="shared" si="37"/>
        <v/>
      </c>
      <c r="N347" s="402" t="str">
        <f t="shared" si="37"/>
        <v>Proposed</v>
      </c>
      <c r="O347" s="402" t="str">
        <f t="shared" si="37"/>
        <v/>
      </c>
      <c r="Q347" s="402" t="str">
        <f>IF(+Q$11="","",Q$11)</f>
        <v>Increase</v>
      </c>
      <c r="R347" s="402" t="str">
        <f t="shared" si="37"/>
        <v/>
      </c>
      <c r="S347" s="402" t="str">
        <f t="shared" si="37"/>
        <v/>
      </c>
      <c r="T347" s="402" t="str">
        <f t="shared" si="37"/>
        <v/>
      </c>
    </row>
    <row r="348" spans="1:20" ht="14.1" customHeight="1" thickBot="1" x14ac:dyDescent="0.25">
      <c r="A348" s="396" t="str">
        <f>IF(+A$12="","",A$12)</f>
        <v>No.</v>
      </c>
      <c r="B348" s="400" t="str">
        <f t="shared" ref="B348:T348" si="38">IF(+B$12="","",B$12)</f>
        <v/>
      </c>
      <c r="C348" s="400" t="str">
        <f t="shared" si="38"/>
        <v>Schedule</v>
      </c>
      <c r="D348" s="400" t="str">
        <f t="shared" si="38"/>
        <v/>
      </c>
      <c r="E348" s="400"/>
      <c r="F348" s="400" t="str">
        <f t="shared" si="38"/>
        <v>Type of Charge</v>
      </c>
      <c r="G348" s="400"/>
      <c r="H348" s="400" t="str">
        <f>IF(+H$12="","",H$12)</f>
        <v/>
      </c>
      <c r="I348" s="400" t="str">
        <f>IF(+I$12="","",I$12)</f>
        <v>Rate</v>
      </c>
      <c r="J348" s="400" t="str">
        <f>IF(+J$12="","",J$12)</f>
        <v/>
      </c>
      <c r="K348" s="400"/>
      <c r="L348" s="400" t="str">
        <f t="shared" si="38"/>
        <v>Schedule</v>
      </c>
      <c r="M348" s="400" t="str">
        <f t="shared" si="38"/>
        <v/>
      </c>
      <c r="N348" s="400" t="str">
        <f t="shared" si="38"/>
        <v>Rate</v>
      </c>
      <c r="O348" s="400" t="str">
        <f t="shared" si="38"/>
        <v/>
      </c>
      <c r="P348" s="396"/>
      <c r="Q348" s="400" t="str">
        <f>IF(+Q$12="","",Q$12)</f>
        <v>((5)-(3))/(3)</v>
      </c>
      <c r="R348" s="400" t="str">
        <f t="shared" si="38"/>
        <v/>
      </c>
      <c r="S348" s="400" t="str">
        <f t="shared" si="38"/>
        <v/>
      </c>
      <c r="T348" s="400" t="str">
        <f t="shared" si="38"/>
        <v/>
      </c>
    </row>
    <row r="349" spans="1:20" ht="14.1" customHeight="1" x14ac:dyDescent="0.2">
      <c r="A349" s="395">
        <v>1</v>
      </c>
      <c r="B349" s="493"/>
      <c r="C349" s="101" t="s">
        <v>448</v>
      </c>
      <c r="D349" s="74"/>
      <c r="E349" s="122" t="s">
        <v>327</v>
      </c>
      <c r="G349" s="65"/>
      <c r="H349" s="74"/>
      <c r="J349" s="74"/>
      <c r="K349" s="74"/>
      <c r="L349" s="101" t="s">
        <v>448</v>
      </c>
      <c r="M349" s="74"/>
      <c r="N349" s="74"/>
      <c r="O349" s="74"/>
      <c r="Q349" s="74"/>
      <c r="R349" s="74"/>
      <c r="S349" s="74"/>
      <c r="T349" s="74"/>
    </row>
    <row r="350" spans="1:20" ht="14.1" customHeight="1" x14ac:dyDescent="0.2">
      <c r="A350" s="395">
        <v>2</v>
      </c>
      <c r="B350" s="494"/>
      <c r="F350" s="134" t="s">
        <v>746</v>
      </c>
      <c r="G350" s="65"/>
      <c r="H350" s="74"/>
      <c r="I350" s="93">
        <f>+ROUND('2025 GSLDPR Rate Class E-13c'!J18,2)</f>
        <v>19.52</v>
      </c>
      <c r="J350" s="74" t="s">
        <v>1050</v>
      </c>
      <c r="K350" s="74"/>
      <c r="L350" s="74"/>
      <c r="M350" s="74"/>
      <c r="N350" s="93">
        <f>+ROUND('2025 GSLDPR Rate Class E-13c'!Q18,2)</f>
        <v>21.42</v>
      </c>
      <c r="O350" s="74" t="s">
        <v>1050</v>
      </c>
      <c r="Q350" s="67">
        <f>IF(I350=0,0,+(N350-I350)/I350)</f>
        <v>9.73360655737706E-2</v>
      </c>
      <c r="R350" s="74"/>
      <c r="S350" s="74"/>
      <c r="T350" s="74"/>
    </row>
    <row r="351" spans="1:20" ht="14.1" customHeight="1" x14ac:dyDescent="0.2">
      <c r="A351" s="395">
        <v>3</v>
      </c>
      <c r="B351" s="494"/>
      <c r="F351" s="395" t="s">
        <v>1066</v>
      </c>
      <c r="H351" s="68"/>
      <c r="I351" s="93">
        <f>+ROUND('2025 GSLDPR Rate Class E-13c'!J19,2)</f>
        <v>19.52</v>
      </c>
      <c r="J351" s="74" t="s">
        <v>1050</v>
      </c>
      <c r="K351" s="74"/>
      <c r="L351" s="68"/>
      <c r="M351" s="64"/>
      <c r="N351" s="93">
        <f>+ROUND('2025 GSLDPR Rate Class E-13c'!Q19,2)</f>
        <v>21.42</v>
      </c>
      <c r="O351" s="74" t="s">
        <v>1050</v>
      </c>
      <c r="Q351" s="67">
        <f>IF(I351=0,0,+(N351-I351)/I351)</f>
        <v>9.73360655737706E-2</v>
      </c>
      <c r="R351" s="68"/>
      <c r="S351" s="68"/>
      <c r="T351" s="68"/>
    </row>
    <row r="352" spans="1:20" ht="14.1" customHeight="1" x14ac:dyDescent="0.2">
      <c r="A352" s="395">
        <v>4</v>
      </c>
      <c r="B352" s="494"/>
      <c r="C352" s="65"/>
      <c r="I352" s="93"/>
      <c r="N352" s="93"/>
      <c r="R352" s="68"/>
      <c r="S352" s="68"/>
      <c r="T352" s="68"/>
    </row>
    <row r="353" spans="1:20" ht="14.1" customHeight="1" x14ac:dyDescent="0.2">
      <c r="A353" s="395">
        <v>5</v>
      </c>
      <c r="B353" s="494"/>
      <c r="C353" s="65"/>
      <c r="E353" s="133" t="s">
        <v>343</v>
      </c>
      <c r="G353" s="65"/>
      <c r="H353" s="68"/>
      <c r="I353" s="93"/>
      <c r="J353" s="64"/>
      <c r="K353" s="64"/>
      <c r="L353" s="68"/>
      <c r="M353" s="64"/>
      <c r="N353" s="93"/>
      <c r="O353" s="64"/>
      <c r="Q353" s="68"/>
      <c r="R353" s="68"/>
      <c r="S353" s="68"/>
      <c r="T353" s="68"/>
    </row>
    <row r="354" spans="1:20" ht="14.1" customHeight="1" x14ac:dyDescent="0.2">
      <c r="A354" s="395">
        <v>6</v>
      </c>
      <c r="B354" s="494"/>
      <c r="C354" s="65"/>
      <c r="F354" s="134" t="s">
        <v>746</v>
      </c>
      <c r="H354" s="68"/>
      <c r="I354" s="148">
        <f>+ROUND('2025 GSLDPR Rate Class E-13c'!J23,5)</f>
        <v>1.042E-2</v>
      </c>
      <c r="J354" s="127" t="s">
        <v>1123</v>
      </c>
      <c r="K354" s="68"/>
      <c r="L354" s="68"/>
      <c r="M354" s="64"/>
      <c r="N354" s="148">
        <f>+ROUND('2025 GSLDPR Rate Class E-13c'!Q23,5)</f>
        <v>1.0630000000000001E-2</v>
      </c>
      <c r="O354" s="127" t="s">
        <v>1123</v>
      </c>
      <c r="Q354" s="67">
        <f t="shared" ref="Q354:Q356" si="39">IF(I354=0,0,+(N354-I354)/I354)</f>
        <v>2.015355086372362E-2</v>
      </c>
      <c r="R354" s="68"/>
      <c r="S354" s="68"/>
      <c r="T354" s="68"/>
    </row>
    <row r="355" spans="1:20" ht="14.1" customHeight="1" x14ac:dyDescent="0.2">
      <c r="A355" s="395">
        <v>7</v>
      </c>
      <c r="B355" s="494"/>
      <c r="C355" s="74"/>
      <c r="F355" s="395" t="s">
        <v>1683</v>
      </c>
      <c r="G355" s="65"/>
      <c r="H355" s="68"/>
      <c r="I355" s="148">
        <f>+ROUND('2025 GSLDPR Rate Class E-13c'!J24,5)</f>
        <v>1.584E-2</v>
      </c>
      <c r="J355" s="127" t="s">
        <v>1123</v>
      </c>
      <c r="K355" s="68"/>
      <c r="L355" s="68"/>
      <c r="M355" s="68"/>
      <c r="N355" s="148">
        <f>+ROUND('2025 GSLDPR Rate Class E-13c'!Q24,5)</f>
        <v>1.7330000000000002E-2</v>
      </c>
      <c r="O355" s="127" t="s">
        <v>1123</v>
      </c>
      <c r="Q355" s="67">
        <f t="shared" si="39"/>
        <v>9.4065656565656672E-2</v>
      </c>
      <c r="R355" s="68"/>
      <c r="S355" s="68"/>
      <c r="T355" s="68"/>
    </row>
    <row r="356" spans="1:20" ht="14.1" customHeight="1" x14ac:dyDescent="0.2">
      <c r="A356" s="395">
        <v>8</v>
      </c>
      <c r="B356" s="494"/>
      <c r="C356" s="74"/>
      <c r="F356" s="395" t="s">
        <v>1684</v>
      </c>
      <c r="I356" s="148">
        <f>+ROUND('2025 GSLDPR Rate Class E-13c'!J25,5)</f>
        <v>8.4700000000000001E-3</v>
      </c>
      <c r="J356" s="127" t="s">
        <v>1123</v>
      </c>
      <c r="K356" s="68"/>
      <c r="N356" s="148">
        <f>+ROUND('2025 GSLDPR Rate Class E-13c'!Q25,5)</f>
        <v>1.056E-2</v>
      </c>
      <c r="O356" s="127" t="s">
        <v>1123</v>
      </c>
      <c r="Q356" s="67">
        <f t="shared" si="39"/>
        <v>0.24675324675324672</v>
      </c>
      <c r="R356" s="68"/>
      <c r="S356" s="68"/>
      <c r="T356" s="68"/>
    </row>
    <row r="357" spans="1:20" ht="14.1" customHeight="1" x14ac:dyDescent="0.2">
      <c r="A357" s="395">
        <v>9</v>
      </c>
      <c r="B357" s="494"/>
      <c r="C357" s="74"/>
      <c r="F357" s="395" t="s">
        <v>1608</v>
      </c>
      <c r="I357" s="148">
        <f>+ROUND('2025 GSLDPR Rate Class E-13c'!J26,5)</f>
        <v>0</v>
      </c>
      <c r="J357" s="127" t="s">
        <v>1123</v>
      </c>
      <c r="N357" s="148">
        <f>+ROUND('2025 GSLDPR Rate Class E-13c'!Q26,5)</f>
        <v>6.3800000000000003E-3</v>
      </c>
      <c r="O357" s="127" t="s">
        <v>1123</v>
      </c>
      <c r="Q357" s="67" t="s">
        <v>1124</v>
      </c>
      <c r="R357" s="68"/>
      <c r="S357" s="68"/>
      <c r="T357" s="68"/>
    </row>
    <row r="358" spans="1:20" ht="14.1" customHeight="1" x14ac:dyDescent="0.2">
      <c r="A358" s="395">
        <v>10</v>
      </c>
      <c r="B358" s="494"/>
      <c r="C358" s="74"/>
      <c r="R358" s="68"/>
      <c r="S358" s="68"/>
      <c r="T358" s="68"/>
    </row>
    <row r="359" spans="1:20" ht="14.1" customHeight="1" x14ac:dyDescent="0.2">
      <c r="A359" s="395">
        <v>11</v>
      </c>
      <c r="B359" s="494"/>
      <c r="C359" s="74"/>
      <c r="E359" s="398" t="s">
        <v>380</v>
      </c>
      <c r="R359" s="68"/>
      <c r="S359" s="68"/>
      <c r="T359" s="68"/>
    </row>
    <row r="360" spans="1:20" ht="14.1" customHeight="1" x14ac:dyDescent="0.2">
      <c r="A360" s="395">
        <v>12</v>
      </c>
      <c r="B360" s="494"/>
      <c r="C360" s="74"/>
      <c r="F360" s="134" t="s">
        <v>1071</v>
      </c>
      <c r="G360" s="74"/>
      <c r="H360" s="68"/>
      <c r="I360" s="93">
        <f>+ROUND('2025 GSLDPR Rate Class E-13c'!J30,2)</f>
        <v>11.88</v>
      </c>
      <c r="J360" s="68" t="s">
        <v>1018</v>
      </c>
      <c r="K360" s="68"/>
      <c r="L360" s="68"/>
      <c r="M360" s="68"/>
      <c r="N360" s="93">
        <f>+ROUND('2025 GSLDPR Rate Class E-13c'!Q30,2)</f>
        <v>13</v>
      </c>
      <c r="O360" s="68" t="s">
        <v>1018</v>
      </c>
      <c r="Q360" s="67">
        <f>IF(I360=0,0,+(N360-I360)/I360)</f>
        <v>9.4276094276094208E-2</v>
      </c>
      <c r="R360" s="68"/>
      <c r="S360" s="68"/>
      <c r="T360" s="68"/>
    </row>
    <row r="361" spans="1:20" ht="14.1" customHeight="1" x14ac:dyDescent="0.2">
      <c r="A361" s="395">
        <v>13</v>
      </c>
      <c r="B361" s="494"/>
      <c r="C361" s="74"/>
      <c r="F361" s="395" t="s">
        <v>1111</v>
      </c>
      <c r="I361" s="93">
        <f>+ROUND('2025 GSLDPR Rate Class E-13c'!J31,2)</f>
        <v>3.77</v>
      </c>
      <c r="J361" s="68" t="s">
        <v>1018</v>
      </c>
      <c r="K361" s="68"/>
      <c r="N361" s="93">
        <f>+ROUND('2025 GSLDPR Rate Class E-13c'!Q31,2)</f>
        <v>2.93</v>
      </c>
      <c r="O361" s="68" t="s">
        <v>1018</v>
      </c>
      <c r="Q361" s="67">
        <f>IF(I361=0,0,+(N361-I361)/I361)</f>
        <v>-0.22281167108753311</v>
      </c>
      <c r="R361" s="68"/>
      <c r="S361" s="68"/>
      <c r="T361" s="68"/>
    </row>
    <row r="362" spans="1:20" ht="14.1" customHeight="1" x14ac:dyDescent="0.2">
      <c r="A362" s="395">
        <v>14</v>
      </c>
      <c r="B362" s="494"/>
      <c r="C362" s="74"/>
      <c r="F362" s="395" t="s">
        <v>1112</v>
      </c>
      <c r="H362" s="68"/>
      <c r="I362" s="93">
        <f>+ROUND('2025 GSLDPR Rate Class E-13c'!J32,2)</f>
        <v>8.08</v>
      </c>
      <c r="J362" s="68" t="s">
        <v>1018</v>
      </c>
      <c r="K362" s="68"/>
      <c r="L362" s="68"/>
      <c r="M362" s="68"/>
      <c r="N362" s="93">
        <f>+ROUND('2025 GSLDPR Rate Class E-13c'!Q32,2)</f>
        <v>10.07</v>
      </c>
      <c r="O362" s="68" t="s">
        <v>1018</v>
      </c>
      <c r="Q362" s="67">
        <f>IF(I362=0,0,+(N362-I362)/I362)</f>
        <v>0.24628712871287131</v>
      </c>
      <c r="R362" s="68"/>
      <c r="S362" s="68"/>
      <c r="T362" s="68"/>
    </row>
    <row r="363" spans="1:20" ht="14.1" customHeight="1" x14ac:dyDescent="0.2">
      <c r="A363" s="395">
        <v>15</v>
      </c>
      <c r="B363" s="494"/>
      <c r="C363" s="74"/>
      <c r="G363" s="74"/>
      <c r="H363" s="68"/>
      <c r="I363" s="93"/>
      <c r="J363" s="68"/>
      <c r="K363" s="68"/>
      <c r="L363" s="68"/>
      <c r="M363" s="68"/>
      <c r="N363" s="93"/>
      <c r="O363" s="68"/>
      <c r="Q363" s="67"/>
      <c r="R363" s="68"/>
      <c r="S363" s="68"/>
      <c r="T363" s="68"/>
    </row>
    <row r="364" spans="1:20" ht="14.1" customHeight="1" x14ac:dyDescent="0.2">
      <c r="A364" s="395">
        <v>16</v>
      </c>
      <c r="B364" s="494"/>
      <c r="C364" s="74"/>
      <c r="E364" s="118" t="s">
        <v>1113</v>
      </c>
      <c r="G364" s="68"/>
      <c r="H364" s="68"/>
      <c r="I364" s="93">
        <f>+ROUND('2025 GSLDPR Rate Class E-13c'!J36,2)</f>
        <v>0.68</v>
      </c>
      <c r="J364" s="68" t="s">
        <v>1018</v>
      </c>
      <c r="K364" s="68"/>
      <c r="L364" s="68"/>
      <c r="M364" s="68"/>
      <c r="N364" s="93">
        <f>+ROUND('2025 GSLDPR Rate Class E-13c'!Q36,2)</f>
        <v>1.02</v>
      </c>
      <c r="O364" s="68" t="s">
        <v>1018</v>
      </c>
      <c r="Q364" s="67">
        <f>IF(I364=0,0,+(N364-I364)/I364)</f>
        <v>0.49999999999999994</v>
      </c>
      <c r="R364" s="68"/>
      <c r="S364" s="68"/>
      <c r="T364" s="68"/>
    </row>
    <row r="365" spans="1:20" ht="14.1" customHeight="1" x14ac:dyDescent="0.2">
      <c r="A365" s="395">
        <v>17</v>
      </c>
      <c r="B365" s="494"/>
      <c r="C365" s="74"/>
      <c r="R365" s="68"/>
      <c r="S365" s="68"/>
      <c r="T365" s="68"/>
    </row>
    <row r="366" spans="1:20" ht="14.1" customHeight="1" x14ac:dyDescent="0.2">
      <c r="A366" s="395">
        <v>18</v>
      </c>
      <c r="B366" s="494"/>
      <c r="C366" s="74"/>
      <c r="E366" s="395" t="s">
        <v>1080</v>
      </c>
      <c r="I366" s="148">
        <f>+ROUND('2025 GSLDPR Rate Class E-13c'!J41,5)</f>
        <v>2.0300000000000001E-3</v>
      </c>
      <c r="J366" s="395" t="s">
        <v>1081</v>
      </c>
      <c r="L366" s="68"/>
      <c r="M366" s="68"/>
      <c r="N366" s="148">
        <f>+ROUND('2025 GSLDPR Rate Class E-13c'!Q41,5)</f>
        <v>2.0300000000000001E-3</v>
      </c>
      <c r="O366" s="395" t="s">
        <v>1081</v>
      </c>
      <c r="Q366" s="67">
        <f>IF(I366=0,0,+(N366-I366)/I366)</f>
        <v>0</v>
      </c>
      <c r="R366" s="68"/>
      <c r="S366" s="68"/>
      <c r="T366" s="68"/>
    </row>
    <row r="367" spans="1:20" ht="14.1" customHeight="1" x14ac:dyDescent="0.2">
      <c r="A367" s="395">
        <v>19</v>
      </c>
      <c r="B367" s="494"/>
      <c r="C367" s="74"/>
      <c r="I367" s="500"/>
      <c r="L367" s="68"/>
      <c r="M367" s="68"/>
      <c r="N367" s="500"/>
      <c r="Q367" s="68"/>
      <c r="R367" s="68"/>
      <c r="S367" s="68"/>
      <c r="T367" s="68"/>
    </row>
    <row r="368" spans="1:20" ht="14.1" customHeight="1" x14ac:dyDescent="0.2">
      <c r="A368" s="395">
        <v>20</v>
      </c>
      <c r="B368" s="494"/>
      <c r="C368" s="74"/>
      <c r="E368" s="395" t="s">
        <v>1082</v>
      </c>
      <c r="F368" s="65"/>
      <c r="G368" s="68"/>
      <c r="H368" s="68"/>
      <c r="I368" s="148">
        <f>+ROUND('2025 GSLDPR Rate Class E-13c'!J45,5)</f>
        <v>-1.0200000000000001E-3</v>
      </c>
      <c r="J368" s="395" t="s">
        <v>1081</v>
      </c>
      <c r="L368" s="68"/>
      <c r="M368" s="68"/>
      <c r="N368" s="148">
        <f>+ROUND('2025 GSLDPR Rate Class E-13c'!Q45,5)</f>
        <v>-1.0200000000000001E-3</v>
      </c>
      <c r="O368" s="395" t="s">
        <v>1081</v>
      </c>
      <c r="Q368" s="67">
        <f>IF(I368=0,0,+(N368-I368)/I368)</f>
        <v>0</v>
      </c>
      <c r="R368" s="68"/>
      <c r="S368" s="68"/>
      <c r="T368" s="68"/>
    </row>
    <row r="369" spans="1:20" ht="14.1" customHeight="1" x14ac:dyDescent="0.2">
      <c r="A369" s="395">
        <v>21</v>
      </c>
      <c r="B369" s="494"/>
      <c r="C369" s="74"/>
      <c r="R369" s="68"/>
      <c r="S369" s="68"/>
      <c r="T369" s="68"/>
    </row>
    <row r="370" spans="1:20" ht="14.1" customHeight="1" x14ac:dyDescent="0.2">
      <c r="A370" s="395">
        <v>22</v>
      </c>
      <c r="B370" s="494"/>
      <c r="C370" s="74"/>
      <c r="E370" s="133" t="s">
        <v>812</v>
      </c>
      <c r="H370" s="68"/>
      <c r="I370" s="93"/>
      <c r="J370" s="68"/>
      <c r="K370" s="68"/>
      <c r="L370" s="68"/>
      <c r="M370" s="68"/>
      <c r="N370" s="93"/>
      <c r="O370" s="68"/>
      <c r="Q370" s="68"/>
      <c r="R370" s="68"/>
      <c r="S370" s="68"/>
      <c r="T370" s="68"/>
    </row>
    <row r="371" spans="1:20" ht="14.1" customHeight="1" x14ac:dyDescent="0.2">
      <c r="A371" s="395">
        <v>23</v>
      </c>
      <c r="B371" s="494"/>
      <c r="C371" s="74"/>
      <c r="F371" s="134" t="s">
        <v>1114</v>
      </c>
      <c r="G371" s="74"/>
      <c r="H371" s="68"/>
      <c r="I371" s="144">
        <f>+'2025 GSLDPR Rate Class E-13c'!J50*100</f>
        <v>-1</v>
      </c>
      <c r="J371" s="68" t="s">
        <v>1083</v>
      </c>
      <c r="K371" s="68"/>
      <c r="L371" s="68"/>
      <c r="M371" s="68"/>
      <c r="N371" s="144">
        <f>+'2025 GSLDPR Rate Class E-13c'!Q50*100</f>
        <v>-1</v>
      </c>
      <c r="O371" s="68" t="s">
        <v>1083</v>
      </c>
      <c r="Q371" s="67">
        <f>IF(I371=0,0,+(N371-I371)/I371)</f>
        <v>0</v>
      </c>
      <c r="R371" s="68"/>
      <c r="S371" s="68"/>
      <c r="T371" s="68"/>
    </row>
    <row r="372" spans="1:20" ht="14.1" customHeight="1" x14ac:dyDescent="0.2">
      <c r="A372" s="395">
        <v>24</v>
      </c>
      <c r="B372" s="494"/>
      <c r="C372" s="74"/>
      <c r="F372" s="395" t="s">
        <v>1115</v>
      </c>
      <c r="I372" s="144">
        <f>+'2025 GSLDPR Rate Class E-13c'!J51*100</f>
        <v>-1</v>
      </c>
      <c r="J372" s="68" t="s">
        <v>1083</v>
      </c>
      <c r="K372" s="68"/>
      <c r="N372" s="144">
        <f>+'2025 GSLDPR Rate Class E-13c'!Q51*100</f>
        <v>-1</v>
      </c>
      <c r="O372" s="68" t="s">
        <v>1083</v>
      </c>
      <c r="Q372" s="67">
        <f>IF(I372=0,0,+(N372-I372)/I372)</f>
        <v>0</v>
      </c>
      <c r="R372" s="68"/>
      <c r="S372" s="68"/>
      <c r="T372" s="68"/>
    </row>
    <row r="373" spans="1:20" ht="14.1" customHeight="1" x14ac:dyDescent="0.2">
      <c r="A373" s="395">
        <v>25</v>
      </c>
      <c r="B373" s="494"/>
      <c r="C373" s="74"/>
      <c r="Q373" s="67"/>
      <c r="R373" s="68"/>
      <c r="S373" s="68"/>
      <c r="T373" s="68"/>
    </row>
    <row r="374" spans="1:20" ht="14.1" customHeight="1" x14ac:dyDescent="0.2">
      <c r="A374" s="395">
        <v>26</v>
      </c>
      <c r="B374" s="494"/>
      <c r="C374" s="74"/>
      <c r="R374" s="68"/>
      <c r="S374" s="68"/>
      <c r="T374" s="68"/>
    </row>
    <row r="375" spans="1:20" ht="14.1" customHeight="1" x14ac:dyDescent="0.2">
      <c r="A375" s="395">
        <v>27</v>
      </c>
      <c r="B375" s="494"/>
      <c r="C375" s="74"/>
      <c r="R375" s="68"/>
      <c r="S375" s="68"/>
      <c r="T375" s="68"/>
    </row>
    <row r="376" spans="1:20" ht="14.1" customHeight="1" x14ac:dyDescent="0.2">
      <c r="A376" s="395">
        <v>28</v>
      </c>
      <c r="B376" s="494"/>
      <c r="C376" s="74"/>
      <c r="R376" s="68"/>
      <c r="S376" s="68"/>
      <c r="T376" s="68"/>
    </row>
    <row r="377" spans="1:20" ht="14.1" customHeight="1" x14ac:dyDescent="0.2">
      <c r="A377" s="395">
        <v>29</v>
      </c>
      <c r="B377" s="494"/>
      <c r="C377" s="74"/>
      <c r="I377" s="144"/>
      <c r="J377" s="68"/>
      <c r="K377" s="68"/>
      <c r="N377" s="144"/>
      <c r="O377" s="68"/>
      <c r="Q377" s="138"/>
      <c r="R377" s="68"/>
      <c r="S377" s="68"/>
      <c r="T377" s="68"/>
    </row>
    <row r="378" spans="1:20" ht="14.1" customHeight="1" x14ac:dyDescent="0.2">
      <c r="A378" s="395">
        <v>30</v>
      </c>
      <c r="B378" s="494"/>
      <c r="C378" s="74"/>
      <c r="I378" s="144"/>
      <c r="J378" s="68"/>
      <c r="K378" s="68"/>
      <c r="N378" s="144"/>
      <c r="O378" s="68"/>
      <c r="Q378" s="138"/>
      <c r="R378" s="68"/>
      <c r="S378" s="68"/>
      <c r="T378" s="68"/>
    </row>
    <row r="379" spans="1:20" ht="14.1" customHeight="1" x14ac:dyDescent="0.2">
      <c r="A379" s="395">
        <v>31</v>
      </c>
      <c r="B379" s="494"/>
      <c r="C379" s="74"/>
      <c r="I379" s="144"/>
      <c r="J379" s="68"/>
      <c r="K379" s="68"/>
      <c r="N379" s="144"/>
      <c r="O379" s="68"/>
      <c r="Q379" s="138"/>
      <c r="R379" s="68"/>
      <c r="S379" s="68"/>
      <c r="T379" s="68"/>
    </row>
    <row r="380" spans="1:20" ht="14.1" customHeight="1" x14ac:dyDescent="0.2">
      <c r="A380" s="395">
        <v>32</v>
      </c>
      <c r="B380" s="494"/>
      <c r="C380" s="74"/>
      <c r="I380" s="144"/>
      <c r="J380" s="68"/>
      <c r="K380" s="68"/>
      <c r="N380" s="144"/>
      <c r="O380" s="68"/>
      <c r="Q380" s="138"/>
      <c r="R380" s="68"/>
      <c r="S380" s="68"/>
      <c r="T380" s="68"/>
    </row>
    <row r="381" spans="1:20" ht="14.1" customHeight="1" x14ac:dyDescent="0.2">
      <c r="A381" s="395">
        <v>33</v>
      </c>
      <c r="B381" s="494"/>
      <c r="C381" s="74"/>
      <c r="I381" s="144"/>
      <c r="J381" s="68"/>
      <c r="K381" s="68"/>
      <c r="N381" s="144"/>
      <c r="O381" s="68"/>
      <c r="Q381" s="138"/>
      <c r="R381" s="68"/>
      <c r="S381" s="68"/>
      <c r="T381" s="68"/>
    </row>
    <row r="382" spans="1:20" ht="14.1" customHeight="1" x14ac:dyDescent="0.2">
      <c r="A382" s="395">
        <v>34</v>
      </c>
      <c r="B382" s="494"/>
      <c r="C382" s="74"/>
      <c r="I382" s="144"/>
      <c r="J382" s="68"/>
      <c r="K382" s="68"/>
      <c r="N382" s="144"/>
      <c r="O382" s="68"/>
      <c r="Q382" s="138"/>
      <c r="R382" s="68"/>
      <c r="S382" s="68"/>
      <c r="T382" s="68"/>
    </row>
    <row r="383" spans="1:20" ht="14.1" customHeight="1" x14ac:dyDescent="0.2">
      <c r="A383" s="395">
        <v>35</v>
      </c>
      <c r="B383" s="494"/>
      <c r="C383" s="74"/>
      <c r="I383" s="144"/>
      <c r="J383" s="68"/>
      <c r="K383" s="68"/>
      <c r="N383" s="144"/>
      <c r="O383" s="68"/>
      <c r="Q383" s="138"/>
      <c r="R383" s="68"/>
      <c r="S383" s="68"/>
      <c r="T383" s="68"/>
    </row>
    <row r="384" spans="1:20" ht="14.1" customHeight="1" thickBot="1" x14ac:dyDescent="0.25">
      <c r="A384" s="396">
        <v>36</v>
      </c>
      <c r="B384" s="496"/>
      <c r="C384" s="136"/>
      <c r="D384" s="396"/>
      <c r="E384" s="396"/>
      <c r="F384" s="396"/>
      <c r="G384" s="396"/>
      <c r="H384" s="396"/>
      <c r="I384" s="146"/>
      <c r="J384" s="105"/>
      <c r="K384" s="105"/>
      <c r="L384" s="396"/>
      <c r="M384" s="396"/>
      <c r="N384" s="146"/>
      <c r="O384" s="105"/>
      <c r="P384" s="396"/>
      <c r="Q384" s="141"/>
      <c r="R384" s="105"/>
      <c r="S384" s="105"/>
      <c r="T384" s="105"/>
    </row>
    <row r="385" spans="1:20" ht="14.1" customHeight="1" x14ac:dyDescent="0.2">
      <c r="A385" s="395" t="str">
        <f>+$A$49</f>
        <v>Supporting Schedules:  E-7, E-14 Supplement</v>
      </c>
      <c r="R385" s="395" t="s">
        <v>1003</v>
      </c>
    </row>
    <row r="386" spans="1:20" ht="14.1" customHeight="1" thickBot="1" x14ac:dyDescent="0.25">
      <c r="A386" s="396" t="str">
        <f>+$A$2</f>
        <v>SCHEDULE A-3</v>
      </c>
      <c r="B386" s="396"/>
      <c r="C386" s="396"/>
      <c r="D386" s="396"/>
      <c r="E386" s="396"/>
      <c r="F386" s="396"/>
      <c r="G386" s="396"/>
      <c r="H386" s="396"/>
      <c r="I386" s="396" t="str">
        <f>+$I$2</f>
        <v>SUMMARY OF TARIFFS</v>
      </c>
      <c r="J386" s="396"/>
      <c r="K386" s="396"/>
      <c r="L386" s="396"/>
      <c r="M386" s="396"/>
      <c r="N386" s="396"/>
      <c r="O386" s="396"/>
      <c r="P386" s="396"/>
      <c r="Q386" s="396"/>
      <c r="R386" s="396"/>
      <c r="S386" s="396"/>
      <c r="T386" s="492" t="s">
        <v>1154</v>
      </c>
    </row>
    <row r="387" spans="1:20" ht="14.1" customHeight="1" x14ac:dyDescent="0.2">
      <c r="A387" s="395" t="s">
        <v>307</v>
      </c>
      <c r="F387" s="399" t="s">
        <v>1041</v>
      </c>
      <c r="G387" s="395" t="s">
        <v>1042</v>
      </c>
      <c r="L387" s="397"/>
      <c r="M387" s="397"/>
      <c r="O387" s="397"/>
      <c r="P387" s="397"/>
      <c r="Q387" s="397" t="s">
        <v>847</v>
      </c>
      <c r="T387" s="398"/>
    </row>
    <row r="388" spans="1:20" ht="14.1" customHeight="1" x14ac:dyDescent="0.2">
      <c r="G388" s="395" t="s">
        <v>1043</v>
      </c>
      <c r="L388" s="399"/>
      <c r="M388" s="398"/>
      <c r="P388" s="399"/>
      <c r="Q388" s="311" t="s">
        <v>919</v>
      </c>
      <c r="R388" s="310" t="s">
        <v>920</v>
      </c>
      <c r="T388" s="399"/>
    </row>
    <row r="389" spans="1:20" ht="14.1" customHeight="1" x14ac:dyDescent="0.2">
      <c r="A389" s="395" t="s">
        <v>310</v>
      </c>
      <c r="L389" s="399"/>
      <c r="M389" s="398"/>
      <c r="N389" s="399"/>
      <c r="Q389" s="311"/>
      <c r="R389" s="310" t="s">
        <v>937</v>
      </c>
      <c r="T389" s="399"/>
    </row>
    <row r="390" spans="1:20" ht="14.1" customHeight="1" x14ac:dyDescent="0.2">
      <c r="L390" s="399"/>
      <c r="M390" s="398"/>
      <c r="N390" s="399"/>
      <c r="Q390" s="311"/>
      <c r="R390" s="310" t="s">
        <v>938</v>
      </c>
      <c r="T390" s="399"/>
    </row>
    <row r="391" spans="1:20" ht="14.1" customHeight="1" thickBot="1" x14ac:dyDescent="0.25">
      <c r="A391" s="396" t="s">
        <v>1022</v>
      </c>
      <c r="B391" s="396"/>
      <c r="C391" s="396"/>
      <c r="D391" s="396"/>
      <c r="E391" s="396"/>
      <c r="F391" s="396"/>
      <c r="G391" s="396"/>
      <c r="H391" s="396"/>
      <c r="I391" s="400"/>
      <c r="J391" s="396"/>
      <c r="K391" s="396"/>
      <c r="L391" s="396"/>
      <c r="M391" s="396"/>
      <c r="N391" s="396"/>
      <c r="O391" s="396"/>
      <c r="P391" s="396"/>
      <c r="Q391" s="396"/>
      <c r="R391" s="396" t="s">
        <v>311</v>
      </c>
      <c r="S391" s="396"/>
      <c r="T391" s="396"/>
    </row>
    <row r="392" spans="1:20" ht="14.1" customHeight="1" x14ac:dyDescent="0.2">
      <c r="A392" s="395" t="str">
        <f>IF(+A$8="","",A$8)</f>
        <v/>
      </c>
      <c r="B392" s="402" t="str">
        <f t="shared" ref="B392:T392" si="40">IF(+B$8="","",B$8)</f>
        <v/>
      </c>
      <c r="C392" s="402" t="str">
        <f t="shared" si="40"/>
        <v>(1)</v>
      </c>
      <c r="D392" s="402" t="str">
        <f t="shared" si="40"/>
        <v/>
      </c>
      <c r="E392" s="402" t="str">
        <f t="shared" si="40"/>
        <v/>
      </c>
      <c r="F392" s="402" t="str">
        <f t="shared" si="40"/>
        <v>(2)</v>
      </c>
      <c r="G392" s="402" t="str">
        <f t="shared" si="40"/>
        <v/>
      </c>
      <c r="H392" s="402" t="str">
        <f>IF(+H$8="","",H$8)</f>
        <v/>
      </c>
      <c r="I392" s="402" t="str">
        <f>IF(+I$8="","",I$8)</f>
        <v>(3)</v>
      </c>
      <c r="J392" s="402" t="str">
        <f>IF(+J$8="","",J$8)</f>
        <v/>
      </c>
      <c r="K392" s="402"/>
      <c r="L392" s="402" t="str">
        <f t="shared" si="40"/>
        <v>(4)</v>
      </c>
      <c r="M392" s="402" t="str">
        <f t="shared" si="40"/>
        <v/>
      </c>
      <c r="N392" s="402" t="str">
        <f t="shared" si="40"/>
        <v>(5)</v>
      </c>
      <c r="O392" s="402" t="str">
        <f t="shared" si="40"/>
        <v/>
      </c>
      <c r="Q392" s="402" t="str">
        <f>IF(+Q$8="","",Q$8)</f>
        <v>(6)</v>
      </c>
      <c r="R392" s="402" t="str">
        <f t="shared" si="40"/>
        <v/>
      </c>
      <c r="S392" s="402" t="str">
        <f t="shared" si="40"/>
        <v/>
      </c>
      <c r="T392" s="402" t="str">
        <f t="shared" si="40"/>
        <v/>
      </c>
    </row>
    <row r="393" spans="1:20" ht="14.1" customHeight="1" x14ac:dyDescent="0.2">
      <c r="A393" s="395" t="str">
        <f>IF(+A$9="","",A$9)</f>
        <v/>
      </c>
      <c r="B393" s="402" t="str">
        <f t="shared" ref="B393:T393" si="41">IF(+B$9="","",B$9)</f>
        <v/>
      </c>
      <c r="C393" s="402" t="str">
        <f t="shared" si="41"/>
        <v/>
      </c>
      <c r="D393" s="402" t="str">
        <f t="shared" si="41"/>
        <v/>
      </c>
      <c r="E393" s="402" t="str">
        <f t="shared" si="41"/>
        <v/>
      </c>
      <c r="F393" s="402" t="str">
        <f t="shared" si="41"/>
        <v/>
      </c>
      <c r="G393" s="402" t="str">
        <f t="shared" si="41"/>
        <v/>
      </c>
      <c r="H393" s="402" t="str">
        <f>IF(+H$9="","",H$9)</f>
        <v/>
      </c>
      <c r="I393" s="402" t="str">
        <f>IF(+I$9="","",I$9)</f>
        <v/>
      </c>
      <c r="J393" s="402" t="str">
        <f>IF(+J$9="","",J$9)</f>
        <v/>
      </c>
      <c r="K393" s="402"/>
      <c r="L393" s="402" t="str">
        <f t="shared" si="41"/>
        <v/>
      </c>
      <c r="M393" s="402" t="str">
        <f t="shared" si="41"/>
        <v/>
      </c>
      <c r="N393" s="402" t="str">
        <f t="shared" si="41"/>
        <v/>
      </c>
      <c r="O393" s="402" t="str">
        <f t="shared" si="41"/>
        <v/>
      </c>
      <c r="Q393" s="402" t="str">
        <f>IF(+Q$9="","",Q$9)</f>
        <v/>
      </c>
      <c r="R393" s="402" t="str">
        <f t="shared" si="41"/>
        <v/>
      </c>
      <c r="S393" s="402" t="str">
        <f t="shared" si="41"/>
        <v/>
      </c>
      <c r="T393" s="402" t="str">
        <f t="shared" si="41"/>
        <v/>
      </c>
    </row>
    <row r="394" spans="1:20" ht="14.1" customHeight="1" x14ac:dyDescent="0.2">
      <c r="A394" s="395" t="str">
        <f>IF(+A$10="","",A$10)</f>
        <v/>
      </c>
      <c r="B394" s="402" t="str">
        <f t="shared" ref="B394:T394" si="42">IF(+B$10="","",B$10)</f>
        <v/>
      </c>
      <c r="C394" s="402" t="str">
        <f t="shared" si="42"/>
        <v xml:space="preserve">Current </v>
      </c>
      <c r="D394" s="402" t="str">
        <f t="shared" si="42"/>
        <v/>
      </c>
      <c r="E394" s="402" t="str">
        <f t="shared" si="42"/>
        <v/>
      </c>
      <c r="F394" s="402" t="str">
        <f t="shared" si="42"/>
        <v/>
      </c>
      <c r="G394" s="402" t="str">
        <f t="shared" si="42"/>
        <v/>
      </c>
      <c r="H394" s="402" t="str">
        <f>IF(+H$10="","",H$10)</f>
        <v/>
      </c>
      <c r="I394" s="402" t="str">
        <f>IF(+I$10="","",I$10)</f>
        <v/>
      </c>
      <c r="J394" s="402" t="str">
        <f>IF(+J$10="","",J$10)</f>
        <v/>
      </c>
      <c r="K394" s="402"/>
      <c r="L394" s="402" t="str">
        <f t="shared" si="42"/>
        <v>Proposed</v>
      </c>
      <c r="M394" s="402" t="str">
        <f t="shared" si="42"/>
        <v/>
      </c>
      <c r="N394" s="402" t="str">
        <f t="shared" si="42"/>
        <v/>
      </c>
      <c r="O394" s="402" t="str">
        <f t="shared" si="42"/>
        <v/>
      </c>
      <c r="Q394" s="402" t="str">
        <f>IF(+Q$10="","",Q$10)</f>
        <v>Percent</v>
      </c>
      <c r="R394" s="402" t="str">
        <f t="shared" si="42"/>
        <v/>
      </c>
      <c r="S394" s="402" t="str">
        <f t="shared" si="42"/>
        <v/>
      </c>
      <c r="T394" s="402" t="str">
        <f t="shared" si="42"/>
        <v/>
      </c>
    </row>
    <row r="395" spans="1:20" ht="14.1" customHeight="1" x14ac:dyDescent="0.2">
      <c r="A395" s="395" t="str">
        <f>IF(+A$11="","",A$11)</f>
        <v>Line</v>
      </c>
      <c r="B395" s="402" t="str">
        <f t="shared" ref="B395:T395" si="43">IF(+B$11="","",B$11)</f>
        <v/>
      </c>
      <c r="C395" s="402" t="str">
        <f t="shared" si="43"/>
        <v>Rate</v>
      </c>
      <c r="D395" s="402" t="str">
        <f t="shared" si="43"/>
        <v/>
      </c>
      <c r="E395" s="402" t="str">
        <f t="shared" si="43"/>
        <v/>
      </c>
      <c r="F395" s="402" t="str">
        <f t="shared" si="43"/>
        <v/>
      </c>
      <c r="G395" s="402" t="str">
        <f t="shared" si="43"/>
        <v/>
      </c>
      <c r="H395" s="402" t="str">
        <f>IF(+H$11="","",H$11)</f>
        <v/>
      </c>
      <c r="I395" s="402" t="str">
        <f>IF(+I$11="","",I$11)</f>
        <v>Current</v>
      </c>
      <c r="J395" s="402" t="str">
        <f>IF(+J$11="","",J$11)</f>
        <v/>
      </c>
      <c r="K395" s="402"/>
      <c r="L395" s="402" t="str">
        <f t="shared" si="43"/>
        <v>Rate</v>
      </c>
      <c r="M395" s="402" t="str">
        <f t="shared" si="43"/>
        <v/>
      </c>
      <c r="N395" s="402" t="str">
        <f t="shared" si="43"/>
        <v>Proposed</v>
      </c>
      <c r="O395" s="402" t="str">
        <f t="shared" si="43"/>
        <v/>
      </c>
      <c r="Q395" s="402" t="str">
        <f>IF(+Q$11="","",Q$11)</f>
        <v>Increase</v>
      </c>
      <c r="R395" s="402" t="str">
        <f t="shared" si="43"/>
        <v/>
      </c>
      <c r="S395" s="402" t="str">
        <f t="shared" si="43"/>
        <v/>
      </c>
      <c r="T395" s="402" t="str">
        <f t="shared" si="43"/>
        <v/>
      </c>
    </row>
    <row r="396" spans="1:20" ht="14.1" customHeight="1" thickBot="1" x14ac:dyDescent="0.25">
      <c r="A396" s="396" t="str">
        <f>IF(+A$12="","",A$12)</f>
        <v>No.</v>
      </c>
      <c r="B396" s="400" t="str">
        <f t="shared" ref="B396:T396" si="44">IF(+B$12="","",B$12)</f>
        <v/>
      </c>
      <c r="C396" s="400" t="str">
        <f t="shared" si="44"/>
        <v>Schedule</v>
      </c>
      <c r="D396" s="400" t="str">
        <f t="shared" si="44"/>
        <v/>
      </c>
      <c r="E396" s="400"/>
      <c r="F396" s="400" t="str">
        <f t="shared" si="44"/>
        <v>Type of Charge</v>
      </c>
      <c r="G396" s="400"/>
      <c r="H396" s="400" t="str">
        <f>IF(+H$12="","",H$12)</f>
        <v/>
      </c>
      <c r="I396" s="400" t="str">
        <f>IF(+I$12="","",I$12)</f>
        <v>Rate</v>
      </c>
      <c r="J396" s="400" t="str">
        <f>IF(+J$12="","",J$12)</f>
        <v/>
      </c>
      <c r="K396" s="400"/>
      <c r="L396" s="400" t="str">
        <f t="shared" si="44"/>
        <v>Schedule</v>
      </c>
      <c r="M396" s="400" t="str">
        <f t="shared" si="44"/>
        <v/>
      </c>
      <c r="N396" s="400" t="str">
        <f t="shared" si="44"/>
        <v>Rate</v>
      </c>
      <c r="O396" s="400" t="str">
        <f t="shared" si="44"/>
        <v/>
      </c>
      <c r="P396" s="396"/>
      <c r="Q396" s="400" t="str">
        <f>IF(+Q$12="","",Q$12)</f>
        <v>((5)-(3))/(3)</v>
      </c>
      <c r="R396" s="400" t="str">
        <f t="shared" si="44"/>
        <v/>
      </c>
      <c r="S396" s="400" t="str">
        <f t="shared" si="44"/>
        <v/>
      </c>
      <c r="T396" s="400" t="str">
        <f t="shared" si="44"/>
        <v/>
      </c>
    </row>
    <row r="397" spans="1:20" ht="14.1" customHeight="1" x14ac:dyDescent="0.2">
      <c r="A397" s="395">
        <v>1</v>
      </c>
      <c r="B397" s="493"/>
      <c r="C397" s="101" t="s">
        <v>453</v>
      </c>
      <c r="D397" s="74"/>
      <c r="E397" s="122" t="s">
        <v>327</v>
      </c>
      <c r="G397" s="65"/>
      <c r="H397" s="74"/>
      <c r="J397" s="74"/>
      <c r="K397" s="74"/>
      <c r="L397" s="101" t="s">
        <v>453</v>
      </c>
      <c r="M397" s="74"/>
      <c r="N397" s="74"/>
      <c r="O397" s="74"/>
      <c r="Q397" s="74"/>
      <c r="R397" s="74"/>
      <c r="S397" s="74"/>
      <c r="T397" s="74"/>
    </row>
    <row r="398" spans="1:20" ht="14.1" customHeight="1" x14ac:dyDescent="0.2">
      <c r="A398" s="395">
        <v>2</v>
      </c>
      <c r="B398" s="494"/>
      <c r="F398" s="134" t="s">
        <v>769</v>
      </c>
      <c r="H398" s="74"/>
      <c r="I398" s="93">
        <f>+ROUND('2025 GSLDSU Rate Class E-13c'!J18,2)</f>
        <v>83.9</v>
      </c>
      <c r="J398" s="74" t="s">
        <v>1050</v>
      </c>
      <c r="K398" s="74"/>
      <c r="L398" s="74"/>
      <c r="M398" s="65"/>
      <c r="N398" s="93">
        <f>+ROUND('2025 GSLDSU Rate Class E-13c'!Q18,2)</f>
        <v>127.62</v>
      </c>
      <c r="O398" s="74" t="s">
        <v>1050</v>
      </c>
      <c r="Q398" s="67">
        <f>IF(I398=0,0,+(N398-I398)/I398)</f>
        <v>0.52109654350417156</v>
      </c>
      <c r="R398" s="74"/>
      <c r="S398" s="74"/>
      <c r="T398" s="74"/>
    </row>
    <row r="399" spans="1:20" ht="14.1" customHeight="1" x14ac:dyDescent="0.2">
      <c r="A399" s="395">
        <v>3</v>
      </c>
      <c r="B399" s="494"/>
      <c r="C399" s="65"/>
      <c r="F399" s="395" t="s">
        <v>1067</v>
      </c>
      <c r="I399" s="93">
        <f>+ROUND('2025 GSLDSU Rate Class E-13c'!J19,2)</f>
        <v>83.9</v>
      </c>
      <c r="J399" s="74" t="s">
        <v>1050</v>
      </c>
      <c r="K399" s="74"/>
      <c r="N399" s="93">
        <f>+ROUND('2025 GSLDSU Rate Class E-13c'!Q19,2)</f>
        <v>127.62</v>
      </c>
      <c r="O399" s="74" t="s">
        <v>1050</v>
      </c>
      <c r="Q399" s="67">
        <f>IF(I399=0,0,+(N399-I399)/I399)</f>
        <v>0.52109654350417156</v>
      </c>
      <c r="R399" s="68"/>
      <c r="S399" s="68"/>
      <c r="T399" s="68"/>
    </row>
    <row r="400" spans="1:20" ht="14.1" customHeight="1" x14ac:dyDescent="0.2">
      <c r="A400" s="395">
        <v>4</v>
      </c>
      <c r="B400" s="494"/>
      <c r="C400" s="65"/>
      <c r="I400" s="93"/>
      <c r="N400" s="93"/>
      <c r="R400" s="68"/>
      <c r="S400" s="68"/>
      <c r="T400" s="68"/>
    </row>
    <row r="401" spans="1:20" ht="14.1" customHeight="1" x14ac:dyDescent="0.2">
      <c r="A401" s="395">
        <v>5</v>
      </c>
      <c r="B401" s="494"/>
      <c r="C401" s="65"/>
      <c r="E401" s="133" t="s">
        <v>343</v>
      </c>
      <c r="G401" s="65"/>
      <c r="H401" s="68"/>
      <c r="I401" s="93"/>
      <c r="J401" s="64"/>
      <c r="K401" s="64"/>
      <c r="L401" s="68"/>
      <c r="M401" s="64"/>
      <c r="N401" s="93"/>
      <c r="O401" s="64"/>
      <c r="Q401" s="68"/>
      <c r="R401" s="68"/>
      <c r="S401" s="68"/>
      <c r="T401" s="68"/>
    </row>
    <row r="402" spans="1:20" ht="14.1" customHeight="1" x14ac:dyDescent="0.2">
      <c r="A402" s="395">
        <v>6</v>
      </c>
      <c r="B402" s="494"/>
      <c r="C402" s="65"/>
      <c r="F402" s="134" t="s">
        <v>769</v>
      </c>
      <c r="I402" s="148">
        <f>+ROUND('2025 GSLDSU Rate Class E-13c'!J23,5)</f>
        <v>1.1509999999999999E-2</v>
      </c>
      <c r="J402" s="127" t="s">
        <v>1123</v>
      </c>
      <c r="K402" s="68"/>
      <c r="N402" s="148">
        <f>+ROUND('2025 GSLDSU Rate Class E-13c'!Q23,5)</f>
        <v>1.163E-2</v>
      </c>
      <c r="O402" s="127" t="s">
        <v>1123</v>
      </c>
      <c r="Q402" s="67">
        <f t="shared" ref="Q402:Q404" si="45">IF(I402=0,0,+(N402-I402)/I402)</f>
        <v>1.042571676802783E-2</v>
      </c>
      <c r="R402" s="68"/>
      <c r="S402" s="68"/>
      <c r="T402" s="68"/>
    </row>
    <row r="403" spans="1:20" ht="14.1" customHeight="1" x14ac:dyDescent="0.2">
      <c r="A403" s="395">
        <v>7</v>
      </c>
      <c r="B403" s="494"/>
      <c r="C403" s="74"/>
      <c r="F403" s="395" t="s">
        <v>1686</v>
      </c>
      <c r="I403" s="148">
        <f>+ROUND('2025 GSLDSU Rate Class E-13c'!J24,5)</f>
        <v>1.3860000000000001E-2</v>
      </c>
      <c r="J403" s="127" t="s">
        <v>1123</v>
      </c>
      <c r="K403" s="68"/>
      <c r="N403" s="148">
        <f>+ROUND('2025 GSLDSU Rate Class E-13c'!Q24,5)</f>
        <v>2.095E-2</v>
      </c>
      <c r="O403" s="127" t="s">
        <v>1123</v>
      </c>
      <c r="Q403" s="67">
        <f t="shared" si="45"/>
        <v>0.51154401154401141</v>
      </c>
      <c r="R403" s="68"/>
      <c r="S403" s="68"/>
      <c r="T403" s="68"/>
    </row>
    <row r="404" spans="1:20" ht="14.1" customHeight="1" x14ac:dyDescent="0.2">
      <c r="A404" s="395">
        <v>8</v>
      </c>
      <c r="B404" s="494"/>
      <c r="C404" s="74"/>
      <c r="F404" s="395" t="s">
        <v>1687</v>
      </c>
      <c r="I404" s="148">
        <f>+ROUND('2025 GSLDSU Rate Class E-13c'!J25,5)</f>
        <v>1.078E-2</v>
      </c>
      <c r="J404" s="127" t="s">
        <v>1123</v>
      </c>
      <c r="K404" s="68"/>
      <c r="N404" s="148">
        <f>+ROUND('2025 GSLDSU Rate Class E-13c'!Q25,5)</f>
        <v>1.023E-2</v>
      </c>
      <c r="O404" s="127" t="s">
        <v>1123</v>
      </c>
      <c r="Q404" s="67">
        <f t="shared" si="45"/>
        <v>-5.1020408163265321E-2</v>
      </c>
      <c r="R404" s="68"/>
      <c r="S404" s="68"/>
      <c r="T404" s="68"/>
    </row>
    <row r="405" spans="1:20" ht="14.1" customHeight="1" x14ac:dyDescent="0.2">
      <c r="A405" s="395">
        <v>9</v>
      </c>
      <c r="B405" s="494"/>
      <c r="C405" s="74"/>
      <c r="F405" s="395" t="s">
        <v>1685</v>
      </c>
      <c r="I405" s="148">
        <f>+ROUND('2025 GSLDSU Rate Class E-13c'!J26,5)</f>
        <v>0</v>
      </c>
      <c r="J405" s="127" t="s">
        <v>1123</v>
      </c>
      <c r="N405" s="148">
        <f>+ROUND('2025 GSLDSU Rate Class E-13c'!Q26,5)</f>
        <v>7.1900000000000002E-3</v>
      </c>
      <c r="O405" s="127" t="s">
        <v>1123</v>
      </c>
      <c r="R405" s="68"/>
      <c r="S405" s="68"/>
      <c r="T405" s="68"/>
    </row>
    <row r="406" spans="1:20" ht="14.1" customHeight="1" x14ac:dyDescent="0.2">
      <c r="A406" s="395">
        <v>10</v>
      </c>
      <c r="B406" s="494"/>
      <c r="C406" s="74"/>
      <c r="R406" s="68"/>
      <c r="S406" s="68"/>
      <c r="T406" s="68"/>
    </row>
    <row r="407" spans="1:20" ht="14.1" customHeight="1" x14ac:dyDescent="0.2">
      <c r="A407" s="395">
        <v>11</v>
      </c>
      <c r="B407" s="494"/>
      <c r="C407" s="74"/>
      <c r="E407" s="398" t="s">
        <v>380</v>
      </c>
      <c r="R407" s="68"/>
      <c r="S407" s="68"/>
      <c r="T407" s="68"/>
    </row>
    <row r="408" spans="1:20" ht="14.1" customHeight="1" x14ac:dyDescent="0.2">
      <c r="A408" s="395">
        <v>12</v>
      </c>
      <c r="B408" s="494"/>
      <c r="C408" s="74"/>
      <c r="F408" s="134" t="s">
        <v>1071</v>
      </c>
      <c r="G408" s="74"/>
      <c r="H408" s="68"/>
      <c r="I408" s="93">
        <f>+ROUND('2025 GSLDSU Rate Class E-13c'!J30,2)</f>
        <v>9.2899999999999991</v>
      </c>
      <c r="J408" s="68" t="s">
        <v>1018</v>
      </c>
      <c r="K408" s="68"/>
      <c r="L408" s="68"/>
      <c r="M408" s="68"/>
      <c r="N408" s="93">
        <f>+ROUND('2025 GSLDSU Rate Class E-13c'!Q30,2)</f>
        <v>12.77</v>
      </c>
      <c r="O408" s="68" t="s">
        <v>1018</v>
      </c>
      <c r="Q408" s="67">
        <f>IF(I408=0,0,+(N408-I408)/I408)</f>
        <v>0.37459634015069976</v>
      </c>
      <c r="R408" s="68"/>
      <c r="S408" s="68"/>
      <c r="T408" s="68"/>
    </row>
    <row r="409" spans="1:20" ht="14.1" customHeight="1" x14ac:dyDescent="0.2">
      <c r="A409" s="395">
        <v>13</v>
      </c>
      <c r="B409" s="494"/>
      <c r="C409" s="74"/>
      <c r="F409" s="395" t="s">
        <v>1111</v>
      </c>
      <c r="I409" s="93">
        <f>+ROUND('2025 GSLDSU Rate Class E-13c'!J31,2)</f>
        <v>2.95</v>
      </c>
      <c r="J409" s="68" t="s">
        <v>1018</v>
      </c>
      <c r="K409" s="68"/>
      <c r="N409" s="93">
        <f>+ROUND('2025 GSLDSU Rate Class E-13c'!Q31,2)</f>
        <v>1.55</v>
      </c>
      <c r="O409" s="68" t="s">
        <v>1018</v>
      </c>
      <c r="Q409" s="67">
        <f>IF(I409=0,0,+(N409-I409)/I409)</f>
        <v>-0.47457627118644069</v>
      </c>
      <c r="R409" s="68"/>
      <c r="S409" s="68"/>
      <c r="T409" s="68"/>
    </row>
    <row r="410" spans="1:20" ht="14.1" customHeight="1" x14ac:dyDescent="0.2">
      <c r="A410" s="395">
        <v>14</v>
      </c>
      <c r="B410" s="494"/>
      <c r="C410" s="74"/>
      <c r="F410" s="395" t="s">
        <v>1112</v>
      </c>
      <c r="H410" s="68"/>
      <c r="I410" s="93">
        <f>+ROUND('2025 GSLDSU Rate Class E-13c'!J32,2)</f>
        <v>6.31</v>
      </c>
      <c r="J410" s="68" t="s">
        <v>1018</v>
      </c>
      <c r="K410" s="68"/>
      <c r="L410" s="68"/>
      <c r="M410" s="68"/>
      <c r="N410" s="93">
        <f>+ROUND('2025 GSLDSU Rate Class E-13c'!Q32,2)</f>
        <v>11.22</v>
      </c>
      <c r="O410" s="68" t="s">
        <v>1018</v>
      </c>
      <c r="Q410" s="67">
        <f>IF(I410=0,0,+(N410-I410)/I410)</f>
        <v>0.77812995245641858</v>
      </c>
      <c r="R410" s="68"/>
      <c r="S410" s="68"/>
      <c r="T410" s="68"/>
    </row>
    <row r="411" spans="1:20" ht="14.1" customHeight="1" x14ac:dyDescent="0.2">
      <c r="A411" s="395">
        <v>15</v>
      </c>
      <c r="B411" s="494"/>
      <c r="C411" s="74"/>
      <c r="G411" s="74"/>
      <c r="H411" s="68"/>
      <c r="I411" s="93"/>
      <c r="J411" s="68"/>
      <c r="K411" s="68"/>
      <c r="L411" s="68"/>
      <c r="M411" s="68"/>
      <c r="N411" s="93"/>
      <c r="O411" s="68"/>
      <c r="Q411" s="67"/>
      <c r="R411" s="68"/>
      <c r="S411" s="68"/>
      <c r="T411" s="68"/>
    </row>
    <row r="412" spans="1:20" ht="14.1" customHeight="1" x14ac:dyDescent="0.2">
      <c r="A412" s="395">
        <v>16</v>
      </c>
      <c r="B412" s="494"/>
      <c r="C412" s="74"/>
      <c r="E412" s="118" t="s">
        <v>1113</v>
      </c>
      <c r="G412" s="68"/>
      <c r="H412" s="68"/>
      <c r="I412" s="93">
        <f>+ROUND('2025 GSLDSU Rate Class E-13c'!J36,2)</f>
        <v>0.68</v>
      </c>
      <c r="J412" s="68" t="s">
        <v>1018</v>
      </c>
      <c r="K412" s="68"/>
      <c r="L412" s="68"/>
      <c r="M412" s="68"/>
      <c r="N412" s="93">
        <f>+ROUND('2025 GSLDSU Rate Class E-13c'!Q36,2)</f>
        <v>1.02</v>
      </c>
      <c r="O412" s="68" t="s">
        <v>1018</v>
      </c>
      <c r="Q412" s="67">
        <f>IF(I412=0,0,+(N412-I412)/I412)</f>
        <v>0.49999999999999994</v>
      </c>
      <c r="R412" s="68"/>
      <c r="S412" s="68"/>
      <c r="T412" s="68"/>
    </row>
    <row r="413" spans="1:20" ht="14.1" customHeight="1" x14ac:dyDescent="0.2">
      <c r="A413" s="395">
        <v>17</v>
      </c>
      <c r="B413" s="494"/>
      <c r="C413" s="74"/>
      <c r="R413" s="68"/>
      <c r="S413" s="68"/>
      <c r="T413" s="68"/>
    </row>
    <row r="414" spans="1:20" ht="14.1" customHeight="1" x14ac:dyDescent="0.2">
      <c r="A414" s="395">
        <v>18</v>
      </c>
      <c r="B414" s="494"/>
      <c r="C414" s="74"/>
      <c r="E414" s="395" t="s">
        <v>1080</v>
      </c>
      <c r="I414" s="152">
        <f>+ROUND('2025 GSLDSU Rate Class E-13c'!J41,5)</f>
        <v>2.0300000000000001E-3</v>
      </c>
      <c r="J414" s="395" t="s">
        <v>1081</v>
      </c>
      <c r="L414" s="68"/>
      <c r="M414" s="68"/>
      <c r="N414" s="152">
        <f>+ROUND('2025 GSLDSU Rate Class E-13c'!Q41,5)</f>
        <v>2.0300000000000001E-3</v>
      </c>
      <c r="O414" s="395" t="s">
        <v>1081</v>
      </c>
      <c r="Q414" s="67">
        <f>IF(I414=0,0,+(N414-I414)/I414)</f>
        <v>0</v>
      </c>
      <c r="R414" s="68"/>
      <c r="S414" s="68"/>
      <c r="T414" s="68"/>
    </row>
    <row r="415" spans="1:20" ht="14.1" customHeight="1" x14ac:dyDescent="0.2">
      <c r="A415" s="395">
        <v>19</v>
      </c>
      <c r="B415" s="494"/>
      <c r="C415" s="74"/>
      <c r="I415" s="500"/>
      <c r="L415" s="68"/>
      <c r="M415" s="68"/>
      <c r="N415" s="500"/>
      <c r="Q415" s="68"/>
      <c r="R415" s="68"/>
      <c r="S415" s="68"/>
      <c r="T415" s="68"/>
    </row>
    <row r="416" spans="1:20" ht="14.1" customHeight="1" x14ac:dyDescent="0.2">
      <c r="A416" s="395">
        <v>20</v>
      </c>
      <c r="B416" s="494"/>
      <c r="C416" s="74"/>
      <c r="E416" s="395" t="s">
        <v>1082</v>
      </c>
      <c r="F416" s="65"/>
      <c r="G416" s="68"/>
      <c r="H416" s="68"/>
      <c r="I416" s="152">
        <f>+ROUND('2025 GSLDSU Rate Class E-13c'!J45,5)</f>
        <v>-1.0200000000000001E-3</v>
      </c>
      <c r="J416" s="395" t="s">
        <v>1081</v>
      </c>
      <c r="L416" s="68"/>
      <c r="M416" s="68"/>
      <c r="N416" s="152">
        <f>+ROUND('2025 GSLDSU Rate Class E-13c'!Q45,5)</f>
        <v>-1.0200000000000001E-3</v>
      </c>
      <c r="O416" s="395" t="s">
        <v>1081</v>
      </c>
      <c r="Q416" s="67">
        <f>IF(I416=0,0,+(N416-I416)/I416)</f>
        <v>0</v>
      </c>
      <c r="R416" s="68"/>
      <c r="S416" s="68"/>
      <c r="T416" s="68"/>
    </row>
    <row r="417" spans="1:20" ht="14.1" customHeight="1" x14ac:dyDescent="0.2">
      <c r="A417" s="395">
        <v>21</v>
      </c>
      <c r="B417" s="494"/>
      <c r="C417" s="74"/>
      <c r="R417" s="68"/>
      <c r="S417" s="68"/>
      <c r="T417" s="68"/>
    </row>
    <row r="418" spans="1:20" ht="14.1" customHeight="1" x14ac:dyDescent="0.2">
      <c r="A418" s="395">
        <v>22</v>
      </c>
      <c r="B418" s="494"/>
      <c r="C418" s="74"/>
      <c r="E418" s="133"/>
      <c r="H418" s="68"/>
      <c r="I418" s="93"/>
      <c r="J418" s="68"/>
      <c r="K418" s="68"/>
      <c r="L418" s="68"/>
      <c r="M418" s="68"/>
      <c r="N418" s="93"/>
      <c r="O418" s="68"/>
      <c r="Q418" s="68"/>
      <c r="R418" s="68"/>
      <c r="S418" s="68"/>
      <c r="T418" s="68"/>
    </row>
    <row r="419" spans="1:20" ht="14.1" customHeight="1" x14ac:dyDescent="0.2">
      <c r="A419" s="395">
        <v>23</v>
      </c>
      <c r="B419" s="494"/>
      <c r="C419" s="74"/>
      <c r="F419" s="134"/>
      <c r="G419" s="68"/>
      <c r="H419" s="68"/>
      <c r="I419" s="144"/>
      <c r="J419" s="68"/>
      <c r="K419" s="68"/>
      <c r="L419" s="68"/>
      <c r="M419" s="68"/>
      <c r="N419" s="144"/>
      <c r="O419" s="68"/>
      <c r="Q419" s="67"/>
      <c r="R419" s="68"/>
      <c r="S419" s="68"/>
      <c r="T419" s="68"/>
    </row>
    <row r="420" spans="1:20" ht="14.1" customHeight="1" x14ac:dyDescent="0.2">
      <c r="A420" s="395">
        <v>24</v>
      </c>
      <c r="B420" s="494"/>
      <c r="C420" s="74"/>
      <c r="F420" s="134"/>
      <c r="G420" s="68"/>
      <c r="H420" s="68"/>
      <c r="I420" s="144"/>
      <c r="J420" s="68"/>
      <c r="K420" s="68"/>
      <c r="L420" s="68"/>
      <c r="M420" s="68"/>
      <c r="N420" s="144"/>
      <c r="O420" s="68"/>
      <c r="Q420" s="67"/>
      <c r="R420" s="68"/>
      <c r="S420" s="68"/>
      <c r="T420" s="68"/>
    </row>
    <row r="421" spans="1:20" ht="14.1" customHeight="1" x14ac:dyDescent="0.2">
      <c r="A421" s="395">
        <v>25</v>
      </c>
      <c r="B421" s="494"/>
      <c r="C421" s="74"/>
      <c r="G421" s="65"/>
      <c r="H421" s="68"/>
      <c r="I421" s="138"/>
      <c r="J421" s="68"/>
      <c r="K421" s="68"/>
      <c r="L421" s="68"/>
      <c r="M421" s="68"/>
      <c r="N421" s="93"/>
      <c r="O421" s="68"/>
      <c r="Q421" s="67"/>
      <c r="R421" s="68"/>
      <c r="S421" s="68"/>
      <c r="T421" s="68"/>
    </row>
    <row r="422" spans="1:20" ht="14.1" customHeight="1" x14ac:dyDescent="0.2">
      <c r="A422" s="395">
        <v>26</v>
      </c>
      <c r="B422" s="494"/>
      <c r="C422" s="74"/>
      <c r="R422" s="68"/>
      <c r="S422" s="68"/>
      <c r="T422" s="68"/>
    </row>
    <row r="423" spans="1:20" ht="14.1" customHeight="1" x14ac:dyDescent="0.2">
      <c r="A423" s="395">
        <v>27</v>
      </c>
      <c r="B423" s="494"/>
      <c r="C423" s="74"/>
      <c r="R423" s="68"/>
      <c r="S423" s="68"/>
      <c r="T423" s="68"/>
    </row>
    <row r="424" spans="1:20" ht="14.1" customHeight="1" x14ac:dyDescent="0.2">
      <c r="A424" s="395">
        <v>28</v>
      </c>
      <c r="B424" s="494"/>
      <c r="C424" s="74"/>
      <c r="R424" s="68"/>
      <c r="S424" s="68"/>
      <c r="T424" s="68"/>
    </row>
    <row r="425" spans="1:20" ht="14.1" customHeight="1" x14ac:dyDescent="0.2">
      <c r="A425" s="395">
        <v>29</v>
      </c>
      <c r="B425" s="494"/>
      <c r="C425" s="74"/>
      <c r="F425" s="134"/>
      <c r="G425" s="68"/>
      <c r="H425" s="68"/>
      <c r="I425" s="144"/>
      <c r="J425" s="68"/>
      <c r="K425" s="68"/>
      <c r="L425" s="68"/>
      <c r="M425" s="68"/>
      <c r="N425" s="144"/>
      <c r="O425" s="68"/>
      <c r="Q425" s="67"/>
      <c r="R425" s="68"/>
      <c r="S425" s="68"/>
      <c r="T425" s="68"/>
    </row>
    <row r="426" spans="1:20" ht="14.1" customHeight="1" x14ac:dyDescent="0.2">
      <c r="A426" s="395">
        <v>30</v>
      </c>
      <c r="B426" s="494"/>
      <c r="C426" s="74"/>
      <c r="F426" s="134"/>
      <c r="G426" s="68"/>
      <c r="H426" s="68"/>
      <c r="I426" s="144"/>
      <c r="J426" s="68"/>
      <c r="K426" s="68"/>
      <c r="L426" s="68"/>
      <c r="M426" s="68"/>
      <c r="N426" s="144"/>
      <c r="O426" s="68"/>
      <c r="Q426" s="67"/>
      <c r="R426" s="68"/>
      <c r="S426" s="68"/>
      <c r="T426" s="68"/>
    </row>
    <row r="427" spans="1:20" ht="14.1" customHeight="1" x14ac:dyDescent="0.2">
      <c r="A427" s="395">
        <v>31</v>
      </c>
      <c r="B427" s="494"/>
      <c r="C427" s="74"/>
      <c r="F427" s="134"/>
      <c r="G427" s="68"/>
      <c r="H427" s="68"/>
      <c r="I427" s="144"/>
      <c r="J427" s="68"/>
      <c r="K427" s="68"/>
      <c r="L427" s="68"/>
      <c r="M427" s="68"/>
      <c r="N427" s="144"/>
      <c r="O427" s="68"/>
      <c r="Q427" s="67"/>
      <c r="R427" s="68"/>
      <c r="S427" s="68"/>
      <c r="T427" s="68"/>
    </row>
    <row r="428" spans="1:20" ht="14.1" customHeight="1" x14ac:dyDescent="0.2">
      <c r="A428" s="395">
        <v>32</v>
      </c>
      <c r="B428" s="494"/>
      <c r="C428" s="74"/>
      <c r="F428" s="134"/>
      <c r="G428" s="68"/>
      <c r="H428" s="68"/>
      <c r="I428" s="144"/>
      <c r="J428" s="68"/>
      <c r="K428" s="68"/>
      <c r="L428" s="68"/>
      <c r="M428" s="68"/>
      <c r="N428" s="144"/>
      <c r="O428" s="68"/>
      <c r="Q428" s="67"/>
      <c r="R428" s="68"/>
      <c r="S428" s="68"/>
      <c r="T428" s="68"/>
    </row>
    <row r="429" spans="1:20" ht="14.1" customHeight="1" x14ac:dyDescent="0.2">
      <c r="A429" s="395">
        <v>33</v>
      </c>
      <c r="B429" s="494"/>
      <c r="C429" s="74"/>
      <c r="F429" s="134"/>
      <c r="G429" s="68"/>
      <c r="H429" s="68"/>
      <c r="I429" s="144"/>
      <c r="J429" s="68"/>
      <c r="K429" s="68"/>
      <c r="L429" s="68"/>
      <c r="M429" s="68"/>
      <c r="N429" s="144"/>
      <c r="O429" s="68"/>
      <c r="Q429" s="67"/>
      <c r="R429" s="68"/>
      <c r="S429" s="68"/>
      <c r="T429" s="68"/>
    </row>
    <row r="430" spans="1:20" ht="14.1" customHeight="1" x14ac:dyDescent="0.2">
      <c r="A430" s="395">
        <v>34</v>
      </c>
      <c r="B430" s="494"/>
      <c r="C430" s="74"/>
      <c r="F430" s="134"/>
      <c r="G430" s="68"/>
      <c r="H430" s="68"/>
      <c r="I430" s="144"/>
      <c r="J430" s="68"/>
      <c r="K430" s="68"/>
      <c r="L430" s="68"/>
      <c r="M430" s="68"/>
      <c r="N430" s="144"/>
      <c r="O430" s="68"/>
      <c r="Q430" s="67"/>
      <c r="R430" s="68"/>
      <c r="S430" s="68"/>
      <c r="T430" s="68"/>
    </row>
    <row r="431" spans="1:20" ht="14.1" customHeight="1" x14ac:dyDescent="0.2">
      <c r="A431" s="395">
        <v>35</v>
      </c>
      <c r="B431" s="494"/>
      <c r="C431" s="74"/>
      <c r="F431" s="134"/>
      <c r="G431" s="68"/>
      <c r="H431" s="68"/>
      <c r="I431" s="144"/>
      <c r="J431" s="68"/>
      <c r="K431" s="68"/>
      <c r="L431" s="68"/>
      <c r="M431" s="68"/>
      <c r="N431" s="144"/>
      <c r="O431" s="68"/>
      <c r="Q431" s="67"/>
      <c r="R431" s="68"/>
      <c r="S431" s="68"/>
      <c r="T431" s="68"/>
    </row>
    <row r="432" spans="1:20" ht="14.1" customHeight="1" thickBot="1" x14ac:dyDescent="0.25">
      <c r="A432" s="496">
        <v>36</v>
      </c>
      <c r="B432" s="496"/>
      <c r="C432" s="136"/>
      <c r="D432" s="396"/>
      <c r="E432" s="396"/>
      <c r="F432" s="396"/>
      <c r="G432" s="396"/>
      <c r="H432" s="396"/>
      <c r="I432" s="146"/>
      <c r="J432" s="105"/>
      <c r="K432" s="105"/>
      <c r="L432" s="396"/>
      <c r="M432" s="396"/>
      <c r="N432" s="146"/>
      <c r="O432" s="105"/>
      <c r="P432" s="396"/>
      <c r="Q432" s="141"/>
      <c r="R432" s="105"/>
      <c r="S432" s="105"/>
      <c r="T432" s="105"/>
    </row>
    <row r="433" spans="1:20" ht="14.1" customHeight="1" x14ac:dyDescent="0.2">
      <c r="A433" s="395" t="str">
        <f>+$A$49</f>
        <v>Supporting Schedules:  E-7, E-14 Supplement</v>
      </c>
      <c r="R433" s="395" t="s">
        <v>1003</v>
      </c>
    </row>
    <row r="434" spans="1:20" ht="14.1" customHeight="1" thickBot="1" x14ac:dyDescent="0.25">
      <c r="A434" s="396" t="str">
        <f>+$A$2</f>
        <v>SCHEDULE A-3</v>
      </c>
      <c r="B434" s="396"/>
      <c r="C434" s="396"/>
      <c r="D434" s="396"/>
      <c r="E434" s="396"/>
      <c r="F434" s="396"/>
      <c r="G434" s="396"/>
      <c r="H434" s="396"/>
      <c r="I434" s="396" t="str">
        <f>+$I$2</f>
        <v>SUMMARY OF TARIFFS</v>
      </c>
      <c r="J434" s="396"/>
      <c r="K434" s="396"/>
      <c r="L434" s="396"/>
      <c r="M434" s="396"/>
      <c r="N434" s="396"/>
      <c r="O434" s="396"/>
      <c r="P434" s="396"/>
      <c r="Q434" s="396"/>
      <c r="R434" s="396"/>
      <c r="S434" s="396"/>
      <c r="T434" s="492" t="s">
        <v>1155</v>
      </c>
    </row>
    <row r="435" spans="1:20" ht="14.1" customHeight="1" x14ac:dyDescent="0.2">
      <c r="A435" s="395" t="s">
        <v>307</v>
      </c>
      <c r="F435" s="399" t="s">
        <v>1041</v>
      </c>
      <c r="G435" s="395" t="s">
        <v>1042</v>
      </c>
      <c r="L435" s="397"/>
      <c r="M435" s="397"/>
      <c r="O435" s="397"/>
      <c r="P435" s="397"/>
      <c r="Q435" s="397" t="s">
        <v>847</v>
      </c>
      <c r="T435" s="398"/>
    </row>
    <row r="436" spans="1:20" ht="14.1" customHeight="1" x14ac:dyDescent="0.2">
      <c r="G436" s="395" t="s">
        <v>1043</v>
      </c>
      <c r="L436" s="399"/>
      <c r="M436" s="398"/>
      <c r="P436" s="399"/>
      <c r="Q436" s="311" t="s">
        <v>919</v>
      </c>
      <c r="R436" s="310" t="s">
        <v>920</v>
      </c>
      <c r="T436" s="399"/>
    </row>
    <row r="437" spans="1:20" ht="14.1" customHeight="1" x14ac:dyDescent="0.2">
      <c r="A437" s="395" t="s">
        <v>310</v>
      </c>
      <c r="L437" s="399"/>
      <c r="M437" s="398"/>
      <c r="N437" s="399"/>
      <c r="Q437" s="311"/>
      <c r="R437" s="310" t="s">
        <v>937</v>
      </c>
      <c r="T437" s="399"/>
    </row>
    <row r="438" spans="1:20" ht="14.1" customHeight="1" x14ac:dyDescent="0.2">
      <c r="L438" s="399"/>
      <c r="M438" s="398"/>
      <c r="N438" s="399"/>
      <c r="Q438" s="311"/>
      <c r="R438" s="310" t="s">
        <v>938</v>
      </c>
      <c r="T438" s="399"/>
    </row>
    <row r="439" spans="1:20" ht="14.1" customHeight="1" thickBot="1" x14ac:dyDescent="0.25">
      <c r="A439" s="396" t="s">
        <v>1022</v>
      </c>
      <c r="B439" s="396"/>
      <c r="C439" s="396"/>
      <c r="D439" s="396"/>
      <c r="E439" s="396"/>
      <c r="F439" s="396"/>
      <c r="G439" s="396"/>
      <c r="H439" s="396"/>
      <c r="I439" s="400"/>
      <c r="J439" s="396"/>
      <c r="K439" s="396"/>
      <c r="L439" s="396"/>
      <c r="M439" s="396"/>
      <c r="N439" s="396"/>
      <c r="O439" s="396"/>
      <c r="P439" s="396"/>
      <c r="Q439" s="396"/>
      <c r="R439" s="396" t="s">
        <v>311</v>
      </c>
      <c r="S439" s="396"/>
      <c r="T439" s="396"/>
    </row>
    <row r="440" spans="1:20" ht="14.1" customHeight="1" x14ac:dyDescent="0.2">
      <c r="A440" s="395" t="str">
        <f>IF(+A$8="","",A$8)</f>
        <v/>
      </c>
      <c r="B440" s="402" t="str">
        <f t="shared" ref="B440:T440" si="46">IF(+B$8="","",B$8)</f>
        <v/>
      </c>
      <c r="C440" s="402" t="str">
        <f t="shared" si="46"/>
        <v>(1)</v>
      </c>
      <c r="D440" s="402" t="str">
        <f t="shared" si="46"/>
        <v/>
      </c>
      <c r="E440" s="402" t="str">
        <f t="shared" si="46"/>
        <v/>
      </c>
      <c r="F440" s="402" t="str">
        <f t="shared" si="46"/>
        <v>(2)</v>
      </c>
      <c r="G440" s="402" t="str">
        <f t="shared" si="46"/>
        <v/>
      </c>
      <c r="H440" s="402" t="str">
        <f>IF(+H$8="","",H$8)</f>
        <v/>
      </c>
      <c r="I440" s="402" t="str">
        <f>IF(+I$8="","",I$8)</f>
        <v>(3)</v>
      </c>
      <c r="J440" s="402" t="str">
        <f>IF(+J$8="","",J$8)</f>
        <v/>
      </c>
      <c r="K440" s="402"/>
      <c r="L440" s="402" t="str">
        <f t="shared" si="46"/>
        <v>(4)</v>
      </c>
      <c r="M440" s="402" t="str">
        <f t="shared" si="46"/>
        <v/>
      </c>
      <c r="N440" s="402" t="str">
        <f t="shared" si="46"/>
        <v>(5)</v>
      </c>
      <c r="O440" s="402" t="str">
        <f t="shared" si="46"/>
        <v/>
      </c>
      <c r="Q440" s="402" t="str">
        <f>IF(+Q$8="","",Q$8)</f>
        <v>(6)</v>
      </c>
      <c r="R440" s="402" t="str">
        <f t="shared" si="46"/>
        <v/>
      </c>
      <c r="S440" s="402" t="str">
        <f t="shared" si="46"/>
        <v/>
      </c>
      <c r="T440" s="402" t="str">
        <f t="shared" si="46"/>
        <v/>
      </c>
    </row>
    <row r="441" spans="1:20" ht="14.1" customHeight="1" x14ac:dyDescent="0.2">
      <c r="A441" s="395" t="str">
        <f>IF(+A$9="","",A$9)</f>
        <v/>
      </c>
      <c r="B441" s="402" t="str">
        <f t="shared" ref="B441:T441" si="47">IF(+B$9="","",B$9)</f>
        <v/>
      </c>
      <c r="C441" s="402" t="str">
        <f t="shared" si="47"/>
        <v/>
      </c>
      <c r="D441" s="402" t="str">
        <f t="shared" si="47"/>
        <v/>
      </c>
      <c r="E441" s="402" t="str">
        <f t="shared" si="47"/>
        <v/>
      </c>
      <c r="F441" s="402" t="str">
        <f t="shared" si="47"/>
        <v/>
      </c>
      <c r="G441" s="402" t="str">
        <f t="shared" si="47"/>
        <v/>
      </c>
      <c r="H441" s="402" t="str">
        <f>IF(+H$9="","",H$9)</f>
        <v/>
      </c>
      <c r="I441" s="402" t="str">
        <f>IF(+I$9="","",I$9)</f>
        <v/>
      </c>
      <c r="J441" s="402" t="str">
        <f>IF(+J$9="","",J$9)</f>
        <v/>
      </c>
      <c r="K441" s="402"/>
      <c r="L441" s="402" t="str">
        <f t="shared" si="47"/>
        <v/>
      </c>
      <c r="M441" s="402" t="str">
        <f t="shared" si="47"/>
        <v/>
      </c>
      <c r="N441" s="402" t="str">
        <f t="shared" si="47"/>
        <v/>
      </c>
      <c r="O441" s="402" t="str">
        <f t="shared" si="47"/>
        <v/>
      </c>
      <c r="Q441" s="402" t="str">
        <f>IF(+Q$9="","",Q$9)</f>
        <v/>
      </c>
      <c r="R441" s="402" t="str">
        <f t="shared" si="47"/>
        <v/>
      </c>
      <c r="S441" s="402" t="str">
        <f t="shared" si="47"/>
        <v/>
      </c>
      <c r="T441" s="402" t="str">
        <f t="shared" si="47"/>
        <v/>
      </c>
    </row>
    <row r="442" spans="1:20" ht="14.1" customHeight="1" x14ac:dyDescent="0.2">
      <c r="A442" s="395" t="str">
        <f>IF(+A$10="","",A$10)</f>
        <v/>
      </c>
      <c r="B442" s="402" t="str">
        <f t="shared" ref="B442:T442" si="48">IF(+B$10="","",B$10)</f>
        <v/>
      </c>
      <c r="C442" s="402" t="str">
        <f t="shared" si="48"/>
        <v xml:space="preserve">Current </v>
      </c>
      <c r="D442" s="402" t="str">
        <f t="shared" si="48"/>
        <v/>
      </c>
      <c r="E442" s="402" t="str">
        <f t="shared" si="48"/>
        <v/>
      </c>
      <c r="F442" s="402" t="str">
        <f t="shared" si="48"/>
        <v/>
      </c>
      <c r="G442" s="402" t="str">
        <f t="shared" si="48"/>
        <v/>
      </c>
      <c r="H442" s="402" t="str">
        <f>IF(+H$10="","",H$10)</f>
        <v/>
      </c>
      <c r="I442" s="402" t="str">
        <f>IF(+I$10="","",I$10)</f>
        <v/>
      </c>
      <c r="J442" s="402" t="str">
        <f>IF(+J$10="","",J$10)</f>
        <v/>
      </c>
      <c r="K442" s="402"/>
      <c r="L442" s="402" t="str">
        <f t="shared" si="48"/>
        <v>Proposed</v>
      </c>
      <c r="M442" s="402" t="str">
        <f t="shared" si="48"/>
        <v/>
      </c>
      <c r="N442" s="402" t="str">
        <f t="shared" si="48"/>
        <v/>
      </c>
      <c r="O442" s="402" t="str">
        <f t="shared" si="48"/>
        <v/>
      </c>
      <c r="Q442" s="402" t="str">
        <f>IF(+Q$10="","",Q$10)</f>
        <v>Percent</v>
      </c>
      <c r="R442" s="402" t="str">
        <f t="shared" si="48"/>
        <v/>
      </c>
      <c r="S442" s="402" t="str">
        <f t="shared" si="48"/>
        <v/>
      </c>
      <c r="T442" s="402" t="str">
        <f t="shared" si="48"/>
        <v/>
      </c>
    </row>
    <row r="443" spans="1:20" ht="14.1" customHeight="1" x14ac:dyDescent="0.2">
      <c r="A443" s="395" t="str">
        <f>IF(+A$11="","",A$11)</f>
        <v>Line</v>
      </c>
      <c r="B443" s="402" t="str">
        <f t="shared" ref="B443:T443" si="49">IF(+B$11="","",B$11)</f>
        <v/>
      </c>
      <c r="C443" s="402" t="str">
        <f t="shared" si="49"/>
        <v>Rate</v>
      </c>
      <c r="D443" s="402" t="str">
        <f t="shared" si="49"/>
        <v/>
      </c>
      <c r="E443" s="402" t="str">
        <f t="shared" si="49"/>
        <v/>
      </c>
      <c r="F443" s="402" t="str">
        <f t="shared" si="49"/>
        <v/>
      </c>
      <c r="G443" s="402" t="str">
        <f t="shared" si="49"/>
        <v/>
      </c>
      <c r="H443" s="402" t="str">
        <f>IF(+H$11="","",H$11)</f>
        <v/>
      </c>
      <c r="I443" s="402" t="str">
        <f>IF(+I$11="","",I$11)</f>
        <v>Current</v>
      </c>
      <c r="J443" s="402" t="str">
        <f>IF(+J$11="","",J$11)</f>
        <v/>
      </c>
      <c r="K443" s="402"/>
      <c r="L443" s="402" t="str">
        <f t="shared" si="49"/>
        <v>Rate</v>
      </c>
      <c r="M443" s="402" t="str">
        <f t="shared" si="49"/>
        <v/>
      </c>
      <c r="N443" s="402" t="str">
        <f t="shared" si="49"/>
        <v>Proposed</v>
      </c>
      <c r="O443" s="402" t="str">
        <f t="shared" si="49"/>
        <v/>
      </c>
      <c r="Q443" s="402" t="str">
        <f>IF(+Q$11="","",Q$11)</f>
        <v>Increase</v>
      </c>
      <c r="R443" s="402" t="str">
        <f t="shared" si="49"/>
        <v/>
      </c>
      <c r="S443" s="402" t="str">
        <f t="shared" si="49"/>
        <v/>
      </c>
      <c r="T443" s="402" t="str">
        <f t="shared" si="49"/>
        <v/>
      </c>
    </row>
    <row r="444" spans="1:20" ht="14.1" customHeight="1" thickBot="1" x14ac:dyDescent="0.25">
      <c r="A444" s="396" t="str">
        <f>IF(+A$12="","",A$12)</f>
        <v>No.</v>
      </c>
      <c r="B444" s="400" t="str">
        <f t="shared" ref="B444:T444" si="50">IF(+B$12="","",B$12)</f>
        <v/>
      </c>
      <c r="C444" s="400" t="str">
        <f t="shared" si="50"/>
        <v>Schedule</v>
      </c>
      <c r="D444" s="400" t="str">
        <f t="shared" si="50"/>
        <v/>
      </c>
      <c r="E444" s="400"/>
      <c r="F444" s="400" t="str">
        <f t="shared" si="50"/>
        <v>Type of Charge</v>
      </c>
      <c r="G444" s="400"/>
      <c r="H444" s="400" t="str">
        <f>IF(+H$12="","",H$12)</f>
        <v/>
      </c>
      <c r="I444" s="400" t="str">
        <f>IF(+I$12="","",I$12)</f>
        <v>Rate</v>
      </c>
      <c r="J444" s="400" t="str">
        <f>IF(+J$12="","",J$12)</f>
        <v/>
      </c>
      <c r="K444" s="400"/>
      <c r="L444" s="400" t="str">
        <f t="shared" si="50"/>
        <v>Schedule</v>
      </c>
      <c r="M444" s="400" t="str">
        <f t="shared" si="50"/>
        <v/>
      </c>
      <c r="N444" s="400" t="str">
        <f t="shared" si="50"/>
        <v>Rate</v>
      </c>
      <c r="O444" s="400" t="str">
        <f t="shared" si="50"/>
        <v/>
      </c>
      <c r="P444" s="396"/>
      <c r="Q444" s="400" t="str">
        <f>IF(+Q$12="","",Q$12)</f>
        <v>((5)-(3))/(3)</v>
      </c>
      <c r="R444" s="400" t="str">
        <f t="shared" si="50"/>
        <v/>
      </c>
      <c r="S444" s="400" t="str">
        <f t="shared" si="50"/>
        <v/>
      </c>
      <c r="T444" s="400" t="str">
        <f t="shared" si="50"/>
        <v/>
      </c>
    </row>
    <row r="445" spans="1:20" ht="14.1" customHeight="1" x14ac:dyDescent="0.2">
      <c r="A445" s="395">
        <v>1</v>
      </c>
      <c r="B445" s="493"/>
      <c r="C445" s="101" t="s">
        <v>459</v>
      </c>
      <c r="D445" s="74"/>
      <c r="G445" s="65"/>
      <c r="H445" s="74"/>
      <c r="J445" s="74"/>
      <c r="K445" s="74"/>
      <c r="L445" s="101" t="s">
        <v>459</v>
      </c>
      <c r="M445" s="74"/>
      <c r="N445" s="74"/>
      <c r="O445" s="74"/>
      <c r="Q445" s="74"/>
      <c r="R445" s="74"/>
      <c r="S445" s="74"/>
      <c r="T445" s="74"/>
    </row>
    <row r="446" spans="1:20" ht="14.1" customHeight="1" x14ac:dyDescent="0.2">
      <c r="A446" s="395">
        <v>2</v>
      </c>
      <c r="B446" s="493"/>
      <c r="C446" s="101"/>
      <c r="D446" s="74"/>
      <c r="E446" s="122" t="s">
        <v>327</v>
      </c>
      <c r="G446" s="65"/>
      <c r="H446" s="74"/>
      <c r="J446" s="74"/>
      <c r="K446" s="74"/>
      <c r="L446" s="101"/>
      <c r="M446" s="74"/>
      <c r="N446" s="74"/>
      <c r="O446" s="74"/>
      <c r="Q446" s="74"/>
      <c r="R446" s="74"/>
      <c r="S446" s="74"/>
      <c r="T446" s="74"/>
    </row>
    <row r="447" spans="1:20" ht="14.1" customHeight="1" x14ac:dyDescent="0.2">
      <c r="A447" s="395">
        <v>3</v>
      </c>
      <c r="B447" s="494"/>
      <c r="F447" s="134" t="s">
        <v>328</v>
      </c>
      <c r="G447" s="65"/>
      <c r="H447" s="74"/>
      <c r="I447" s="93">
        <f>+ROUND('2025 GSLDPR Rate Class E-13c'!J73,2)</f>
        <v>20.350000000000001</v>
      </c>
      <c r="J447" s="74" t="s">
        <v>1050</v>
      </c>
      <c r="K447" s="74"/>
      <c r="L447" s="74"/>
      <c r="M447" s="74"/>
      <c r="N447" s="93">
        <f>+ROUND('2025 GSLDPR Rate Class E-13c'!Q73,2)</f>
        <v>22.24</v>
      </c>
      <c r="O447" s="74" t="s">
        <v>1050</v>
      </c>
      <c r="Q447" s="67">
        <f>IF(I447=0,0,+(N447-I447)/I447)</f>
        <v>9.2874692874692716E-2</v>
      </c>
      <c r="R447" s="74"/>
      <c r="S447" s="74"/>
      <c r="T447" s="74"/>
    </row>
    <row r="448" spans="1:20" ht="14.1" customHeight="1" x14ac:dyDescent="0.2">
      <c r="A448" s="395">
        <v>4</v>
      </c>
      <c r="B448" s="494"/>
      <c r="F448" s="395" t="s">
        <v>1129</v>
      </c>
      <c r="H448" s="68"/>
      <c r="I448" s="93">
        <f>+ROUND('2025 GSLDPR Rate Class E-13c'!J74,2)</f>
        <v>20.350000000000001</v>
      </c>
      <c r="J448" s="74" t="s">
        <v>1050</v>
      </c>
      <c r="K448" s="74"/>
      <c r="L448" s="68"/>
      <c r="M448" s="64"/>
      <c r="N448" s="93">
        <f>+ROUND('2025 GSLDPR Rate Class E-13c'!Q74,2)</f>
        <v>22.24</v>
      </c>
      <c r="O448" s="74" t="s">
        <v>1050</v>
      </c>
      <c r="Q448" s="67">
        <f>IF(I448=0,0,+(N448-I448)/I448)</f>
        <v>9.2874692874692716E-2</v>
      </c>
      <c r="R448" s="68"/>
      <c r="S448" s="68"/>
      <c r="T448" s="68"/>
    </row>
    <row r="449" spans="1:20" ht="14.1" customHeight="1" x14ac:dyDescent="0.2">
      <c r="A449" s="395">
        <v>5</v>
      </c>
      <c r="B449" s="494"/>
      <c r="C449" s="65"/>
      <c r="R449" s="68"/>
      <c r="S449" s="68"/>
      <c r="T449" s="68"/>
    </row>
    <row r="450" spans="1:20" ht="14.1" customHeight="1" x14ac:dyDescent="0.2">
      <c r="A450" s="395">
        <v>6</v>
      </c>
      <c r="B450" s="494"/>
      <c r="C450" s="65"/>
      <c r="E450" s="398" t="s">
        <v>1084</v>
      </c>
      <c r="G450" s="74"/>
      <c r="H450" s="68"/>
      <c r="I450" s="93"/>
      <c r="J450" s="68"/>
      <c r="K450" s="68"/>
      <c r="L450" s="68"/>
      <c r="M450" s="64"/>
      <c r="N450" s="93"/>
      <c r="O450" s="68"/>
      <c r="Q450" s="68"/>
      <c r="R450" s="68"/>
      <c r="S450" s="68"/>
      <c r="T450" s="68"/>
    </row>
    <row r="451" spans="1:20" ht="14.1" customHeight="1" x14ac:dyDescent="0.2">
      <c r="A451" s="395">
        <v>7</v>
      </c>
      <c r="B451" s="494"/>
      <c r="C451" s="65"/>
      <c r="F451" s="134" t="s">
        <v>328</v>
      </c>
      <c r="G451" s="74"/>
      <c r="H451" s="68"/>
      <c r="I451" s="138">
        <f>+ROUND('2025 GSLDPR Rate Class E-13c'!J92,2)</f>
        <v>11.88</v>
      </c>
      <c r="J451" s="68" t="s">
        <v>1018</v>
      </c>
      <c r="K451" s="68"/>
      <c r="L451" s="68"/>
      <c r="M451" s="64"/>
      <c r="N451" s="138">
        <f>+ROUND('2025 GSLDPR Rate Class E-13c'!Q92,2)</f>
        <v>13</v>
      </c>
      <c r="O451" s="68" t="s">
        <v>1018</v>
      </c>
      <c r="Q451" s="67">
        <f>IF(I451=0,0,+(N451-I451)/I451)</f>
        <v>9.4276094276094208E-2</v>
      </c>
      <c r="R451" s="68"/>
      <c r="S451" s="68"/>
      <c r="T451" s="68"/>
    </row>
    <row r="452" spans="1:20" ht="14.1" customHeight="1" x14ac:dyDescent="0.2">
      <c r="A452" s="395">
        <v>8</v>
      </c>
      <c r="B452" s="494"/>
      <c r="C452" s="65"/>
      <c r="F452" s="395" t="s">
        <v>1126</v>
      </c>
      <c r="I452" s="138">
        <f>+ROUND('2025 GSLDPR Rate Class E-13c'!J93,2)</f>
        <v>3.77</v>
      </c>
      <c r="J452" s="68" t="s">
        <v>1018</v>
      </c>
      <c r="K452" s="68"/>
      <c r="N452" s="138">
        <f>+ROUND('2025 GSLDPR Rate Class E-13c'!Q93,2)</f>
        <v>2.93</v>
      </c>
      <c r="O452" s="68" t="s">
        <v>1018</v>
      </c>
      <c r="Q452" s="67">
        <f>IF(I452=0,0,+(N452-I452)/I452)</f>
        <v>-0.22281167108753311</v>
      </c>
      <c r="R452" s="68"/>
      <c r="S452" s="68"/>
      <c r="T452" s="68"/>
    </row>
    <row r="453" spans="1:20" ht="14.1" customHeight="1" x14ac:dyDescent="0.2">
      <c r="A453" s="395">
        <v>9</v>
      </c>
      <c r="B453" s="494"/>
      <c r="C453" s="74"/>
      <c r="F453" s="395" t="s">
        <v>1127</v>
      </c>
      <c r="I453" s="138">
        <f>+ROUND('2025 GSLDPR Rate Class E-13c'!J94,2)</f>
        <v>8.08</v>
      </c>
      <c r="J453" s="68" t="s">
        <v>1018</v>
      </c>
      <c r="K453" s="68"/>
      <c r="N453" s="138">
        <f>+ROUND('2025 GSLDPR Rate Class E-13c'!Q94,2)</f>
        <v>10.07</v>
      </c>
      <c r="O453" s="68" t="s">
        <v>1018</v>
      </c>
      <c r="Q453" s="138">
        <f>IF(I453=0,0,+(N453-I453)/I453)</f>
        <v>0.24628712871287131</v>
      </c>
      <c r="R453" s="68"/>
      <c r="S453" s="68"/>
      <c r="T453" s="68"/>
    </row>
    <row r="454" spans="1:20" ht="14.1" customHeight="1" x14ac:dyDescent="0.2">
      <c r="A454" s="395">
        <v>10</v>
      </c>
      <c r="B454" s="494"/>
      <c r="C454" s="74"/>
      <c r="I454" s="501"/>
      <c r="J454" s="68"/>
      <c r="K454" s="68"/>
      <c r="N454" s="501"/>
      <c r="O454" s="68"/>
      <c r="Q454" s="67"/>
      <c r="R454" s="68"/>
      <c r="S454" s="68"/>
      <c r="T454" s="68"/>
    </row>
    <row r="455" spans="1:20" ht="14.1" customHeight="1" x14ac:dyDescent="0.2">
      <c r="A455" s="395">
        <v>11</v>
      </c>
      <c r="B455" s="494"/>
      <c r="C455" s="74"/>
      <c r="E455" s="133" t="s">
        <v>1088</v>
      </c>
      <c r="R455" s="68"/>
      <c r="S455" s="68"/>
      <c r="T455" s="68"/>
    </row>
    <row r="456" spans="1:20" ht="14.1" customHeight="1" x14ac:dyDescent="0.2">
      <c r="A456" s="395">
        <v>12</v>
      </c>
      <c r="B456" s="494"/>
      <c r="C456" s="74"/>
      <c r="F456" s="134" t="s">
        <v>328</v>
      </c>
      <c r="I456" s="152">
        <f>+ROUND('2025 GSLDPR Rate Class E-13c'!J78,5)</f>
        <v>1.042E-2</v>
      </c>
      <c r="J456" s="127" t="s">
        <v>1123</v>
      </c>
      <c r="K456" s="68"/>
      <c r="N456" s="152">
        <f>+ROUND('2025 GSLDPR Rate Class E-13c'!Q78,5)</f>
        <v>1.0630000000000001E-2</v>
      </c>
      <c r="O456" s="127" t="s">
        <v>1123</v>
      </c>
      <c r="Q456" s="67">
        <f>IF(I456=0,0,+(N456-I456)/I456)</f>
        <v>2.015355086372362E-2</v>
      </c>
      <c r="R456" s="68"/>
      <c r="S456" s="68"/>
      <c r="T456" s="68"/>
    </row>
    <row r="457" spans="1:20" ht="14.1" customHeight="1" x14ac:dyDescent="0.2">
      <c r="A457" s="395">
        <v>13</v>
      </c>
      <c r="B457" s="494"/>
      <c r="C457" s="74"/>
      <c r="F457" s="395" t="s">
        <v>1069</v>
      </c>
      <c r="I457" s="152">
        <f>+ROUND('2025 GSLDPR Rate Class E-13c'!J79,5)</f>
        <v>1.584E-2</v>
      </c>
      <c r="J457" s="127" t="s">
        <v>1123</v>
      </c>
      <c r="K457" s="68"/>
      <c r="N457" s="152">
        <f>+ROUND('2025 GSLDPR Rate Class E-13c'!Q79,5)</f>
        <v>1.7250000000000001E-2</v>
      </c>
      <c r="O457" s="127" t="s">
        <v>1123</v>
      </c>
      <c r="Q457" s="67">
        <f>IF(I457=0,0,+(N457-I457)/I457)</f>
        <v>8.9015151515151617E-2</v>
      </c>
      <c r="R457" s="68"/>
      <c r="S457" s="68"/>
      <c r="T457" s="68"/>
    </row>
    <row r="458" spans="1:20" ht="14.1" customHeight="1" x14ac:dyDescent="0.2">
      <c r="A458" s="395">
        <v>14</v>
      </c>
      <c r="B458" s="494"/>
      <c r="C458" s="74"/>
      <c r="F458" s="395" t="s">
        <v>1070</v>
      </c>
      <c r="I458" s="152">
        <f>+ROUND('2025 GSLDPR Rate Class E-13c'!J80,5)</f>
        <v>8.4700000000000001E-3</v>
      </c>
      <c r="J458" s="127" t="s">
        <v>1123</v>
      </c>
      <c r="K458" s="68"/>
      <c r="N458" s="152">
        <f>+ROUND('2025 GSLDPR Rate Class E-13c'!Q80,5)</f>
        <v>1.048E-2</v>
      </c>
      <c r="O458" s="127" t="s">
        <v>1123</v>
      </c>
      <c r="Q458" s="67">
        <f>+(N458-I458)/I458</f>
        <v>0.23730814639905545</v>
      </c>
      <c r="R458" s="68"/>
      <c r="S458" s="68"/>
      <c r="T458" s="68"/>
    </row>
    <row r="459" spans="1:20" ht="14.1" customHeight="1" x14ac:dyDescent="0.2">
      <c r="A459" s="395">
        <v>15</v>
      </c>
      <c r="B459" s="494"/>
      <c r="C459" s="74"/>
      <c r="F459" s="395" t="s">
        <v>1606</v>
      </c>
      <c r="I459" s="152">
        <f>+ROUND('2025 GSLDPR Rate Class E-13c'!J81,5)</f>
        <v>0</v>
      </c>
      <c r="J459" s="127" t="s">
        <v>1123</v>
      </c>
      <c r="N459" s="152">
        <f>+ROUND('2025 GSLDPR Rate Class E-13c'!Q81,5)</f>
        <v>6.3E-3</v>
      </c>
      <c r="O459" s="127" t="s">
        <v>1123</v>
      </c>
      <c r="Q459" s="147" t="s">
        <v>1125</v>
      </c>
      <c r="R459" s="68"/>
      <c r="S459" s="68"/>
      <c r="T459" s="68"/>
    </row>
    <row r="460" spans="1:20" ht="14.1" customHeight="1" x14ac:dyDescent="0.2">
      <c r="A460" s="395">
        <v>16</v>
      </c>
      <c r="B460" s="494"/>
      <c r="C460" s="74"/>
      <c r="R460" s="68"/>
      <c r="S460" s="68"/>
      <c r="T460" s="68"/>
    </row>
    <row r="461" spans="1:20" ht="14.1" customHeight="1" x14ac:dyDescent="0.2">
      <c r="A461" s="395">
        <v>17</v>
      </c>
      <c r="B461" s="494"/>
      <c r="C461" s="74"/>
      <c r="E461" s="398" t="s">
        <v>1128</v>
      </c>
      <c r="G461" s="74"/>
      <c r="H461" s="68"/>
      <c r="I461" s="93"/>
      <c r="J461" s="68"/>
      <c r="K461" s="68"/>
      <c r="L461" s="68"/>
      <c r="M461" s="68"/>
      <c r="N461" s="93"/>
      <c r="O461" s="68"/>
      <c r="Q461" s="68"/>
      <c r="R461" s="68"/>
      <c r="S461" s="68"/>
      <c r="T461" s="68"/>
    </row>
    <row r="462" spans="1:20" ht="14.1" customHeight="1" x14ac:dyDescent="0.2">
      <c r="A462" s="395">
        <v>18</v>
      </c>
      <c r="B462" s="494"/>
      <c r="C462" s="74"/>
      <c r="F462" s="395" t="s">
        <v>1093</v>
      </c>
      <c r="G462" s="74"/>
      <c r="H462" s="68"/>
      <c r="I462" s="138">
        <f>+ROUND('2025 GSLDPR Rate Class E-13c'!J98,2)</f>
        <v>1.33</v>
      </c>
      <c r="J462" s="68" t="s">
        <v>1018</v>
      </c>
      <c r="K462" s="68"/>
      <c r="L462" s="68"/>
      <c r="M462" s="68"/>
      <c r="N462" s="138">
        <f>+ROUND('2025 GSLDPR Rate Class E-13c'!Q98,2)</f>
        <v>1.71</v>
      </c>
      <c r="O462" s="68" t="s">
        <v>1018</v>
      </c>
      <c r="Q462" s="67">
        <f>IF(I462=0,0,+(N462-I462)/I462)</f>
        <v>0.28571428571428564</v>
      </c>
      <c r="R462" s="68"/>
      <c r="S462" s="68"/>
      <c r="T462" s="68"/>
    </row>
    <row r="463" spans="1:20" ht="14.1" customHeight="1" x14ac:dyDescent="0.2">
      <c r="A463" s="395">
        <v>19</v>
      </c>
      <c r="B463" s="494"/>
      <c r="C463" s="74"/>
      <c r="F463" s="395" t="s">
        <v>1094</v>
      </c>
      <c r="L463" s="68"/>
      <c r="M463" s="68"/>
      <c r="Q463" s="68"/>
      <c r="R463" s="68"/>
      <c r="S463" s="68"/>
      <c r="T463" s="68"/>
    </row>
    <row r="464" spans="1:20" ht="14.1" customHeight="1" x14ac:dyDescent="0.2">
      <c r="A464" s="395">
        <v>20</v>
      </c>
      <c r="B464" s="494"/>
      <c r="C464" s="74"/>
      <c r="F464" s="395" t="s">
        <v>1095</v>
      </c>
      <c r="I464" s="138">
        <f>+ROUND('2025 GSLDPR Rate Class E-13c'!J99,2)</f>
        <v>1.43</v>
      </c>
      <c r="J464" s="395" t="s">
        <v>1096</v>
      </c>
      <c r="L464" s="68"/>
      <c r="M464" s="68"/>
      <c r="N464" s="138">
        <f>+ROUND('2025 GSLDPR Rate Class E-13c'!Q99,2)</f>
        <v>1.56</v>
      </c>
      <c r="O464" s="395" t="s">
        <v>1096</v>
      </c>
      <c r="Q464" s="67">
        <f>IF(I464=0,0,+(N464-I464)/I464)</f>
        <v>9.0909090909090995E-2</v>
      </c>
      <c r="R464" s="68"/>
      <c r="S464" s="68"/>
      <c r="T464" s="68"/>
    </row>
    <row r="465" spans="1:20" ht="14.1" customHeight="1" x14ac:dyDescent="0.2">
      <c r="A465" s="395">
        <v>21</v>
      </c>
      <c r="B465" s="494"/>
      <c r="C465" s="74"/>
      <c r="F465" s="395" t="s">
        <v>1097</v>
      </c>
      <c r="I465" s="138">
        <f>+ROUND('2025 GSLDPR Rate Class E-13c'!J100,2)</f>
        <v>0.56000000000000005</v>
      </c>
      <c r="J465" s="395" t="s">
        <v>1098</v>
      </c>
      <c r="L465" s="68"/>
      <c r="M465" s="68"/>
      <c r="N465" s="138">
        <f>+ROUND('2025 GSLDPR Rate Class E-13c'!Q100,2)</f>
        <v>0.62</v>
      </c>
      <c r="O465" s="395" t="s">
        <v>1098</v>
      </c>
      <c r="Q465" s="67">
        <f>IF(I465=0,0,+(N465-I465)/I465)</f>
        <v>0.10714285714285703</v>
      </c>
      <c r="R465" s="68"/>
      <c r="S465" s="68"/>
      <c r="T465" s="68"/>
    </row>
    <row r="466" spans="1:20" ht="14.1" customHeight="1" x14ac:dyDescent="0.2">
      <c r="A466" s="395">
        <v>22</v>
      </c>
      <c r="B466" s="494"/>
      <c r="C466" s="74"/>
      <c r="G466" s="65"/>
      <c r="H466" s="68"/>
      <c r="I466" s="116"/>
      <c r="J466" s="68"/>
      <c r="K466" s="68"/>
      <c r="L466" s="68"/>
      <c r="M466" s="68"/>
      <c r="N466" s="116"/>
      <c r="O466" s="68"/>
      <c r="Q466" s="67"/>
      <c r="R466" s="68"/>
      <c r="S466" s="68"/>
      <c r="T466" s="68"/>
    </row>
    <row r="467" spans="1:20" ht="14.1" customHeight="1" x14ac:dyDescent="0.2">
      <c r="A467" s="395">
        <v>23</v>
      </c>
      <c r="B467" s="494"/>
      <c r="C467" s="74"/>
      <c r="E467" s="133" t="s">
        <v>1099</v>
      </c>
      <c r="G467" s="65"/>
      <c r="H467" s="68"/>
      <c r="J467" s="68"/>
      <c r="K467" s="68"/>
      <c r="L467" s="68"/>
      <c r="M467" s="68"/>
      <c r="O467" s="68"/>
      <c r="Q467" s="68"/>
      <c r="R467" s="68"/>
      <c r="S467" s="68"/>
      <c r="T467" s="68"/>
    </row>
    <row r="468" spans="1:20" ht="14.1" customHeight="1" x14ac:dyDescent="0.2">
      <c r="A468" s="395">
        <v>24</v>
      </c>
      <c r="B468" s="494"/>
      <c r="C468" s="74"/>
      <c r="F468" s="134" t="s">
        <v>328</v>
      </c>
      <c r="I468" s="152">
        <f>+ROUND('2025 GSLDPR Rate Class E-13c'!J85,5)</f>
        <v>8.5699999999999995E-3</v>
      </c>
      <c r="J468" s="127" t="s">
        <v>1123</v>
      </c>
      <c r="N468" s="152">
        <f>+ROUND('2025 GSLDPR Rate Class E-13c'!Q85,5)</f>
        <v>8.7399999999999995E-3</v>
      </c>
      <c r="O468" s="127" t="s">
        <v>1123</v>
      </c>
      <c r="Q468" s="67">
        <f>IF(I468=0,0,+(N468-I468)/I468)</f>
        <v>1.9836639439906652E-2</v>
      </c>
      <c r="R468" s="68"/>
      <c r="S468" s="68"/>
      <c r="T468" s="68"/>
    </row>
    <row r="469" spans="1:20" ht="14.1" customHeight="1" x14ac:dyDescent="0.2">
      <c r="A469" s="395">
        <v>25</v>
      </c>
      <c r="B469" s="494"/>
      <c r="C469" s="74"/>
      <c r="F469" s="395" t="s">
        <v>1130</v>
      </c>
      <c r="I469" s="152">
        <f>+ROUND('2025 GSLDPR Rate Class E-13c'!J86,5)</f>
        <v>8.5699999999999995E-3</v>
      </c>
      <c r="J469" s="127" t="s">
        <v>1123</v>
      </c>
      <c r="K469" s="68"/>
      <c r="L469" s="68"/>
      <c r="M469" s="68"/>
      <c r="N469" s="152">
        <f>+ROUND('2025 GSLDPR Rate Class E-13c'!Q86,5)</f>
        <v>8.7399999999999995E-3</v>
      </c>
      <c r="O469" s="127" t="s">
        <v>1123</v>
      </c>
      <c r="Q469" s="67">
        <f>IF(I469=0,0,+(N469-I469)/I469)</f>
        <v>1.9836639439906652E-2</v>
      </c>
      <c r="R469" s="68"/>
      <c r="S469" s="68"/>
      <c r="T469" s="68"/>
    </row>
    <row r="470" spans="1:20" ht="14.1" customHeight="1" x14ac:dyDescent="0.2">
      <c r="A470" s="395">
        <v>26</v>
      </c>
      <c r="B470" s="494"/>
      <c r="C470" s="74"/>
      <c r="R470" s="68"/>
      <c r="S470" s="68"/>
      <c r="T470" s="68"/>
    </row>
    <row r="471" spans="1:20" ht="14.1" customHeight="1" x14ac:dyDescent="0.2">
      <c r="A471" s="395">
        <v>27</v>
      </c>
      <c r="B471" s="494"/>
      <c r="C471" s="74"/>
      <c r="E471" s="133"/>
      <c r="G471" s="65"/>
      <c r="H471" s="68"/>
      <c r="I471" s="93"/>
      <c r="J471" s="68"/>
      <c r="K471" s="68"/>
      <c r="L471" s="68"/>
      <c r="M471" s="68"/>
      <c r="N471" s="93"/>
      <c r="O471" s="68"/>
      <c r="Q471" s="68"/>
      <c r="R471" s="68"/>
      <c r="S471" s="68"/>
      <c r="T471" s="68"/>
    </row>
    <row r="472" spans="1:20" ht="14.1" customHeight="1" x14ac:dyDescent="0.2">
      <c r="A472" s="395">
        <v>28</v>
      </c>
      <c r="B472" s="494"/>
      <c r="C472" s="74"/>
      <c r="R472" s="68"/>
      <c r="S472" s="68"/>
      <c r="T472" s="68"/>
    </row>
    <row r="473" spans="1:20" ht="14.1" customHeight="1" x14ac:dyDescent="0.2">
      <c r="A473" s="395">
        <v>29</v>
      </c>
      <c r="B473" s="494"/>
      <c r="C473" s="74"/>
      <c r="F473" s="130"/>
      <c r="H473" s="68"/>
      <c r="I473" s="93"/>
      <c r="J473" s="68"/>
      <c r="K473" s="68"/>
      <c r="L473" s="68"/>
      <c r="M473" s="68"/>
      <c r="N473" s="93"/>
      <c r="O473" s="68"/>
      <c r="Q473" s="138"/>
      <c r="R473" s="68"/>
      <c r="S473" s="68"/>
      <c r="T473" s="68"/>
    </row>
    <row r="474" spans="1:20" ht="14.1" customHeight="1" x14ac:dyDescent="0.2">
      <c r="A474" s="395">
        <v>30</v>
      </c>
      <c r="B474" s="494"/>
      <c r="C474" s="74"/>
      <c r="F474" s="499"/>
      <c r="I474" s="93"/>
      <c r="J474" s="68"/>
      <c r="K474" s="68"/>
      <c r="N474" s="93"/>
      <c r="O474" s="68"/>
      <c r="Q474" s="138"/>
      <c r="R474" s="68"/>
      <c r="S474" s="68"/>
      <c r="T474" s="68"/>
    </row>
    <row r="475" spans="1:20" ht="14.1" customHeight="1" x14ac:dyDescent="0.2">
      <c r="A475" s="395">
        <v>31</v>
      </c>
      <c r="B475" s="494"/>
      <c r="C475" s="74"/>
      <c r="J475" s="68"/>
      <c r="K475" s="68"/>
      <c r="Q475" s="68"/>
      <c r="R475" s="68"/>
      <c r="S475" s="68"/>
      <c r="T475" s="68"/>
    </row>
    <row r="476" spans="1:20" ht="14.1" customHeight="1" x14ac:dyDescent="0.2">
      <c r="A476" s="395">
        <v>32</v>
      </c>
      <c r="B476" s="494"/>
      <c r="C476" s="74"/>
      <c r="F476" s="130"/>
      <c r="I476" s="138"/>
      <c r="J476" s="68"/>
      <c r="K476" s="68"/>
      <c r="N476" s="138"/>
      <c r="O476" s="68"/>
      <c r="Q476" s="138"/>
      <c r="R476" s="68"/>
      <c r="S476" s="68"/>
      <c r="T476" s="68"/>
    </row>
    <row r="477" spans="1:20" ht="14.1" customHeight="1" x14ac:dyDescent="0.2">
      <c r="A477" s="395">
        <v>33</v>
      </c>
      <c r="B477" s="494"/>
      <c r="C477" s="74"/>
      <c r="F477" s="130"/>
      <c r="I477" s="138"/>
      <c r="J477" s="68"/>
      <c r="K477" s="68"/>
      <c r="N477" s="138"/>
      <c r="O477" s="68"/>
      <c r="Q477" s="138"/>
      <c r="R477" s="68"/>
      <c r="S477" s="68"/>
      <c r="T477" s="68"/>
    </row>
    <row r="478" spans="1:20" ht="14.1" customHeight="1" x14ac:dyDescent="0.2">
      <c r="A478" s="395">
        <v>34</v>
      </c>
      <c r="B478" s="494"/>
      <c r="C478" s="74"/>
      <c r="F478" s="130"/>
      <c r="I478" s="138"/>
      <c r="J478" s="68"/>
      <c r="K478" s="68"/>
      <c r="N478" s="138"/>
      <c r="O478" s="68"/>
      <c r="Q478" s="138"/>
      <c r="R478" s="68"/>
      <c r="S478" s="68"/>
      <c r="T478" s="68"/>
    </row>
    <row r="479" spans="1:20" ht="14.1" customHeight="1" x14ac:dyDescent="0.2">
      <c r="A479" s="395">
        <v>35</v>
      </c>
      <c r="B479" s="494"/>
      <c r="C479" s="74"/>
      <c r="F479" s="130"/>
      <c r="I479" s="138"/>
      <c r="J479" s="68"/>
      <c r="K479" s="68"/>
      <c r="N479" s="138"/>
      <c r="O479" s="68"/>
      <c r="Q479" s="138"/>
      <c r="R479" s="68"/>
      <c r="S479" s="68"/>
      <c r="T479" s="68"/>
    </row>
    <row r="480" spans="1:20" ht="14.1" customHeight="1" thickBot="1" x14ac:dyDescent="0.25">
      <c r="A480" s="496">
        <v>36</v>
      </c>
      <c r="B480" s="496"/>
      <c r="C480" s="136"/>
      <c r="D480" s="396"/>
      <c r="E480" s="396"/>
      <c r="F480" s="396"/>
      <c r="G480" s="396"/>
      <c r="H480" s="396"/>
      <c r="I480" s="396"/>
      <c r="J480" s="396"/>
      <c r="K480" s="396"/>
      <c r="L480" s="396"/>
      <c r="M480" s="396"/>
      <c r="N480" s="396"/>
      <c r="O480" s="396"/>
      <c r="P480" s="396"/>
      <c r="Q480" s="396"/>
      <c r="R480" s="105"/>
      <c r="S480" s="105"/>
      <c r="T480" s="137" t="s">
        <v>1110</v>
      </c>
    </row>
    <row r="481" spans="1:20" ht="14.1" customHeight="1" x14ac:dyDescent="0.2">
      <c r="A481" s="395" t="str">
        <f>+$A$49</f>
        <v>Supporting Schedules:  E-7, E-14 Supplement</v>
      </c>
      <c r="R481" s="395" t="s">
        <v>1003</v>
      </c>
    </row>
    <row r="482" spans="1:20" ht="14.1" customHeight="1" thickBot="1" x14ac:dyDescent="0.25">
      <c r="A482" s="396" t="str">
        <f>+$A$2</f>
        <v>SCHEDULE A-3</v>
      </c>
      <c r="B482" s="396"/>
      <c r="C482" s="396"/>
      <c r="D482" s="396"/>
      <c r="E482" s="396"/>
      <c r="F482" s="396"/>
      <c r="G482" s="396"/>
      <c r="H482" s="396"/>
      <c r="I482" s="396" t="str">
        <f>+$I$2</f>
        <v>SUMMARY OF TARIFFS</v>
      </c>
      <c r="J482" s="396"/>
      <c r="K482" s="396"/>
      <c r="L482" s="396"/>
      <c r="M482" s="396"/>
      <c r="N482" s="396"/>
      <c r="O482" s="396"/>
      <c r="P482" s="396"/>
      <c r="Q482" s="396"/>
      <c r="R482" s="396"/>
      <c r="S482" s="396"/>
      <c r="T482" s="492" t="s">
        <v>1156</v>
      </c>
    </row>
    <row r="483" spans="1:20" ht="14.1" customHeight="1" x14ac:dyDescent="0.2">
      <c r="A483" s="395" t="s">
        <v>307</v>
      </c>
      <c r="F483" s="399" t="s">
        <v>1041</v>
      </c>
      <c r="G483" s="395" t="s">
        <v>1042</v>
      </c>
      <c r="L483" s="397"/>
      <c r="M483" s="397"/>
      <c r="O483" s="397"/>
      <c r="P483" s="397"/>
      <c r="Q483" s="397" t="s">
        <v>847</v>
      </c>
      <c r="T483" s="398"/>
    </row>
    <row r="484" spans="1:20" ht="14.1" customHeight="1" x14ac:dyDescent="0.2">
      <c r="G484" s="395" t="s">
        <v>1043</v>
      </c>
      <c r="L484" s="399"/>
      <c r="M484" s="398"/>
      <c r="P484" s="399"/>
      <c r="Q484" s="311" t="s">
        <v>919</v>
      </c>
      <c r="R484" s="310" t="s">
        <v>920</v>
      </c>
      <c r="T484" s="399"/>
    </row>
    <row r="485" spans="1:20" ht="14.1" customHeight="1" x14ac:dyDescent="0.2">
      <c r="A485" s="395" t="s">
        <v>310</v>
      </c>
      <c r="L485" s="399"/>
      <c r="M485" s="398"/>
      <c r="N485" s="399"/>
      <c r="Q485" s="311"/>
      <c r="R485" s="310" t="s">
        <v>937</v>
      </c>
      <c r="T485" s="399"/>
    </row>
    <row r="486" spans="1:20" ht="14.1" customHeight="1" x14ac:dyDescent="0.2">
      <c r="L486" s="399"/>
      <c r="M486" s="398"/>
      <c r="N486" s="399"/>
      <c r="Q486" s="311"/>
      <c r="R486" s="310" t="s">
        <v>938</v>
      </c>
      <c r="T486" s="399"/>
    </row>
    <row r="487" spans="1:20" ht="14.1" customHeight="1" thickBot="1" x14ac:dyDescent="0.25">
      <c r="A487" s="396" t="s">
        <v>1022</v>
      </c>
      <c r="B487" s="396"/>
      <c r="C487" s="396"/>
      <c r="D487" s="396"/>
      <c r="E487" s="396"/>
      <c r="F487" s="396"/>
      <c r="G487" s="396"/>
      <c r="H487" s="396"/>
      <c r="I487" s="400"/>
      <c r="J487" s="396"/>
      <c r="K487" s="396"/>
      <c r="L487" s="396"/>
      <c r="M487" s="396"/>
      <c r="N487" s="396"/>
      <c r="O487" s="396"/>
      <c r="P487" s="396"/>
      <c r="Q487" s="396"/>
      <c r="R487" s="396" t="s">
        <v>311</v>
      </c>
      <c r="S487" s="396"/>
      <c r="T487" s="396"/>
    </row>
    <row r="488" spans="1:20" ht="14.1" customHeight="1" x14ac:dyDescent="0.2">
      <c r="A488" s="395" t="str">
        <f>IF(+A$8="","",A$8)</f>
        <v/>
      </c>
      <c r="B488" s="402" t="str">
        <f t="shared" ref="B488:T488" si="51">IF(+B$8="","",B$8)</f>
        <v/>
      </c>
      <c r="C488" s="402" t="str">
        <f t="shared" si="51"/>
        <v>(1)</v>
      </c>
      <c r="D488" s="402" t="str">
        <f t="shared" si="51"/>
        <v/>
      </c>
      <c r="E488" s="402" t="str">
        <f t="shared" si="51"/>
        <v/>
      </c>
      <c r="F488" s="402" t="str">
        <f t="shared" si="51"/>
        <v>(2)</v>
      </c>
      <c r="G488" s="402" t="str">
        <f t="shared" si="51"/>
        <v/>
      </c>
      <c r="H488" s="402" t="str">
        <f>IF(+H$8="","",H$8)</f>
        <v/>
      </c>
      <c r="I488" s="402" t="str">
        <f>IF(+I$8="","",I$8)</f>
        <v>(3)</v>
      </c>
      <c r="J488" s="402" t="str">
        <f>IF(+J$8="","",J$8)</f>
        <v/>
      </c>
      <c r="K488" s="402"/>
      <c r="L488" s="402" t="str">
        <f t="shared" si="51"/>
        <v>(4)</v>
      </c>
      <c r="M488" s="402" t="str">
        <f t="shared" si="51"/>
        <v/>
      </c>
      <c r="N488" s="402" t="str">
        <f t="shared" si="51"/>
        <v>(5)</v>
      </c>
      <c r="O488" s="402" t="str">
        <f t="shared" si="51"/>
        <v/>
      </c>
      <c r="Q488" s="402" t="str">
        <f>IF(+Q$8="","",Q$8)</f>
        <v>(6)</v>
      </c>
      <c r="R488" s="402" t="str">
        <f t="shared" si="51"/>
        <v/>
      </c>
      <c r="S488" s="402" t="str">
        <f t="shared" si="51"/>
        <v/>
      </c>
      <c r="T488" s="402" t="str">
        <f t="shared" si="51"/>
        <v/>
      </c>
    </row>
    <row r="489" spans="1:20" ht="14.1" customHeight="1" x14ac:dyDescent="0.2">
      <c r="A489" s="395" t="str">
        <f>IF(+A$9="","",A$9)</f>
        <v/>
      </c>
      <c r="B489" s="402" t="str">
        <f t="shared" ref="B489:T489" si="52">IF(+B$9="","",B$9)</f>
        <v/>
      </c>
      <c r="C489" s="402" t="str">
        <f t="shared" si="52"/>
        <v/>
      </c>
      <c r="D489" s="402" t="str">
        <f t="shared" si="52"/>
        <v/>
      </c>
      <c r="E489" s="402" t="str">
        <f t="shared" si="52"/>
        <v/>
      </c>
      <c r="F489" s="402" t="str">
        <f t="shared" si="52"/>
        <v/>
      </c>
      <c r="G489" s="402" t="str">
        <f t="shared" si="52"/>
        <v/>
      </c>
      <c r="H489" s="402" t="str">
        <f>IF(+H$9="","",H$9)</f>
        <v/>
      </c>
      <c r="I489" s="402" t="str">
        <f>IF(+I$9="","",I$9)</f>
        <v/>
      </c>
      <c r="J489" s="402" t="str">
        <f>IF(+J$9="","",J$9)</f>
        <v/>
      </c>
      <c r="K489" s="402"/>
      <c r="L489" s="402" t="str">
        <f t="shared" si="52"/>
        <v/>
      </c>
      <c r="M489" s="402" t="str">
        <f t="shared" si="52"/>
        <v/>
      </c>
      <c r="N489" s="402" t="str">
        <f t="shared" si="52"/>
        <v/>
      </c>
      <c r="O489" s="402" t="str">
        <f t="shared" si="52"/>
        <v/>
      </c>
      <c r="Q489" s="402" t="str">
        <f>IF(+Q$9="","",Q$9)</f>
        <v/>
      </c>
      <c r="R489" s="402" t="str">
        <f t="shared" si="52"/>
        <v/>
      </c>
      <c r="S489" s="402" t="str">
        <f t="shared" si="52"/>
        <v/>
      </c>
      <c r="T489" s="402" t="str">
        <f t="shared" si="52"/>
        <v/>
      </c>
    </row>
    <row r="490" spans="1:20" ht="14.1" customHeight="1" x14ac:dyDescent="0.2">
      <c r="A490" s="395" t="str">
        <f>IF(+A$10="","",A$10)</f>
        <v/>
      </c>
      <c r="B490" s="402" t="str">
        <f t="shared" ref="B490:T490" si="53">IF(+B$10="","",B$10)</f>
        <v/>
      </c>
      <c r="C490" s="402" t="str">
        <f t="shared" si="53"/>
        <v xml:space="preserve">Current </v>
      </c>
      <c r="D490" s="402" t="str">
        <f t="shared" si="53"/>
        <v/>
      </c>
      <c r="E490" s="402" t="str">
        <f t="shared" si="53"/>
        <v/>
      </c>
      <c r="F490" s="402" t="str">
        <f t="shared" si="53"/>
        <v/>
      </c>
      <c r="G490" s="402" t="str">
        <f t="shared" si="53"/>
        <v/>
      </c>
      <c r="H490" s="402" t="str">
        <f>IF(+H$10="","",H$10)</f>
        <v/>
      </c>
      <c r="I490" s="402" t="str">
        <f>IF(+I$10="","",I$10)</f>
        <v/>
      </c>
      <c r="J490" s="402" t="str">
        <f>IF(+J$10="","",J$10)</f>
        <v/>
      </c>
      <c r="K490" s="402"/>
      <c r="L490" s="402" t="str">
        <f t="shared" si="53"/>
        <v>Proposed</v>
      </c>
      <c r="M490" s="402" t="str">
        <f t="shared" si="53"/>
        <v/>
      </c>
      <c r="N490" s="402" t="str">
        <f t="shared" si="53"/>
        <v/>
      </c>
      <c r="O490" s="402" t="str">
        <f t="shared" si="53"/>
        <v/>
      </c>
      <c r="Q490" s="402" t="str">
        <f>IF(+Q$10="","",Q$10)</f>
        <v>Percent</v>
      </c>
      <c r="R490" s="402" t="str">
        <f t="shared" si="53"/>
        <v/>
      </c>
      <c r="S490" s="402" t="str">
        <f t="shared" si="53"/>
        <v/>
      </c>
      <c r="T490" s="402" t="str">
        <f t="shared" si="53"/>
        <v/>
      </c>
    </row>
    <row r="491" spans="1:20" ht="14.1" customHeight="1" x14ac:dyDescent="0.2">
      <c r="A491" s="395" t="str">
        <f>IF(+A$11="","",A$11)</f>
        <v>Line</v>
      </c>
      <c r="B491" s="402" t="str">
        <f t="shared" ref="B491:T491" si="54">IF(+B$11="","",B$11)</f>
        <v/>
      </c>
      <c r="C491" s="402" t="str">
        <f t="shared" si="54"/>
        <v>Rate</v>
      </c>
      <c r="D491" s="402" t="str">
        <f t="shared" si="54"/>
        <v/>
      </c>
      <c r="E491" s="402" t="str">
        <f t="shared" si="54"/>
        <v/>
      </c>
      <c r="F491" s="402" t="str">
        <f t="shared" si="54"/>
        <v/>
      </c>
      <c r="G491" s="402" t="str">
        <f t="shared" si="54"/>
        <v/>
      </c>
      <c r="H491" s="402" t="str">
        <f>IF(+H$11="","",H$11)</f>
        <v/>
      </c>
      <c r="I491" s="402" t="str">
        <f>IF(+I$11="","",I$11)</f>
        <v>Current</v>
      </c>
      <c r="J491" s="402" t="str">
        <f>IF(+J$11="","",J$11)</f>
        <v/>
      </c>
      <c r="K491" s="402"/>
      <c r="L491" s="402" t="str">
        <f t="shared" si="54"/>
        <v>Rate</v>
      </c>
      <c r="M491" s="402" t="str">
        <f t="shared" si="54"/>
        <v/>
      </c>
      <c r="N491" s="402" t="str">
        <f t="shared" si="54"/>
        <v>Proposed</v>
      </c>
      <c r="O491" s="402" t="str">
        <f t="shared" si="54"/>
        <v/>
      </c>
      <c r="Q491" s="402" t="str">
        <f>IF(+Q$11="","",Q$11)</f>
        <v>Increase</v>
      </c>
      <c r="R491" s="402" t="str">
        <f t="shared" si="54"/>
        <v/>
      </c>
      <c r="S491" s="402" t="str">
        <f t="shared" si="54"/>
        <v/>
      </c>
      <c r="T491" s="402" t="str">
        <f t="shared" si="54"/>
        <v/>
      </c>
    </row>
    <row r="492" spans="1:20" ht="14.1" customHeight="1" thickBot="1" x14ac:dyDescent="0.25">
      <c r="A492" s="396" t="str">
        <f>IF(+A$12="","",A$12)</f>
        <v>No.</v>
      </c>
      <c r="B492" s="400" t="str">
        <f t="shared" ref="B492:T492" si="55">IF(+B$12="","",B$12)</f>
        <v/>
      </c>
      <c r="C492" s="400" t="str">
        <f t="shared" si="55"/>
        <v>Schedule</v>
      </c>
      <c r="D492" s="400" t="str">
        <f t="shared" si="55"/>
        <v/>
      </c>
      <c r="E492" s="400"/>
      <c r="F492" s="400" t="str">
        <f t="shared" si="55"/>
        <v>Type of Charge</v>
      </c>
      <c r="G492" s="400"/>
      <c r="H492" s="400" t="str">
        <f>IF(+H$12="","",H$12)</f>
        <v/>
      </c>
      <c r="I492" s="400" t="str">
        <f>IF(+I$12="","",I$12)</f>
        <v>Rate</v>
      </c>
      <c r="J492" s="400" t="str">
        <f>IF(+J$12="","",J$12)</f>
        <v/>
      </c>
      <c r="K492" s="400"/>
      <c r="L492" s="400" t="str">
        <f t="shared" si="55"/>
        <v>Schedule</v>
      </c>
      <c r="M492" s="400" t="str">
        <f t="shared" si="55"/>
        <v/>
      </c>
      <c r="N492" s="400" t="str">
        <f t="shared" si="55"/>
        <v>Rate</v>
      </c>
      <c r="O492" s="400" t="str">
        <f t="shared" si="55"/>
        <v/>
      </c>
      <c r="P492" s="396"/>
      <c r="Q492" s="400" t="str">
        <f>IF(+Q$12="","",Q$12)</f>
        <v>((5)-(3))/(3)</v>
      </c>
      <c r="R492" s="400" t="str">
        <f t="shared" si="55"/>
        <v/>
      </c>
      <c r="S492" s="400" t="str">
        <f t="shared" si="55"/>
        <v/>
      </c>
      <c r="T492" s="400" t="str">
        <f t="shared" si="55"/>
        <v/>
      </c>
    </row>
    <row r="493" spans="1:20" ht="14.1" customHeight="1" x14ac:dyDescent="0.2">
      <c r="A493" s="395">
        <v>1</v>
      </c>
      <c r="B493" s="579" t="s">
        <v>843</v>
      </c>
      <c r="C493" s="579"/>
      <c r="D493" s="579"/>
      <c r="E493" s="579"/>
      <c r="F493" s="579"/>
      <c r="G493" s="65"/>
      <c r="H493" s="74"/>
      <c r="J493" s="74"/>
      <c r="K493" s="74"/>
      <c r="L493" s="101"/>
      <c r="M493" s="74"/>
      <c r="N493" s="74"/>
      <c r="O493" s="74"/>
      <c r="Q493" s="74"/>
      <c r="R493" s="74"/>
      <c r="S493" s="74"/>
      <c r="T493" s="74"/>
    </row>
    <row r="494" spans="1:20" ht="14.1" customHeight="1" x14ac:dyDescent="0.2">
      <c r="A494" s="395">
        <v>2</v>
      </c>
      <c r="B494" s="494"/>
      <c r="G494" s="65"/>
      <c r="H494" s="74"/>
      <c r="I494" s="93"/>
      <c r="J494" s="74"/>
      <c r="K494" s="74"/>
      <c r="L494" s="74"/>
      <c r="M494" s="74"/>
      <c r="N494" s="93"/>
      <c r="O494" s="74"/>
      <c r="Q494" s="67"/>
      <c r="R494" s="74"/>
      <c r="S494" s="74"/>
      <c r="T494" s="74"/>
    </row>
    <row r="495" spans="1:20" ht="14.1" customHeight="1" x14ac:dyDescent="0.2">
      <c r="A495" s="395">
        <v>3</v>
      </c>
      <c r="B495" s="494"/>
      <c r="C495" s="101" t="str">
        <f>C445</f>
        <v>SBLDPR/SBLDTPR</v>
      </c>
      <c r="H495" s="74"/>
      <c r="I495" s="93"/>
      <c r="J495" s="74"/>
      <c r="K495" s="74"/>
      <c r="L495" s="101" t="str">
        <f>C495</f>
        <v>SBLDPR/SBLDTPR</v>
      </c>
      <c r="M495" s="65"/>
      <c r="N495" s="93"/>
      <c r="O495" s="74"/>
      <c r="Q495" s="67"/>
      <c r="R495" s="74"/>
      <c r="S495" s="74"/>
      <c r="T495" s="74"/>
    </row>
    <row r="496" spans="1:20" ht="14.1" customHeight="1" x14ac:dyDescent="0.2">
      <c r="A496" s="395">
        <v>4</v>
      </c>
      <c r="B496" s="494"/>
      <c r="E496" s="118" t="s">
        <v>1116</v>
      </c>
      <c r="G496" s="68"/>
      <c r="H496" s="68"/>
      <c r="R496" s="68"/>
      <c r="S496" s="68"/>
      <c r="T496" s="68"/>
    </row>
    <row r="497" spans="1:20" ht="14.1" customHeight="1" x14ac:dyDescent="0.2">
      <c r="A497" s="395">
        <v>5</v>
      </c>
      <c r="B497" s="494"/>
      <c r="C497" s="65"/>
      <c r="F497" s="395" t="s">
        <v>1117</v>
      </c>
      <c r="I497" s="93">
        <f>+ROUND('2025 GSLDPR Rate Class E-13c'!J133,2)</f>
        <v>0.68</v>
      </c>
      <c r="J497" s="68" t="s">
        <v>1018</v>
      </c>
      <c r="K497" s="68"/>
      <c r="L497" s="68"/>
      <c r="M497" s="68"/>
      <c r="N497" s="93">
        <f>+ROUND('2025 GSLDPR Rate Class E-13c'!Q133,2)</f>
        <v>1.02</v>
      </c>
      <c r="O497" s="68" t="s">
        <v>1018</v>
      </c>
      <c r="Q497" s="67">
        <f>IF(I497=0,0,+(N497-I497)/I497)</f>
        <v>0.49999999999999994</v>
      </c>
      <c r="R497" s="68"/>
      <c r="S497" s="68"/>
      <c r="T497" s="68"/>
    </row>
    <row r="498" spans="1:20" ht="14.1" customHeight="1" x14ac:dyDescent="0.2">
      <c r="A498" s="395">
        <v>6</v>
      </c>
      <c r="B498" s="494"/>
      <c r="C498" s="65"/>
      <c r="F498" s="395" t="s">
        <v>1118</v>
      </c>
      <c r="I498" s="93">
        <f>+ROUND('2025 GSLDPR Rate Class E-13c'!J134,2)</f>
        <v>0.68</v>
      </c>
      <c r="J498" s="68" t="s">
        <v>1018</v>
      </c>
      <c r="N498" s="93">
        <f>+ROUND('2025 GSLDPR Rate Class E-13c'!Q134,2)</f>
        <v>1.02</v>
      </c>
      <c r="O498" s="68" t="s">
        <v>1018</v>
      </c>
      <c r="Q498" s="67">
        <f>IF(I498=0,0,+(N498-I498)/I498)</f>
        <v>0.49999999999999994</v>
      </c>
      <c r="R498" s="68"/>
      <c r="S498" s="68"/>
      <c r="T498" s="68"/>
    </row>
    <row r="499" spans="1:20" ht="14.1" customHeight="1" x14ac:dyDescent="0.2">
      <c r="A499" s="395">
        <v>7</v>
      </c>
      <c r="B499" s="494"/>
      <c r="C499" s="65"/>
      <c r="R499" s="68"/>
      <c r="S499" s="68"/>
      <c r="T499" s="68"/>
    </row>
    <row r="500" spans="1:20" ht="14.1" customHeight="1" x14ac:dyDescent="0.2">
      <c r="A500" s="395">
        <v>8</v>
      </c>
      <c r="B500" s="494"/>
      <c r="C500" s="65"/>
      <c r="E500" s="395" t="s">
        <v>1080</v>
      </c>
      <c r="I500" s="152">
        <f>+ROUND('2025 GSLDPR Rate Class E-13c'!J107,5)</f>
        <v>2.0300000000000001E-3</v>
      </c>
      <c r="J500" s="395" t="s">
        <v>1081</v>
      </c>
      <c r="L500" s="68"/>
      <c r="M500" s="68"/>
      <c r="N500" s="152">
        <f>+ROUND('2025 GSLDPR Rate Class E-13c'!Q107,5)</f>
        <v>2.0300000000000001E-3</v>
      </c>
      <c r="O500" s="395" t="s">
        <v>1081</v>
      </c>
      <c r="Q500" s="67">
        <f>IF(I500=0,0,+(N500-I500)/I500)</f>
        <v>0</v>
      </c>
      <c r="R500" s="68"/>
      <c r="S500" s="68"/>
      <c r="T500" s="68"/>
    </row>
    <row r="501" spans="1:20" ht="14.1" customHeight="1" x14ac:dyDescent="0.2">
      <c r="A501" s="395">
        <v>9</v>
      </c>
      <c r="B501" s="494"/>
      <c r="C501" s="65"/>
      <c r="I501" s="500"/>
      <c r="L501" s="68"/>
      <c r="M501" s="68"/>
      <c r="N501" s="500"/>
      <c r="Q501" s="68"/>
      <c r="R501" s="68"/>
      <c r="S501" s="68"/>
      <c r="T501" s="68"/>
    </row>
    <row r="502" spans="1:20" ht="14.1" customHeight="1" x14ac:dyDescent="0.2">
      <c r="A502" s="395">
        <v>10</v>
      </c>
      <c r="B502" s="494"/>
      <c r="C502" s="74"/>
      <c r="E502" s="395" t="s">
        <v>1082</v>
      </c>
      <c r="F502" s="65"/>
      <c r="G502" s="68"/>
      <c r="H502" s="68"/>
      <c r="I502" s="148">
        <f>+ROUND('2025 GSLDPR Rate Class E-13c'!J128,5)</f>
        <v>-1.0200000000000001E-3</v>
      </c>
      <c r="J502" s="395" t="s">
        <v>1081</v>
      </c>
      <c r="L502" s="68"/>
      <c r="M502" s="68"/>
      <c r="N502" s="148">
        <f>+ROUND('2025 GSLDPR Rate Class E-13c'!Q128,5)</f>
        <v>-1.0200000000000001E-3</v>
      </c>
      <c r="O502" s="395" t="s">
        <v>1081</v>
      </c>
      <c r="Q502" s="67">
        <f>IF(I502=0,0,+(N502-I502)/I502)</f>
        <v>0</v>
      </c>
      <c r="R502" s="68"/>
      <c r="S502" s="68"/>
      <c r="T502" s="68"/>
    </row>
    <row r="503" spans="1:20" ht="14.1" customHeight="1" x14ac:dyDescent="0.2">
      <c r="A503" s="395">
        <v>11</v>
      </c>
      <c r="B503" s="494"/>
      <c r="C503" s="74"/>
      <c r="R503" s="68"/>
      <c r="S503" s="68"/>
      <c r="T503" s="68"/>
    </row>
    <row r="504" spans="1:20" ht="14.1" customHeight="1" x14ac:dyDescent="0.2">
      <c r="A504" s="395">
        <v>12</v>
      </c>
      <c r="B504" s="494"/>
      <c r="C504" s="74"/>
      <c r="E504" s="133" t="s">
        <v>812</v>
      </c>
      <c r="H504" s="68"/>
      <c r="I504" s="93"/>
      <c r="J504" s="68"/>
      <c r="K504" s="68"/>
      <c r="L504" s="68"/>
      <c r="M504" s="68"/>
      <c r="N504" s="93"/>
      <c r="O504" s="68"/>
      <c r="Q504" s="68"/>
      <c r="R504" s="68"/>
      <c r="S504" s="68"/>
      <c r="T504" s="68"/>
    </row>
    <row r="505" spans="1:20" ht="14.1" customHeight="1" x14ac:dyDescent="0.2">
      <c r="A505" s="395">
        <v>13</v>
      </c>
      <c r="B505" s="494"/>
      <c r="C505" s="74"/>
      <c r="F505" s="395" t="s">
        <v>1108</v>
      </c>
      <c r="R505" s="68"/>
      <c r="S505" s="68"/>
      <c r="T505" s="68"/>
    </row>
    <row r="506" spans="1:20" ht="14.1" customHeight="1" x14ac:dyDescent="0.2">
      <c r="A506" s="395">
        <v>14</v>
      </c>
      <c r="B506" s="494"/>
      <c r="C506" s="74"/>
      <c r="F506" s="130" t="s">
        <v>746</v>
      </c>
      <c r="G506" s="74"/>
      <c r="H506" s="68"/>
      <c r="I506" s="144">
        <f>+'2025 GSLDPR Rate Class E-13c'!J139*100</f>
        <v>-1</v>
      </c>
      <c r="J506" s="68" t="s">
        <v>1083</v>
      </c>
      <c r="K506" s="68"/>
      <c r="L506" s="68"/>
      <c r="M506" s="68"/>
      <c r="N506" s="144">
        <f>+'2025 GSLDPR Rate Class E-13c'!Q139*100</f>
        <v>-1</v>
      </c>
      <c r="O506" s="68" t="s">
        <v>1083</v>
      </c>
      <c r="Q506" s="67">
        <f>IF(I506=0,0,+(N506-I506)/I506)</f>
        <v>0</v>
      </c>
      <c r="R506" s="68"/>
      <c r="S506" s="68"/>
      <c r="T506" s="68"/>
    </row>
    <row r="507" spans="1:20" ht="14.1" customHeight="1" x14ac:dyDescent="0.2">
      <c r="A507" s="395">
        <v>16</v>
      </c>
      <c r="B507" s="494"/>
      <c r="C507" s="74"/>
      <c r="F507" s="499" t="s">
        <v>1066</v>
      </c>
      <c r="I507" s="144">
        <f>+'2025 GSLDPR Rate Class E-13c'!J140*100</f>
        <v>-1</v>
      </c>
      <c r="J507" s="68" t="s">
        <v>1083</v>
      </c>
      <c r="K507" s="68"/>
      <c r="N507" s="144">
        <f>+'2025 GSLDPR Rate Class E-13c'!Q140*100</f>
        <v>-1</v>
      </c>
      <c r="O507" s="68" t="s">
        <v>1083</v>
      </c>
      <c r="Q507" s="67">
        <f>IF(I507=0,0,+(N507-I507)/I507)</f>
        <v>0</v>
      </c>
      <c r="R507" s="68"/>
      <c r="S507" s="68"/>
      <c r="T507" s="68"/>
    </row>
    <row r="508" spans="1:20" ht="14.1" customHeight="1" x14ac:dyDescent="0.2">
      <c r="A508" s="395">
        <v>18</v>
      </c>
      <c r="B508" s="494"/>
      <c r="C508" s="74"/>
      <c r="I508" s="144"/>
      <c r="J508" s="68"/>
      <c r="K508" s="68"/>
      <c r="N508" s="144"/>
      <c r="O508" s="68"/>
      <c r="Q508" s="147"/>
      <c r="R508" s="68"/>
      <c r="S508" s="68"/>
      <c r="T508" s="68"/>
    </row>
    <row r="509" spans="1:20" ht="14.1" customHeight="1" x14ac:dyDescent="0.2">
      <c r="A509" s="395">
        <v>19</v>
      </c>
      <c r="B509" s="494"/>
      <c r="C509" s="74"/>
      <c r="F509" s="130"/>
      <c r="I509" s="144"/>
      <c r="J509" s="68"/>
      <c r="K509" s="68"/>
      <c r="N509" s="144"/>
      <c r="O509" s="68"/>
      <c r="Q509" s="138"/>
      <c r="R509" s="68"/>
      <c r="S509" s="68"/>
      <c r="T509" s="68"/>
    </row>
    <row r="510" spans="1:20" ht="14.1" customHeight="1" x14ac:dyDescent="0.2">
      <c r="A510" s="395">
        <v>20</v>
      </c>
      <c r="B510" s="494"/>
      <c r="C510" s="74"/>
      <c r="F510" s="130"/>
      <c r="I510" s="144"/>
      <c r="J510" s="68"/>
      <c r="K510" s="68"/>
      <c r="N510" s="144"/>
      <c r="O510" s="68"/>
      <c r="Q510" s="67"/>
      <c r="R510" s="68"/>
      <c r="S510" s="68"/>
      <c r="T510" s="68"/>
    </row>
    <row r="511" spans="1:20" ht="14.1" customHeight="1" x14ac:dyDescent="0.2">
      <c r="A511" s="395">
        <v>21</v>
      </c>
      <c r="B511" s="494"/>
      <c r="C511" s="74"/>
      <c r="R511" s="68"/>
      <c r="S511" s="68"/>
      <c r="T511" s="68"/>
    </row>
    <row r="512" spans="1:20" ht="14.1" customHeight="1" x14ac:dyDescent="0.2">
      <c r="A512" s="395">
        <v>22</v>
      </c>
      <c r="B512" s="494"/>
      <c r="C512" s="74"/>
      <c r="R512" s="68"/>
      <c r="S512" s="68"/>
      <c r="T512" s="68"/>
    </row>
    <row r="513" spans="1:20" ht="14.1" customHeight="1" x14ac:dyDescent="0.2">
      <c r="A513" s="395">
        <v>23</v>
      </c>
      <c r="B513" s="494"/>
      <c r="C513" s="74"/>
      <c r="R513" s="68"/>
      <c r="S513" s="68"/>
      <c r="T513" s="68"/>
    </row>
    <row r="514" spans="1:20" ht="14.1" customHeight="1" x14ac:dyDescent="0.2">
      <c r="A514" s="395">
        <v>24</v>
      </c>
      <c r="B514" s="494"/>
      <c r="C514" s="74"/>
      <c r="G514" s="74"/>
      <c r="H514" s="68"/>
      <c r="I514" s="143"/>
      <c r="J514" s="68"/>
      <c r="K514" s="68"/>
      <c r="L514" s="68"/>
      <c r="M514" s="68"/>
      <c r="N514" s="143"/>
      <c r="O514" s="68"/>
      <c r="Q514" s="68"/>
      <c r="R514" s="68"/>
      <c r="S514" s="68"/>
      <c r="T514" s="68"/>
    </row>
    <row r="515" spans="1:20" ht="14.1" customHeight="1" x14ac:dyDescent="0.2">
      <c r="A515" s="395">
        <v>25</v>
      </c>
      <c r="B515" s="494"/>
      <c r="C515" s="74"/>
      <c r="R515" s="68"/>
      <c r="S515" s="68"/>
      <c r="T515" s="68"/>
    </row>
    <row r="516" spans="1:20" ht="14.1" customHeight="1" x14ac:dyDescent="0.2">
      <c r="A516" s="395">
        <v>26</v>
      </c>
      <c r="B516" s="494"/>
      <c r="C516" s="74"/>
      <c r="R516" s="68"/>
      <c r="S516" s="68"/>
      <c r="T516" s="68"/>
    </row>
    <row r="517" spans="1:20" ht="14.1" customHeight="1" x14ac:dyDescent="0.2">
      <c r="A517" s="395">
        <v>27</v>
      </c>
      <c r="B517" s="494"/>
      <c r="C517" s="74"/>
      <c r="R517" s="68"/>
      <c r="S517" s="68"/>
      <c r="T517" s="68"/>
    </row>
    <row r="518" spans="1:20" ht="14.1" customHeight="1" x14ac:dyDescent="0.2">
      <c r="A518" s="395">
        <v>28</v>
      </c>
      <c r="B518" s="494"/>
      <c r="C518" s="74"/>
      <c r="R518" s="68"/>
      <c r="S518" s="68"/>
      <c r="T518" s="68"/>
    </row>
    <row r="519" spans="1:20" ht="14.1" customHeight="1" x14ac:dyDescent="0.2">
      <c r="A519" s="395">
        <v>29</v>
      </c>
      <c r="B519" s="494"/>
      <c r="C519" s="74"/>
      <c r="R519" s="68"/>
      <c r="S519" s="68"/>
      <c r="T519" s="68"/>
    </row>
    <row r="520" spans="1:20" ht="14.1" customHeight="1" x14ac:dyDescent="0.2">
      <c r="A520" s="395">
        <v>30</v>
      </c>
      <c r="B520" s="494"/>
      <c r="C520" s="74"/>
      <c r="R520" s="68"/>
      <c r="S520" s="68"/>
      <c r="T520" s="68"/>
    </row>
    <row r="521" spans="1:20" ht="14.1" customHeight="1" x14ac:dyDescent="0.2">
      <c r="A521" s="395">
        <v>31</v>
      </c>
      <c r="B521" s="494"/>
      <c r="C521" s="74"/>
      <c r="R521" s="68"/>
      <c r="S521" s="68"/>
      <c r="T521" s="68"/>
    </row>
    <row r="522" spans="1:20" ht="14.1" customHeight="1" x14ac:dyDescent="0.2">
      <c r="A522" s="395">
        <v>32</v>
      </c>
      <c r="B522" s="494"/>
      <c r="C522" s="74"/>
      <c r="R522" s="68"/>
      <c r="S522" s="68"/>
      <c r="T522" s="68"/>
    </row>
    <row r="523" spans="1:20" ht="14.1" customHeight="1" x14ac:dyDescent="0.2">
      <c r="A523" s="395">
        <v>33</v>
      </c>
      <c r="B523" s="494"/>
      <c r="C523" s="74"/>
      <c r="R523" s="68"/>
      <c r="S523" s="68"/>
      <c r="T523" s="68"/>
    </row>
    <row r="524" spans="1:20" ht="14.1" customHeight="1" x14ac:dyDescent="0.2">
      <c r="A524" s="395">
        <v>34</v>
      </c>
      <c r="B524" s="494"/>
      <c r="C524" s="74"/>
      <c r="Q524" s="68"/>
      <c r="R524" s="68"/>
      <c r="S524" s="68"/>
      <c r="T524" s="68"/>
    </row>
    <row r="525" spans="1:20" ht="14.1" customHeight="1" x14ac:dyDescent="0.2">
      <c r="A525" s="395">
        <v>35</v>
      </c>
      <c r="B525" s="494"/>
      <c r="C525" s="74"/>
      <c r="R525" s="68"/>
      <c r="S525" s="68"/>
      <c r="T525" s="68"/>
    </row>
    <row r="526" spans="1:20" ht="14.1" customHeight="1" thickBot="1" x14ac:dyDescent="0.25">
      <c r="A526" s="396">
        <v>36</v>
      </c>
      <c r="B526" s="496"/>
      <c r="C526" s="136"/>
      <c r="D526" s="396"/>
      <c r="E526" s="396"/>
      <c r="F526" s="396"/>
      <c r="G526" s="396"/>
      <c r="H526" s="396"/>
      <c r="I526" s="396"/>
      <c r="J526" s="396"/>
      <c r="K526" s="396"/>
      <c r="L526" s="396"/>
      <c r="M526" s="396"/>
      <c r="N526" s="396"/>
      <c r="O526" s="396"/>
      <c r="P526" s="396"/>
      <c r="Q526" s="396"/>
      <c r="R526" s="105"/>
      <c r="S526" s="105"/>
      <c r="T526" s="105"/>
    </row>
    <row r="527" spans="1:20" ht="14.1" customHeight="1" x14ac:dyDescent="0.2">
      <c r="A527" s="395" t="str">
        <f>+$A$49</f>
        <v>Supporting Schedules:  E-7, E-14 Supplement</v>
      </c>
      <c r="R527" s="395" t="s">
        <v>1003</v>
      </c>
    </row>
    <row r="528" spans="1:20" ht="14.1" customHeight="1" thickBot="1" x14ac:dyDescent="0.25">
      <c r="A528" s="396" t="str">
        <f>+$A$2</f>
        <v>SCHEDULE A-3</v>
      </c>
      <c r="B528" s="396"/>
      <c r="C528" s="396"/>
      <c r="D528" s="396"/>
      <c r="E528" s="396"/>
      <c r="F528" s="396"/>
      <c r="G528" s="396"/>
      <c r="H528" s="396"/>
      <c r="I528" s="396" t="str">
        <f>+$I$2</f>
        <v>SUMMARY OF TARIFFS</v>
      </c>
      <c r="J528" s="396"/>
      <c r="K528" s="396"/>
      <c r="L528" s="396"/>
      <c r="M528" s="396"/>
      <c r="N528" s="396"/>
      <c r="O528" s="396"/>
      <c r="P528" s="396"/>
      <c r="Q528" s="396"/>
      <c r="R528" s="396"/>
      <c r="S528" s="396"/>
      <c r="T528" s="492" t="s">
        <v>1157</v>
      </c>
    </row>
    <row r="529" spans="1:20" ht="14.1" customHeight="1" x14ac:dyDescent="0.2">
      <c r="A529" s="395" t="s">
        <v>307</v>
      </c>
      <c r="F529" s="399" t="s">
        <v>1041</v>
      </c>
      <c r="G529" s="395" t="s">
        <v>1042</v>
      </c>
      <c r="L529" s="397"/>
      <c r="M529" s="397"/>
      <c r="O529" s="397"/>
      <c r="P529" s="397"/>
      <c r="Q529" s="397" t="s">
        <v>847</v>
      </c>
      <c r="T529" s="398"/>
    </row>
    <row r="530" spans="1:20" ht="14.1" customHeight="1" x14ac:dyDescent="0.2">
      <c r="G530" s="395" t="s">
        <v>1043</v>
      </c>
      <c r="L530" s="399"/>
      <c r="M530" s="398"/>
      <c r="P530" s="399"/>
      <c r="Q530" s="311" t="s">
        <v>919</v>
      </c>
      <c r="R530" s="310" t="s">
        <v>920</v>
      </c>
      <c r="T530" s="399"/>
    </row>
    <row r="531" spans="1:20" ht="14.1" customHeight="1" x14ac:dyDescent="0.2">
      <c r="A531" s="395" t="s">
        <v>310</v>
      </c>
      <c r="L531" s="399"/>
      <c r="M531" s="398"/>
      <c r="N531" s="399"/>
      <c r="Q531" s="311"/>
      <c r="R531" s="310" t="s">
        <v>937</v>
      </c>
      <c r="T531" s="399"/>
    </row>
    <row r="532" spans="1:20" ht="14.1" customHeight="1" x14ac:dyDescent="0.2">
      <c r="L532" s="399"/>
      <c r="M532" s="398"/>
      <c r="N532" s="399"/>
      <c r="Q532" s="311"/>
      <c r="R532" s="310" t="s">
        <v>938</v>
      </c>
      <c r="T532" s="399"/>
    </row>
    <row r="533" spans="1:20" ht="14.1" customHeight="1" thickBot="1" x14ac:dyDescent="0.25">
      <c r="A533" s="396" t="s">
        <v>1022</v>
      </c>
      <c r="B533" s="396"/>
      <c r="C533" s="396"/>
      <c r="D533" s="396"/>
      <c r="E533" s="396"/>
      <c r="F533" s="396"/>
      <c r="G533" s="396"/>
      <c r="H533" s="396"/>
      <c r="I533" s="400"/>
      <c r="J533" s="396"/>
      <c r="K533" s="396"/>
      <c r="L533" s="396"/>
      <c r="M533" s="396"/>
      <c r="N533" s="396"/>
      <c r="O533" s="396"/>
      <c r="P533" s="396"/>
      <c r="Q533" s="396"/>
      <c r="R533" s="396" t="s">
        <v>311</v>
      </c>
      <c r="S533" s="396"/>
      <c r="T533" s="396"/>
    </row>
    <row r="534" spans="1:20" ht="14.1" customHeight="1" x14ac:dyDescent="0.2">
      <c r="A534" s="395" t="str">
        <f>IF(+A$8="","",A$8)</f>
        <v/>
      </c>
      <c r="B534" s="402" t="str">
        <f t="shared" ref="B534:T534" si="56">IF(+B$8="","",B$8)</f>
        <v/>
      </c>
      <c r="C534" s="402" t="str">
        <f t="shared" si="56"/>
        <v>(1)</v>
      </c>
      <c r="D534" s="402" t="str">
        <f t="shared" si="56"/>
        <v/>
      </c>
      <c r="E534" s="402" t="str">
        <f t="shared" si="56"/>
        <v/>
      </c>
      <c r="F534" s="402" t="str">
        <f t="shared" si="56"/>
        <v>(2)</v>
      </c>
      <c r="G534" s="402" t="str">
        <f t="shared" si="56"/>
        <v/>
      </c>
      <c r="H534" s="402" t="str">
        <f>IF(+H$8="","",H$8)</f>
        <v/>
      </c>
      <c r="I534" s="402" t="str">
        <f>IF(+I$8="","",I$8)</f>
        <v>(3)</v>
      </c>
      <c r="J534" s="402" t="str">
        <f>IF(+J$8="","",J$8)</f>
        <v/>
      </c>
      <c r="K534" s="402"/>
      <c r="L534" s="402" t="str">
        <f t="shared" si="56"/>
        <v>(4)</v>
      </c>
      <c r="M534" s="402" t="str">
        <f t="shared" si="56"/>
        <v/>
      </c>
      <c r="N534" s="402" t="str">
        <f t="shared" si="56"/>
        <v>(5)</v>
      </c>
      <c r="O534" s="402" t="str">
        <f t="shared" si="56"/>
        <v/>
      </c>
      <c r="Q534" s="402" t="str">
        <f>IF(+Q$8="","",Q$8)</f>
        <v>(6)</v>
      </c>
      <c r="R534" s="402" t="str">
        <f t="shared" si="56"/>
        <v/>
      </c>
      <c r="S534" s="402" t="str">
        <f t="shared" si="56"/>
        <v/>
      </c>
      <c r="T534" s="402" t="str">
        <f t="shared" si="56"/>
        <v/>
      </c>
    </row>
    <row r="535" spans="1:20" ht="14.1" customHeight="1" x14ac:dyDescent="0.2">
      <c r="A535" s="395" t="str">
        <f>IF(+A$9="","",A$9)</f>
        <v/>
      </c>
      <c r="B535" s="402" t="str">
        <f t="shared" ref="B535:T535" si="57">IF(+B$9="","",B$9)</f>
        <v/>
      </c>
      <c r="C535" s="402" t="str">
        <f t="shared" si="57"/>
        <v/>
      </c>
      <c r="D535" s="402" t="str">
        <f t="shared" si="57"/>
        <v/>
      </c>
      <c r="E535" s="402" t="str">
        <f t="shared" si="57"/>
        <v/>
      </c>
      <c r="F535" s="402" t="str">
        <f t="shared" si="57"/>
        <v/>
      </c>
      <c r="G535" s="402" t="str">
        <f t="shared" si="57"/>
        <v/>
      </c>
      <c r="H535" s="402" t="str">
        <f>IF(+H$9="","",H$9)</f>
        <v/>
      </c>
      <c r="I535" s="402" t="str">
        <f>IF(+I$9="","",I$9)</f>
        <v/>
      </c>
      <c r="J535" s="402" t="str">
        <f>IF(+J$9="","",J$9)</f>
        <v/>
      </c>
      <c r="K535" s="402"/>
      <c r="L535" s="402" t="str">
        <f t="shared" si="57"/>
        <v/>
      </c>
      <c r="M535" s="402" t="str">
        <f t="shared" si="57"/>
        <v/>
      </c>
      <c r="N535" s="402" t="str">
        <f t="shared" si="57"/>
        <v/>
      </c>
      <c r="O535" s="402" t="str">
        <f t="shared" si="57"/>
        <v/>
      </c>
      <c r="Q535" s="402" t="str">
        <f>IF(+Q$9="","",Q$9)</f>
        <v/>
      </c>
      <c r="R535" s="402" t="str">
        <f t="shared" si="57"/>
        <v/>
      </c>
      <c r="S535" s="402" t="str">
        <f t="shared" si="57"/>
        <v/>
      </c>
      <c r="T535" s="402" t="str">
        <f t="shared" si="57"/>
        <v/>
      </c>
    </row>
    <row r="536" spans="1:20" ht="14.1" customHeight="1" x14ac:dyDescent="0.2">
      <c r="A536" s="395" t="str">
        <f>IF(+A$10="","",A$10)</f>
        <v/>
      </c>
      <c r="B536" s="402" t="str">
        <f t="shared" ref="B536:T536" si="58">IF(+B$10="","",B$10)</f>
        <v/>
      </c>
      <c r="C536" s="402" t="str">
        <f t="shared" si="58"/>
        <v xml:space="preserve">Current </v>
      </c>
      <c r="D536" s="402" t="str">
        <f t="shared" si="58"/>
        <v/>
      </c>
      <c r="E536" s="402" t="str">
        <f t="shared" si="58"/>
        <v/>
      </c>
      <c r="F536" s="402" t="str">
        <f t="shared" si="58"/>
        <v/>
      </c>
      <c r="G536" s="402" t="str">
        <f t="shared" si="58"/>
        <v/>
      </c>
      <c r="H536" s="402" t="str">
        <f>IF(+H$10="","",H$10)</f>
        <v/>
      </c>
      <c r="I536" s="402" t="str">
        <f>IF(+I$10="","",I$10)</f>
        <v/>
      </c>
      <c r="J536" s="402" t="str">
        <f>IF(+J$10="","",J$10)</f>
        <v/>
      </c>
      <c r="K536" s="402"/>
      <c r="L536" s="402" t="str">
        <f t="shared" si="58"/>
        <v>Proposed</v>
      </c>
      <c r="M536" s="402" t="str">
        <f t="shared" si="58"/>
        <v/>
      </c>
      <c r="N536" s="402" t="str">
        <f t="shared" si="58"/>
        <v/>
      </c>
      <c r="O536" s="402" t="str">
        <f t="shared" si="58"/>
        <v/>
      </c>
      <c r="Q536" s="402" t="str">
        <f>IF(+Q$10="","",Q$10)</f>
        <v>Percent</v>
      </c>
      <c r="R536" s="402" t="str">
        <f t="shared" si="58"/>
        <v/>
      </c>
      <c r="S536" s="402" t="str">
        <f t="shared" si="58"/>
        <v/>
      </c>
      <c r="T536" s="402" t="str">
        <f t="shared" si="58"/>
        <v/>
      </c>
    </row>
    <row r="537" spans="1:20" ht="14.1" customHeight="1" x14ac:dyDescent="0.2">
      <c r="A537" s="395" t="str">
        <f>IF(+A$11="","",A$11)</f>
        <v>Line</v>
      </c>
      <c r="B537" s="402" t="str">
        <f t="shared" ref="B537:T537" si="59">IF(+B$11="","",B$11)</f>
        <v/>
      </c>
      <c r="C537" s="402" t="str">
        <f t="shared" si="59"/>
        <v>Rate</v>
      </c>
      <c r="D537" s="402" t="str">
        <f t="shared" si="59"/>
        <v/>
      </c>
      <c r="E537" s="402" t="str">
        <f t="shared" si="59"/>
        <v/>
      </c>
      <c r="F537" s="402" t="str">
        <f t="shared" si="59"/>
        <v/>
      </c>
      <c r="G537" s="402" t="str">
        <f t="shared" si="59"/>
        <v/>
      </c>
      <c r="H537" s="402" t="str">
        <f>IF(+H$11="","",H$11)</f>
        <v/>
      </c>
      <c r="I537" s="402" t="str">
        <f>IF(+I$11="","",I$11)</f>
        <v>Current</v>
      </c>
      <c r="J537" s="402" t="str">
        <f>IF(+J$11="","",J$11)</f>
        <v/>
      </c>
      <c r="K537" s="402"/>
      <c r="L537" s="402" t="str">
        <f t="shared" si="59"/>
        <v>Rate</v>
      </c>
      <c r="M537" s="402" t="str">
        <f t="shared" si="59"/>
        <v/>
      </c>
      <c r="N537" s="402" t="str">
        <f t="shared" si="59"/>
        <v>Proposed</v>
      </c>
      <c r="O537" s="402" t="str">
        <f t="shared" si="59"/>
        <v/>
      </c>
      <c r="Q537" s="402" t="str">
        <f>IF(+Q$11="","",Q$11)</f>
        <v>Increase</v>
      </c>
      <c r="R537" s="402" t="str">
        <f t="shared" si="59"/>
        <v/>
      </c>
      <c r="S537" s="402" t="str">
        <f t="shared" si="59"/>
        <v/>
      </c>
      <c r="T537" s="402" t="str">
        <f t="shared" si="59"/>
        <v/>
      </c>
    </row>
    <row r="538" spans="1:20" ht="14.1" customHeight="1" thickBot="1" x14ac:dyDescent="0.25">
      <c r="A538" s="396" t="str">
        <f>IF(+A$12="","",A$12)</f>
        <v>No.</v>
      </c>
      <c r="B538" s="400" t="str">
        <f t="shared" ref="B538:T538" si="60">IF(+B$12="","",B$12)</f>
        <v/>
      </c>
      <c r="C538" s="400" t="str">
        <f t="shared" si="60"/>
        <v>Schedule</v>
      </c>
      <c r="D538" s="400" t="str">
        <f t="shared" si="60"/>
        <v/>
      </c>
      <c r="E538" s="400"/>
      <c r="F538" s="400" t="str">
        <f t="shared" si="60"/>
        <v>Type of Charge</v>
      </c>
      <c r="G538" s="400"/>
      <c r="H538" s="400" t="str">
        <f>IF(+H$12="","",H$12)</f>
        <v/>
      </c>
      <c r="I538" s="400" t="str">
        <f>IF(+I$12="","",I$12)</f>
        <v>Rate</v>
      </c>
      <c r="J538" s="400" t="str">
        <f>IF(+J$12="","",J$12)</f>
        <v/>
      </c>
      <c r="K538" s="400"/>
      <c r="L538" s="400" t="str">
        <f t="shared" si="60"/>
        <v>Schedule</v>
      </c>
      <c r="M538" s="400" t="str">
        <f t="shared" si="60"/>
        <v/>
      </c>
      <c r="N538" s="400" t="str">
        <f t="shared" si="60"/>
        <v>Rate</v>
      </c>
      <c r="O538" s="400" t="str">
        <f t="shared" si="60"/>
        <v/>
      </c>
      <c r="P538" s="396"/>
      <c r="Q538" s="400" t="str">
        <f>IF(+Q$12="","",Q$12)</f>
        <v>((5)-(3))/(3)</v>
      </c>
      <c r="R538" s="400" t="str">
        <f t="shared" si="60"/>
        <v/>
      </c>
      <c r="S538" s="400" t="str">
        <f t="shared" si="60"/>
        <v/>
      </c>
      <c r="T538" s="400" t="str">
        <f t="shared" si="60"/>
        <v/>
      </c>
    </row>
    <row r="539" spans="1:20" ht="14.1" customHeight="1" x14ac:dyDescent="0.2">
      <c r="A539" s="395">
        <v>1</v>
      </c>
      <c r="B539" s="493"/>
      <c r="C539" s="101" t="s">
        <v>768</v>
      </c>
      <c r="D539" s="74"/>
      <c r="G539" s="65"/>
      <c r="H539" s="74"/>
      <c r="J539" s="74"/>
      <c r="K539" s="74"/>
      <c r="L539" s="101" t="s">
        <v>768</v>
      </c>
      <c r="M539" s="74"/>
      <c r="N539" s="74"/>
      <c r="O539" s="74"/>
      <c r="Q539" s="74"/>
      <c r="R539" s="74"/>
      <c r="S539" s="74"/>
      <c r="T539" s="74"/>
    </row>
    <row r="540" spans="1:20" ht="14.1" customHeight="1" x14ac:dyDescent="0.2">
      <c r="A540" s="395">
        <v>2</v>
      </c>
      <c r="B540" s="493"/>
      <c r="C540" s="101"/>
      <c r="D540" s="74"/>
      <c r="E540" s="122" t="s">
        <v>327</v>
      </c>
      <c r="G540" s="65"/>
      <c r="H540" s="74"/>
      <c r="J540" s="74"/>
      <c r="K540" s="74"/>
      <c r="L540" s="101"/>
      <c r="M540" s="74"/>
      <c r="N540" s="74"/>
      <c r="O540" s="74"/>
      <c r="Q540" s="74"/>
      <c r="R540" s="74"/>
      <c r="S540" s="74"/>
      <c r="T540" s="74"/>
    </row>
    <row r="541" spans="1:20" ht="14.1" customHeight="1" x14ac:dyDescent="0.2">
      <c r="A541" s="395">
        <v>3</v>
      </c>
      <c r="B541" s="494"/>
      <c r="F541" s="134" t="s">
        <v>328</v>
      </c>
      <c r="H541" s="74"/>
      <c r="I541" s="93">
        <f>+ROUND('2025 GSLDSU Rate Class E-13c'!J73,2)</f>
        <v>84.73</v>
      </c>
      <c r="J541" s="74" t="s">
        <v>1050</v>
      </c>
      <c r="K541" s="74"/>
      <c r="L541" s="74"/>
      <c r="M541" s="65"/>
      <c r="N541" s="93">
        <f>+ROUND('2025 GSLDSU Rate Class E-13c'!Q73,2)</f>
        <v>128.44</v>
      </c>
      <c r="O541" s="74" t="s">
        <v>1050</v>
      </c>
      <c r="Q541" s="67">
        <f>IF(I541=0,0,+(N541-I541)/I541)</f>
        <v>0.51587395255517521</v>
      </c>
      <c r="R541" s="74"/>
      <c r="S541" s="74"/>
      <c r="T541" s="74"/>
    </row>
    <row r="542" spans="1:20" ht="14.1" customHeight="1" x14ac:dyDescent="0.2">
      <c r="A542" s="395">
        <v>4</v>
      </c>
      <c r="B542" s="494"/>
      <c r="C542" s="65"/>
      <c r="F542" s="395" t="s">
        <v>1129</v>
      </c>
      <c r="I542" s="93">
        <f>+ROUND('2025 GSLDSU Rate Class E-13c'!J74,2)</f>
        <v>84.73</v>
      </c>
      <c r="J542" s="74" t="s">
        <v>1050</v>
      </c>
      <c r="K542" s="74"/>
      <c r="N542" s="93">
        <f>+ROUND('2025 GSLDSU Rate Class E-13c'!Q74,2)</f>
        <v>128.44</v>
      </c>
      <c r="O542" s="74" t="s">
        <v>1050</v>
      </c>
      <c r="Q542" s="67">
        <f>IF(I542=0,0,+(N542-I542)/I542)</f>
        <v>0.51587395255517521</v>
      </c>
      <c r="R542" s="68"/>
      <c r="S542" s="68"/>
      <c r="T542" s="68"/>
    </row>
    <row r="543" spans="1:20" ht="14.1" customHeight="1" x14ac:dyDescent="0.2">
      <c r="A543" s="395">
        <v>5</v>
      </c>
      <c r="B543" s="494"/>
      <c r="C543" s="65"/>
      <c r="R543" s="68"/>
      <c r="S543" s="68"/>
      <c r="T543" s="68"/>
    </row>
    <row r="544" spans="1:20" ht="14.1" customHeight="1" x14ac:dyDescent="0.2">
      <c r="A544" s="395">
        <v>6</v>
      </c>
      <c r="B544" s="494"/>
      <c r="C544" s="65"/>
      <c r="E544" s="398" t="s">
        <v>1084</v>
      </c>
      <c r="G544" s="74"/>
      <c r="H544" s="68"/>
      <c r="I544" s="93"/>
      <c r="J544" s="68"/>
      <c r="K544" s="68"/>
      <c r="L544" s="68"/>
      <c r="M544" s="64"/>
      <c r="N544" s="93"/>
      <c r="O544" s="68"/>
      <c r="Q544" s="68"/>
      <c r="R544" s="68"/>
      <c r="S544" s="68"/>
      <c r="T544" s="68"/>
    </row>
    <row r="545" spans="1:20" ht="14.1" customHeight="1" x14ac:dyDescent="0.2">
      <c r="A545" s="395">
        <v>7</v>
      </c>
      <c r="B545" s="494"/>
      <c r="C545" s="65"/>
      <c r="F545" s="134" t="s">
        <v>328</v>
      </c>
      <c r="G545" s="74"/>
      <c r="H545" s="68"/>
      <c r="I545" s="138">
        <f>+ROUND('2025 GSLDSU Rate Class E-13c'!J92,2)</f>
        <v>9.2899999999999991</v>
      </c>
      <c r="J545" s="68" t="s">
        <v>1018</v>
      </c>
      <c r="K545" s="68"/>
      <c r="L545" s="68"/>
      <c r="M545" s="64"/>
      <c r="N545" s="138">
        <f>+ROUND('2025 GSLDSU Rate Class E-13c'!Q92,2)</f>
        <v>12.77</v>
      </c>
      <c r="O545" s="68" t="s">
        <v>1018</v>
      </c>
      <c r="Q545" s="67">
        <f>IF(I545=0,0,+(N545-I545)/I545)</f>
        <v>0.37459634015069976</v>
      </c>
      <c r="R545" s="68"/>
      <c r="S545" s="68"/>
      <c r="T545" s="68"/>
    </row>
    <row r="546" spans="1:20" ht="14.1" customHeight="1" x14ac:dyDescent="0.2">
      <c r="A546" s="395">
        <v>8</v>
      </c>
      <c r="B546" s="494"/>
      <c r="C546" s="65"/>
      <c r="F546" s="395" t="s">
        <v>1126</v>
      </c>
      <c r="I546" s="138">
        <f>+ROUND('2025 GSLDSU Rate Class E-13c'!J93,2)</f>
        <v>2.95</v>
      </c>
      <c r="J546" s="68" t="s">
        <v>1018</v>
      </c>
      <c r="K546" s="68"/>
      <c r="N546" s="138">
        <f>+ROUND('2025 GSLDSU Rate Class E-13c'!Q93,2)</f>
        <v>1.55</v>
      </c>
      <c r="O546" s="68" t="s">
        <v>1018</v>
      </c>
      <c r="Q546" s="67">
        <f>IF(I546=0,0,+(N546-I546)/I546)</f>
        <v>-0.47457627118644069</v>
      </c>
      <c r="R546" s="68"/>
      <c r="S546" s="68"/>
      <c r="T546" s="68"/>
    </row>
    <row r="547" spans="1:20" ht="14.1" customHeight="1" x14ac:dyDescent="0.2">
      <c r="A547" s="395">
        <v>9</v>
      </c>
      <c r="B547" s="494"/>
      <c r="C547" s="74"/>
      <c r="F547" s="395" t="s">
        <v>1127</v>
      </c>
      <c r="I547" s="138">
        <f>+ROUND('2025 GSLDSU Rate Class E-13c'!J94,2)</f>
        <v>6.31</v>
      </c>
      <c r="J547" s="68" t="s">
        <v>1018</v>
      </c>
      <c r="K547" s="68"/>
      <c r="N547" s="138">
        <f>+ROUND('2025 GSLDSU Rate Class E-13c'!Q94,2)</f>
        <v>11.22</v>
      </c>
      <c r="O547" s="68" t="s">
        <v>1018</v>
      </c>
      <c r="Q547" s="138">
        <f>IF(I547=0,0,+(N547-I547)/I547)</f>
        <v>0.77812995245641858</v>
      </c>
      <c r="R547" s="68"/>
      <c r="S547" s="68"/>
      <c r="T547" s="68"/>
    </row>
    <row r="548" spans="1:20" ht="14.1" customHeight="1" x14ac:dyDescent="0.2">
      <c r="A548" s="395">
        <v>10</v>
      </c>
      <c r="B548" s="494"/>
      <c r="C548" s="74"/>
      <c r="I548" s="501"/>
      <c r="J548" s="68"/>
      <c r="K548" s="68"/>
      <c r="N548" s="501"/>
      <c r="O548" s="68"/>
      <c r="Q548" s="67"/>
      <c r="R548" s="68"/>
      <c r="S548" s="68"/>
      <c r="T548" s="68"/>
    </row>
    <row r="549" spans="1:20" ht="14.1" customHeight="1" x14ac:dyDescent="0.2">
      <c r="A549" s="395">
        <v>11</v>
      </c>
      <c r="B549" s="494"/>
      <c r="C549" s="74"/>
      <c r="E549" s="133" t="s">
        <v>1088</v>
      </c>
      <c r="R549" s="68"/>
      <c r="S549" s="68"/>
      <c r="T549" s="68"/>
    </row>
    <row r="550" spans="1:20" ht="14.1" customHeight="1" x14ac:dyDescent="0.2">
      <c r="A550" s="395">
        <v>12</v>
      </c>
      <c r="B550" s="494"/>
      <c r="C550" s="74"/>
      <c r="F550" s="134" t="s">
        <v>328</v>
      </c>
      <c r="I550" s="152">
        <f>+ROUND('2025 GSLDSU Rate Class E-13c'!J78,5)</f>
        <v>1.1509999999999999E-2</v>
      </c>
      <c r="J550" s="127" t="s">
        <v>1123</v>
      </c>
      <c r="K550" s="68"/>
      <c r="N550" s="152">
        <f>+ROUND('2025 GSLDSU Rate Class E-13c'!Q78,5)</f>
        <v>1.163E-2</v>
      </c>
      <c r="O550" s="127" t="s">
        <v>1123</v>
      </c>
      <c r="Q550" s="67">
        <f>IF(I550=0,0,+(N550-I550)/I550)</f>
        <v>1.042571676802783E-2</v>
      </c>
      <c r="R550" s="68"/>
      <c r="S550" s="68"/>
      <c r="T550" s="68"/>
    </row>
    <row r="551" spans="1:20" ht="14.1" customHeight="1" x14ac:dyDescent="0.2">
      <c r="A551" s="395">
        <v>13</v>
      </c>
      <c r="B551" s="494"/>
      <c r="C551" s="74"/>
      <c r="F551" s="395" t="s">
        <v>1069</v>
      </c>
      <c r="I551" s="152">
        <f>+ROUND('2025 GSLDSU Rate Class E-13c'!J79,5)</f>
        <v>1.3860000000000001E-2</v>
      </c>
      <c r="J551" s="127" t="s">
        <v>1123</v>
      </c>
      <c r="K551" s="68"/>
      <c r="N551" s="152">
        <f>+ROUND('2025 GSLDSU Rate Class E-13c'!Q79,5)</f>
        <v>2.0930000000000001E-2</v>
      </c>
      <c r="O551" s="127" t="s">
        <v>1123</v>
      </c>
      <c r="Q551" s="67">
        <f>IF(I551=0,0,+(N551-I551)/I551)</f>
        <v>0.51010101010101006</v>
      </c>
      <c r="R551" s="68"/>
      <c r="S551" s="68"/>
      <c r="T551" s="68"/>
    </row>
    <row r="552" spans="1:20" ht="14.1" customHeight="1" x14ac:dyDescent="0.2">
      <c r="A552" s="395">
        <v>14</v>
      </c>
      <c r="B552" s="494"/>
      <c r="C552" s="74"/>
      <c r="F552" s="395" t="s">
        <v>1070</v>
      </c>
      <c r="I552" s="152">
        <f>+ROUND('2025 GSLDSU Rate Class E-13c'!J80,5)</f>
        <v>1.078E-2</v>
      </c>
      <c r="J552" s="127" t="s">
        <v>1123</v>
      </c>
      <c r="K552" s="68"/>
      <c r="N552" s="152">
        <f>+ROUND('2025 GSLDSU Rate Class E-13c'!Q80,5)</f>
        <v>1.021E-2</v>
      </c>
      <c r="O552" s="127" t="s">
        <v>1123</v>
      </c>
      <c r="Q552" s="67">
        <f>+(N552-I552)/I552</f>
        <v>-5.2875695732838526E-2</v>
      </c>
      <c r="R552" s="68"/>
      <c r="S552" s="68"/>
      <c r="T552" s="68"/>
    </row>
    <row r="553" spans="1:20" ht="14.1" customHeight="1" x14ac:dyDescent="0.2">
      <c r="A553" s="395">
        <v>15</v>
      </c>
      <c r="B553" s="494"/>
      <c r="C553" s="74"/>
      <c r="F553" s="395" t="s">
        <v>1606</v>
      </c>
      <c r="I553" s="152">
        <f>+ROUND('2025 GSLDSU Rate Class E-13c'!J81,5)</f>
        <v>0</v>
      </c>
      <c r="J553" s="127" t="s">
        <v>1123</v>
      </c>
      <c r="N553" s="152">
        <f>+ROUND('2025 GSLDSU Rate Class E-13c'!Q81,5)</f>
        <v>7.1700000000000002E-3</v>
      </c>
      <c r="O553" s="127" t="s">
        <v>1123</v>
      </c>
      <c r="Q553" s="147" t="s">
        <v>1125</v>
      </c>
      <c r="R553" s="68"/>
      <c r="S553" s="68"/>
      <c r="T553" s="68"/>
    </row>
    <row r="554" spans="1:20" ht="14.1" customHeight="1" x14ac:dyDescent="0.2">
      <c r="A554" s="395">
        <v>16</v>
      </c>
      <c r="B554" s="494"/>
      <c r="C554" s="74"/>
      <c r="R554" s="68"/>
      <c r="S554" s="68"/>
      <c r="T554" s="68"/>
    </row>
    <row r="555" spans="1:20" ht="14.1" customHeight="1" x14ac:dyDescent="0.2">
      <c r="A555" s="395">
        <v>17</v>
      </c>
      <c r="B555" s="494"/>
      <c r="C555" s="74"/>
      <c r="E555" s="398" t="s">
        <v>1128</v>
      </c>
      <c r="G555" s="74"/>
      <c r="H555" s="68"/>
      <c r="I555" s="93"/>
      <c r="J555" s="68"/>
      <c r="K555" s="68"/>
      <c r="L555" s="68"/>
      <c r="M555" s="68"/>
      <c r="N555" s="93"/>
      <c r="O555" s="68"/>
      <c r="Q555" s="68"/>
      <c r="R555" s="68"/>
      <c r="S555" s="68"/>
      <c r="T555" s="68"/>
    </row>
    <row r="556" spans="1:20" ht="14.1" customHeight="1" x14ac:dyDescent="0.2">
      <c r="A556" s="395">
        <v>18</v>
      </c>
      <c r="B556" s="494"/>
      <c r="C556" s="74"/>
      <c r="F556" s="395" t="s">
        <v>1093</v>
      </c>
      <c r="G556" s="74"/>
      <c r="H556" s="68"/>
      <c r="I556" s="138">
        <f>+ROUND('2025 GSLDSU Rate Class E-13c'!J98,2)</f>
        <v>0.86</v>
      </c>
      <c r="J556" s="68" t="s">
        <v>1018</v>
      </c>
      <c r="K556" s="68"/>
      <c r="L556" s="68"/>
      <c r="M556" s="68"/>
      <c r="N556" s="138">
        <f>+ROUND('2025 GSLDSU Rate Class E-13c'!Q98,2)</f>
        <v>1.3</v>
      </c>
      <c r="O556" s="68" t="s">
        <v>1018</v>
      </c>
      <c r="Q556" s="67">
        <f>IF(I556=0,0,+(N556-I556)/I556)</f>
        <v>0.51162790697674421</v>
      </c>
      <c r="R556" s="68"/>
      <c r="S556" s="68"/>
      <c r="T556" s="68"/>
    </row>
    <row r="557" spans="1:20" ht="14.1" customHeight="1" x14ac:dyDescent="0.2">
      <c r="A557" s="395">
        <v>19</v>
      </c>
      <c r="B557" s="494"/>
      <c r="C557" s="74"/>
      <c r="F557" s="395" t="s">
        <v>1094</v>
      </c>
      <c r="L557" s="68"/>
      <c r="M557" s="68"/>
      <c r="Q557" s="68"/>
      <c r="R557" s="68"/>
      <c r="S557" s="68"/>
      <c r="T557" s="68"/>
    </row>
    <row r="558" spans="1:20" ht="14.1" customHeight="1" x14ac:dyDescent="0.2">
      <c r="A558" s="395">
        <v>20</v>
      </c>
      <c r="B558" s="494"/>
      <c r="C558" s="74"/>
      <c r="F558" s="395" t="s">
        <v>1095</v>
      </c>
      <c r="I558" s="138">
        <f>+ROUND('2025 GSLDSU Rate Class E-13c'!J99,2)</f>
        <v>1.1200000000000001</v>
      </c>
      <c r="J558" s="395" t="s">
        <v>1096</v>
      </c>
      <c r="L558" s="68"/>
      <c r="M558" s="68"/>
      <c r="N558" s="138">
        <f>+ROUND('2025 GSLDSU Rate Class E-13c'!Q99,2)</f>
        <v>1.54</v>
      </c>
      <c r="O558" s="395" t="s">
        <v>1096</v>
      </c>
      <c r="Q558" s="67">
        <f>IF(I558=0,0,+(N558-I558)/I558)</f>
        <v>0.37499999999999989</v>
      </c>
      <c r="R558" s="68"/>
      <c r="S558" s="68"/>
      <c r="T558" s="68"/>
    </row>
    <row r="559" spans="1:20" ht="14.1" customHeight="1" x14ac:dyDescent="0.2">
      <c r="A559" s="395">
        <v>21</v>
      </c>
      <c r="B559" s="494"/>
      <c r="C559" s="74"/>
      <c r="F559" s="395" t="s">
        <v>1097</v>
      </c>
      <c r="I559" s="138">
        <f>+ROUND('2025 GSLDSU Rate Class E-13c'!J100,2)</f>
        <v>0.44</v>
      </c>
      <c r="J559" s="395" t="s">
        <v>1098</v>
      </c>
      <c r="L559" s="68"/>
      <c r="M559" s="68"/>
      <c r="N559" s="138">
        <f>+ROUND('2025 GSLDSU Rate Class E-13c'!Q100,2)</f>
        <v>0.61</v>
      </c>
      <c r="O559" s="395" t="s">
        <v>1098</v>
      </c>
      <c r="Q559" s="67">
        <f>IF(I559=0,0,+(N559-I559)/I559)</f>
        <v>0.38636363636363635</v>
      </c>
      <c r="R559" s="68"/>
      <c r="S559" s="68"/>
      <c r="T559" s="68"/>
    </row>
    <row r="560" spans="1:20" ht="14.1" customHeight="1" x14ac:dyDescent="0.2">
      <c r="A560" s="395">
        <v>22</v>
      </c>
      <c r="B560" s="494"/>
      <c r="C560" s="74"/>
      <c r="G560" s="65"/>
      <c r="H560" s="68"/>
      <c r="I560" s="116"/>
      <c r="J560" s="68"/>
      <c r="K560" s="68"/>
      <c r="L560" s="68"/>
      <c r="M560" s="68"/>
      <c r="N560" s="116"/>
      <c r="O560" s="68"/>
      <c r="Q560" s="67"/>
      <c r="R560" s="68"/>
      <c r="S560" s="68"/>
      <c r="T560" s="68"/>
    </row>
    <row r="561" spans="1:20" ht="14.1" customHeight="1" x14ac:dyDescent="0.2">
      <c r="A561" s="395">
        <v>23</v>
      </c>
      <c r="B561" s="494"/>
      <c r="C561" s="74"/>
      <c r="E561" s="133" t="s">
        <v>1099</v>
      </c>
      <c r="G561" s="65"/>
      <c r="H561" s="68"/>
      <c r="J561" s="68"/>
      <c r="K561" s="68"/>
      <c r="L561" s="68"/>
      <c r="M561" s="68"/>
      <c r="O561" s="68"/>
      <c r="Q561" s="68"/>
      <c r="R561" s="68"/>
      <c r="S561" s="68"/>
      <c r="T561" s="68"/>
    </row>
    <row r="562" spans="1:20" ht="14.1" customHeight="1" x14ac:dyDescent="0.2">
      <c r="A562" s="395">
        <v>24</v>
      </c>
      <c r="B562" s="494"/>
      <c r="C562" s="74"/>
      <c r="F562" s="395" t="s">
        <v>1131</v>
      </c>
      <c r="I562" s="148">
        <f>+ROUND('2025 GSLDSU Rate Class E-13c'!J85,5)</f>
        <v>8.5699999999999995E-3</v>
      </c>
      <c r="J562" s="127" t="s">
        <v>1123</v>
      </c>
      <c r="K562" s="68"/>
      <c r="L562" s="68"/>
      <c r="M562" s="68"/>
      <c r="N562" s="148">
        <f>+ROUND('2025 GSLDSU Rate Class E-13c'!Q85,5)</f>
        <v>8.6599999999999993E-3</v>
      </c>
      <c r="O562" s="127" t="s">
        <v>1123</v>
      </c>
      <c r="Q562" s="67">
        <f>IF(I562=0,0,+(N562-I562)/I562)</f>
        <v>1.0501750291715264E-2</v>
      </c>
      <c r="R562" s="68"/>
      <c r="S562" s="68"/>
      <c r="T562" s="68"/>
    </row>
    <row r="563" spans="1:20" ht="14.1" customHeight="1" x14ac:dyDescent="0.2">
      <c r="A563" s="395">
        <v>25</v>
      </c>
      <c r="B563" s="494"/>
      <c r="C563" s="74"/>
      <c r="R563" s="68"/>
      <c r="S563" s="68"/>
      <c r="T563" s="68"/>
    </row>
    <row r="564" spans="1:20" ht="14.1" customHeight="1" x14ac:dyDescent="0.2">
      <c r="A564" s="395">
        <v>26</v>
      </c>
      <c r="B564" s="494"/>
      <c r="C564" s="74"/>
      <c r="E564" s="118" t="s">
        <v>1116</v>
      </c>
      <c r="G564" s="68"/>
      <c r="H564" s="68"/>
      <c r="R564" s="68"/>
      <c r="S564" s="68"/>
      <c r="T564" s="68"/>
    </row>
    <row r="565" spans="1:20" ht="14.1" customHeight="1" x14ac:dyDescent="0.2">
      <c r="A565" s="395">
        <v>27</v>
      </c>
      <c r="B565" s="494"/>
      <c r="C565" s="74"/>
      <c r="F565" s="395" t="s">
        <v>1117</v>
      </c>
      <c r="I565" s="93">
        <f>+ROUND('2025 GSLDSU Rate Class E-13c'!J133,2)</f>
        <v>0.68</v>
      </c>
      <c r="J565" s="68" t="s">
        <v>1018</v>
      </c>
      <c r="K565" s="68"/>
      <c r="L565" s="68"/>
      <c r="M565" s="68"/>
      <c r="N565" s="93">
        <f>+ROUND('2025 GSLDSU Rate Class E-13c'!Q133,2)</f>
        <v>1.02</v>
      </c>
      <c r="O565" s="68" t="s">
        <v>1018</v>
      </c>
      <c r="Q565" s="67">
        <f>IF(I565=0,0,+(N565-I565)/I565)</f>
        <v>0.49999999999999994</v>
      </c>
      <c r="R565" s="68"/>
      <c r="S565" s="68"/>
      <c r="T565" s="68"/>
    </row>
    <row r="566" spans="1:20" ht="14.1" customHeight="1" x14ac:dyDescent="0.2">
      <c r="A566" s="395">
        <v>28</v>
      </c>
      <c r="B566" s="494"/>
      <c r="C566" s="74"/>
      <c r="F566" s="395" t="s">
        <v>1118</v>
      </c>
      <c r="I566" s="93">
        <f>+ROUND('2025 GSLDSU Rate Class E-13c'!J134,2)</f>
        <v>0.68</v>
      </c>
      <c r="J566" s="68" t="s">
        <v>1018</v>
      </c>
      <c r="N566" s="93">
        <f>+ROUND('2025 GSLDSU Rate Class E-13c'!Q134,2)</f>
        <v>1.02</v>
      </c>
      <c r="O566" s="68" t="s">
        <v>1018</v>
      </c>
      <c r="Q566" s="67">
        <f>IF(I566=0,0,+(N566-I566)/I566)</f>
        <v>0.49999999999999994</v>
      </c>
      <c r="R566" s="68"/>
      <c r="S566" s="68"/>
      <c r="T566" s="68"/>
    </row>
    <row r="567" spans="1:20" ht="14.1" customHeight="1" x14ac:dyDescent="0.2">
      <c r="A567" s="395">
        <v>29</v>
      </c>
      <c r="B567" s="494"/>
      <c r="C567" s="74"/>
      <c r="R567" s="68"/>
      <c r="S567" s="68"/>
      <c r="T567" s="68"/>
    </row>
    <row r="568" spans="1:20" ht="14.1" customHeight="1" x14ac:dyDescent="0.2">
      <c r="A568" s="395">
        <v>30</v>
      </c>
      <c r="B568" s="494"/>
      <c r="C568" s="74"/>
      <c r="E568" s="395" t="s">
        <v>1080</v>
      </c>
      <c r="I568" s="148">
        <f>+ROUND('2025 GSLDSU Rate Class E-13c'!J41,5)</f>
        <v>2.0300000000000001E-3</v>
      </c>
      <c r="J568" s="395" t="s">
        <v>1081</v>
      </c>
      <c r="L568" s="68"/>
      <c r="M568" s="68"/>
      <c r="N568" s="148">
        <f>+ROUND('2025 GSLDSU Rate Class E-13c'!Q41,5)</f>
        <v>2.0300000000000001E-3</v>
      </c>
      <c r="O568" s="395" t="s">
        <v>1081</v>
      </c>
      <c r="Q568" s="67">
        <f>IF(I568=0,0,+(N568-I568)/I568)</f>
        <v>0</v>
      </c>
      <c r="R568" s="68"/>
      <c r="S568" s="68"/>
      <c r="T568" s="68"/>
    </row>
    <row r="569" spans="1:20" ht="14.1" customHeight="1" x14ac:dyDescent="0.2">
      <c r="A569" s="395">
        <v>31</v>
      </c>
      <c r="B569" s="494"/>
      <c r="C569" s="74"/>
      <c r="I569" s="500"/>
      <c r="L569" s="68"/>
      <c r="M569" s="68"/>
      <c r="N569" s="500"/>
      <c r="Q569" s="68"/>
      <c r="R569" s="68"/>
      <c r="S569" s="68"/>
      <c r="T569" s="68"/>
    </row>
    <row r="570" spans="1:20" ht="14.1" customHeight="1" x14ac:dyDescent="0.2">
      <c r="A570" s="395">
        <v>32</v>
      </c>
      <c r="B570" s="494"/>
      <c r="C570" s="74"/>
      <c r="E570" s="395" t="s">
        <v>1082</v>
      </c>
      <c r="F570" s="65"/>
      <c r="G570" s="68"/>
      <c r="H570" s="68"/>
      <c r="I570" s="148">
        <f>+ROUND('2025 GSLDSU Rate Class E-13c'!J45,5)</f>
        <v>-1.0200000000000001E-3</v>
      </c>
      <c r="J570" s="395" t="s">
        <v>1081</v>
      </c>
      <c r="L570" s="68"/>
      <c r="M570" s="68"/>
      <c r="N570" s="148">
        <f>+ROUND('2025 GSLDSU Rate Class E-13c'!Q45,5)</f>
        <v>-1.0200000000000001E-3</v>
      </c>
      <c r="O570" s="395" t="s">
        <v>1081</v>
      </c>
      <c r="Q570" s="67">
        <f>IF(I570=0,0,+(N570-I570)/I570)</f>
        <v>0</v>
      </c>
      <c r="R570" s="68"/>
      <c r="S570" s="68"/>
      <c r="T570" s="68"/>
    </row>
    <row r="571" spans="1:20" ht="14.1" customHeight="1" x14ac:dyDescent="0.2">
      <c r="A571" s="395">
        <v>33</v>
      </c>
      <c r="B571" s="494"/>
      <c r="C571" s="74"/>
      <c r="F571" s="130"/>
      <c r="G571" s="68"/>
      <c r="H571" s="68"/>
      <c r="I571" s="138"/>
      <c r="J571" s="68"/>
      <c r="K571" s="68"/>
      <c r="L571" s="68"/>
      <c r="M571" s="68"/>
      <c r="N571" s="138"/>
      <c r="O571" s="68"/>
      <c r="Q571" s="67"/>
      <c r="R571" s="68"/>
      <c r="S571" s="68"/>
      <c r="T571" s="68"/>
    </row>
    <row r="572" spans="1:20" ht="14.1" customHeight="1" x14ac:dyDescent="0.2">
      <c r="A572" s="395">
        <v>34</v>
      </c>
      <c r="B572" s="494"/>
      <c r="C572" s="74"/>
      <c r="F572" s="130"/>
      <c r="G572" s="68"/>
      <c r="H572" s="68"/>
      <c r="I572" s="138"/>
      <c r="J572" s="68"/>
      <c r="K572" s="68"/>
      <c r="L572" s="68"/>
      <c r="M572" s="68"/>
      <c r="N572" s="138"/>
      <c r="O572" s="68"/>
      <c r="Q572" s="67"/>
      <c r="R572" s="68"/>
      <c r="S572" s="68"/>
      <c r="T572" s="68"/>
    </row>
    <row r="573" spans="1:20" ht="14.1" customHeight="1" x14ac:dyDescent="0.2">
      <c r="A573" s="395">
        <v>35</v>
      </c>
      <c r="B573" s="494"/>
      <c r="C573" s="74"/>
      <c r="F573" s="130"/>
      <c r="G573" s="68"/>
      <c r="H573" s="68"/>
      <c r="I573" s="138"/>
      <c r="J573" s="68"/>
      <c r="K573" s="68"/>
      <c r="L573" s="68"/>
      <c r="M573" s="68"/>
      <c r="N573" s="138"/>
      <c r="O573" s="68"/>
      <c r="Q573" s="67"/>
      <c r="R573" s="68"/>
      <c r="S573" s="68"/>
      <c r="T573" s="68"/>
    </row>
    <row r="574" spans="1:20" ht="14.1" customHeight="1" thickBot="1" x14ac:dyDescent="0.25">
      <c r="A574" s="496">
        <v>36</v>
      </c>
      <c r="B574" s="496"/>
      <c r="C574" s="136"/>
      <c r="D574" s="396"/>
      <c r="E574" s="396"/>
      <c r="F574" s="396"/>
      <c r="G574" s="396"/>
      <c r="H574" s="396"/>
      <c r="I574" s="396"/>
      <c r="J574" s="396"/>
      <c r="K574" s="396"/>
      <c r="L574" s="396"/>
      <c r="M574" s="396"/>
      <c r="N574" s="396"/>
      <c r="O574" s="396"/>
      <c r="P574" s="396"/>
      <c r="Q574" s="396"/>
      <c r="R574" s="105"/>
      <c r="S574" s="105"/>
      <c r="T574" s="137"/>
    </row>
    <row r="575" spans="1:20" ht="14.1" customHeight="1" x14ac:dyDescent="0.2">
      <c r="A575" s="395" t="str">
        <f>+$A$49</f>
        <v>Supporting Schedules:  E-7, E-14 Supplement</v>
      </c>
      <c r="R575" s="395" t="s">
        <v>1003</v>
      </c>
    </row>
    <row r="576" spans="1:20" ht="14.1" customHeight="1" thickBot="1" x14ac:dyDescent="0.25">
      <c r="A576" s="396" t="str">
        <f>+$A$2</f>
        <v>SCHEDULE A-3</v>
      </c>
      <c r="B576" s="396"/>
      <c r="C576" s="396"/>
      <c r="D576" s="396"/>
      <c r="E576" s="396"/>
      <c r="F576" s="396"/>
      <c r="G576" s="396"/>
      <c r="H576" s="396"/>
      <c r="I576" s="396" t="str">
        <f>+$I$2</f>
        <v>SUMMARY OF TARIFFS</v>
      </c>
      <c r="J576" s="396"/>
      <c r="K576" s="396"/>
      <c r="L576" s="396"/>
      <c r="M576" s="396"/>
      <c r="N576" s="396"/>
      <c r="O576" s="396"/>
      <c r="P576" s="396"/>
      <c r="Q576" s="396"/>
      <c r="R576" s="396"/>
      <c r="S576" s="396"/>
      <c r="T576" s="492" t="s">
        <v>1158</v>
      </c>
    </row>
    <row r="577" spans="1:20" ht="14.1" customHeight="1" x14ac:dyDescent="0.2">
      <c r="A577" s="395" t="s">
        <v>307</v>
      </c>
      <c r="F577" s="399" t="s">
        <v>1041</v>
      </c>
      <c r="G577" s="395" t="s">
        <v>1042</v>
      </c>
      <c r="L577" s="397"/>
      <c r="M577" s="397"/>
      <c r="O577" s="397"/>
      <c r="P577" s="397"/>
      <c r="Q577" s="397" t="s">
        <v>847</v>
      </c>
      <c r="T577" s="398"/>
    </row>
    <row r="578" spans="1:20" ht="14.1" customHeight="1" x14ac:dyDescent="0.2">
      <c r="G578" s="395" t="s">
        <v>1043</v>
      </c>
      <c r="L578" s="399"/>
      <c r="M578" s="398"/>
      <c r="P578" s="399"/>
      <c r="Q578" s="311" t="s">
        <v>919</v>
      </c>
      <c r="R578" s="310" t="s">
        <v>920</v>
      </c>
      <c r="T578" s="399"/>
    </row>
    <row r="579" spans="1:20" ht="14.1" customHeight="1" x14ac:dyDescent="0.2">
      <c r="A579" s="395" t="s">
        <v>310</v>
      </c>
      <c r="L579" s="399"/>
      <c r="M579" s="398"/>
      <c r="N579" s="399"/>
      <c r="Q579" s="311"/>
      <c r="R579" s="310" t="s">
        <v>937</v>
      </c>
      <c r="T579" s="399"/>
    </row>
    <row r="580" spans="1:20" ht="14.1" customHeight="1" x14ac:dyDescent="0.2">
      <c r="L580" s="399"/>
      <c r="M580" s="398"/>
      <c r="N580" s="399"/>
      <c r="Q580" s="311"/>
      <c r="R580" s="310" t="s">
        <v>938</v>
      </c>
      <c r="T580" s="399"/>
    </row>
    <row r="581" spans="1:20" ht="14.1" customHeight="1" thickBot="1" x14ac:dyDescent="0.25">
      <c r="A581" s="396" t="s">
        <v>1022</v>
      </c>
      <c r="B581" s="396"/>
      <c r="C581" s="396"/>
      <c r="D581" s="396"/>
      <c r="E581" s="396"/>
      <c r="F581" s="396"/>
      <c r="G581" s="396"/>
      <c r="H581" s="396"/>
      <c r="I581" s="400"/>
      <c r="J581" s="396"/>
      <c r="K581" s="396"/>
      <c r="L581" s="396"/>
      <c r="M581" s="396"/>
      <c r="N581" s="396"/>
      <c r="O581" s="396"/>
      <c r="P581" s="396"/>
      <c r="Q581" s="396"/>
      <c r="R581" s="396" t="s">
        <v>311</v>
      </c>
      <c r="S581" s="396"/>
      <c r="T581" s="396"/>
    </row>
    <row r="582" spans="1:20" ht="14.1" customHeight="1" x14ac:dyDescent="0.2">
      <c r="A582" s="395" t="str">
        <f>IF(+A$8="","",A$8)</f>
        <v/>
      </c>
      <c r="B582" s="402" t="str">
        <f t="shared" ref="B582:T582" si="61">IF(+B$8="","",B$8)</f>
        <v/>
      </c>
      <c r="C582" s="402" t="str">
        <f t="shared" si="61"/>
        <v>(1)</v>
      </c>
      <c r="D582" s="402" t="str">
        <f t="shared" si="61"/>
        <v/>
      </c>
      <c r="E582" s="402" t="str">
        <f t="shared" si="61"/>
        <v/>
      </c>
      <c r="F582" s="402" t="str">
        <f t="shared" si="61"/>
        <v>(2)</v>
      </c>
      <c r="G582" s="402" t="str">
        <f t="shared" si="61"/>
        <v/>
      </c>
      <c r="H582" s="402" t="str">
        <f>IF(+H$8="","",H$8)</f>
        <v/>
      </c>
      <c r="I582" s="402" t="str">
        <f>IF(+I$8="","",I$8)</f>
        <v>(3)</v>
      </c>
      <c r="J582" s="402" t="str">
        <f>IF(+J$8="","",J$8)</f>
        <v/>
      </c>
      <c r="K582" s="402"/>
      <c r="L582" s="402" t="str">
        <f t="shared" si="61"/>
        <v>(4)</v>
      </c>
      <c r="M582" s="402" t="str">
        <f t="shared" si="61"/>
        <v/>
      </c>
      <c r="N582" s="402" t="str">
        <f t="shared" si="61"/>
        <v>(5)</v>
      </c>
      <c r="O582" s="402" t="str">
        <f t="shared" si="61"/>
        <v/>
      </c>
      <c r="Q582" s="402" t="str">
        <f>IF(+Q$8="","",Q$8)</f>
        <v>(6)</v>
      </c>
      <c r="R582" s="402" t="str">
        <f t="shared" si="61"/>
        <v/>
      </c>
      <c r="S582" s="402" t="str">
        <f t="shared" si="61"/>
        <v/>
      </c>
      <c r="T582" s="402" t="str">
        <f t="shared" si="61"/>
        <v/>
      </c>
    </row>
    <row r="583" spans="1:20" ht="14.1" customHeight="1" x14ac:dyDescent="0.2">
      <c r="A583" s="395" t="str">
        <f>IF(+A$9="","",A$9)</f>
        <v/>
      </c>
      <c r="B583" s="402" t="str">
        <f t="shared" ref="B583:T583" si="62">IF(+B$9="","",B$9)</f>
        <v/>
      </c>
      <c r="C583" s="402" t="str">
        <f t="shared" si="62"/>
        <v/>
      </c>
      <c r="D583" s="402" t="str">
        <f t="shared" si="62"/>
        <v/>
      </c>
      <c r="E583" s="402" t="str">
        <f t="shared" si="62"/>
        <v/>
      </c>
      <c r="F583" s="402" t="str">
        <f t="shared" si="62"/>
        <v/>
      </c>
      <c r="G583" s="402" t="str">
        <f t="shared" si="62"/>
        <v/>
      </c>
      <c r="H583" s="402" t="str">
        <f>IF(+H$9="","",H$9)</f>
        <v/>
      </c>
      <c r="I583" s="402" t="str">
        <f>IF(+I$9="","",I$9)</f>
        <v/>
      </c>
      <c r="J583" s="402" t="str">
        <f>IF(+J$9="","",J$9)</f>
        <v/>
      </c>
      <c r="K583" s="402"/>
      <c r="L583" s="402" t="str">
        <f t="shared" si="62"/>
        <v/>
      </c>
      <c r="M583" s="402" t="str">
        <f t="shared" si="62"/>
        <v/>
      </c>
      <c r="N583" s="402" t="str">
        <f t="shared" si="62"/>
        <v/>
      </c>
      <c r="O583" s="402" t="str">
        <f t="shared" si="62"/>
        <v/>
      </c>
      <c r="Q583" s="402" t="str">
        <f>IF(+Q$9="","",Q$9)</f>
        <v/>
      </c>
      <c r="R583" s="402" t="str">
        <f t="shared" si="62"/>
        <v/>
      </c>
      <c r="S583" s="402" t="str">
        <f t="shared" si="62"/>
        <v/>
      </c>
      <c r="T583" s="402" t="str">
        <f t="shared" si="62"/>
        <v/>
      </c>
    </row>
    <row r="584" spans="1:20" ht="14.1" customHeight="1" x14ac:dyDescent="0.2">
      <c r="A584" s="395" t="str">
        <f>IF(+A$10="","",A$10)</f>
        <v/>
      </c>
      <c r="B584" s="402" t="str">
        <f t="shared" ref="B584:T584" si="63">IF(+B$10="","",B$10)</f>
        <v/>
      </c>
      <c r="C584" s="402" t="str">
        <f t="shared" si="63"/>
        <v xml:space="preserve">Current </v>
      </c>
      <c r="D584" s="402" t="str">
        <f t="shared" si="63"/>
        <v/>
      </c>
      <c r="E584" s="402" t="str">
        <f t="shared" si="63"/>
        <v/>
      </c>
      <c r="F584" s="402" t="str">
        <f t="shared" si="63"/>
        <v/>
      </c>
      <c r="G584" s="402" t="str">
        <f t="shared" si="63"/>
        <v/>
      </c>
      <c r="H584" s="402" t="str">
        <f>IF(+H$10="","",H$10)</f>
        <v/>
      </c>
      <c r="I584" s="402" t="str">
        <f>IF(+I$10="","",I$10)</f>
        <v/>
      </c>
      <c r="J584" s="402" t="str">
        <f>IF(+J$10="","",J$10)</f>
        <v/>
      </c>
      <c r="K584" s="402"/>
      <c r="L584" s="402" t="str">
        <f t="shared" si="63"/>
        <v>Proposed</v>
      </c>
      <c r="M584" s="402" t="str">
        <f t="shared" si="63"/>
        <v/>
      </c>
      <c r="N584" s="402" t="str">
        <f t="shared" si="63"/>
        <v/>
      </c>
      <c r="O584" s="402" t="str">
        <f t="shared" si="63"/>
        <v/>
      </c>
      <c r="Q584" s="402" t="str">
        <f>IF(+Q$10="","",Q$10)</f>
        <v>Percent</v>
      </c>
      <c r="R584" s="402" t="str">
        <f t="shared" si="63"/>
        <v/>
      </c>
      <c r="S584" s="402" t="str">
        <f t="shared" si="63"/>
        <v/>
      </c>
      <c r="T584" s="402" t="str">
        <f t="shared" si="63"/>
        <v/>
      </c>
    </row>
    <row r="585" spans="1:20" ht="14.1" customHeight="1" x14ac:dyDescent="0.2">
      <c r="A585" s="395" t="str">
        <f>IF(+A$11="","",A$11)</f>
        <v>Line</v>
      </c>
      <c r="B585" s="402" t="str">
        <f t="shared" ref="B585:T585" si="64">IF(+B$11="","",B$11)</f>
        <v/>
      </c>
      <c r="C585" s="402" t="str">
        <f t="shared" si="64"/>
        <v>Rate</v>
      </c>
      <c r="D585" s="402" t="str">
        <f t="shared" si="64"/>
        <v/>
      </c>
      <c r="E585" s="402" t="str">
        <f t="shared" si="64"/>
        <v/>
      </c>
      <c r="F585" s="402" t="str">
        <f t="shared" si="64"/>
        <v/>
      </c>
      <c r="G585" s="402" t="str">
        <f t="shared" si="64"/>
        <v/>
      </c>
      <c r="H585" s="402" t="str">
        <f>IF(+H$11="","",H$11)</f>
        <v/>
      </c>
      <c r="I585" s="402" t="str">
        <f>IF(+I$11="","",I$11)</f>
        <v>Current</v>
      </c>
      <c r="J585" s="402" t="str">
        <f>IF(+J$11="","",J$11)</f>
        <v/>
      </c>
      <c r="K585" s="402"/>
      <c r="L585" s="402" t="str">
        <f t="shared" si="64"/>
        <v>Rate</v>
      </c>
      <c r="M585" s="402" t="str">
        <f t="shared" si="64"/>
        <v/>
      </c>
      <c r="N585" s="402" t="str">
        <f t="shared" si="64"/>
        <v>Proposed</v>
      </c>
      <c r="O585" s="402" t="str">
        <f t="shared" si="64"/>
        <v/>
      </c>
      <c r="Q585" s="402" t="str">
        <f>IF(+Q$11="","",Q$11)</f>
        <v>Increase</v>
      </c>
      <c r="R585" s="402" t="str">
        <f t="shared" si="64"/>
        <v/>
      </c>
      <c r="S585" s="402" t="str">
        <f t="shared" si="64"/>
        <v/>
      </c>
      <c r="T585" s="402" t="str">
        <f t="shared" si="64"/>
        <v/>
      </c>
    </row>
    <row r="586" spans="1:20" ht="14.1" customHeight="1" thickBot="1" x14ac:dyDescent="0.25">
      <c r="A586" s="396" t="str">
        <f>IF(+A$12="","",A$12)</f>
        <v>No.</v>
      </c>
      <c r="B586" s="400" t="str">
        <f t="shared" ref="B586:T586" si="65">IF(+B$12="","",B$12)</f>
        <v/>
      </c>
      <c r="C586" s="400" t="str">
        <f t="shared" si="65"/>
        <v>Schedule</v>
      </c>
      <c r="D586" s="400" t="str">
        <f t="shared" si="65"/>
        <v/>
      </c>
      <c r="E586" s="400"/>
      <c r="F586" s="400" t="str">
        <f t="shared" si="65"/>
        <v>Type of Charge</v>
      </c>
      <c r="G586" s="400"/>
      <c r="H586" s="400" t="str">
        <f>IF(+H$12="","",H$12)</f>
        <v/>
      </c>
      <c r="I586" s="400" t="str">
        <f>IF(+I$12="","",I$12)</f>
        <v>Rate</v>
      </c>
      <c r="J586" s="400" t="str">
        <f>IF(+J$12="","",J$12)</f>
        <v/>
      </c>
      <c r="K586" s="400"/>
      <c r="L586" s="400" t="str">
        <f t="shared" si="65"/>
        <v>Schedule</v>
      </c>
      <c r="M586" s="400" t="str">
        <f t="shared" si="65"/>
        <v/>
      </c>
      <c r="N586" s="400" t="str">
        <f t="shared" si="65"/>
        <v>Rate</v>
      </c>
      <c r="O586" s="400" t="str">
        <f t="shared" si="65"/>
        <v/>
      </c>
      <c r="P586" s="396"/>
      <c r="Q586" s="400" t="str">
        <f>IF(+Q$12="","",Q$12)</f>
        <v>((5)-(3))/(3)</v>
      </c>
      <c r="R586" s="400" t="str">
        <f t="shared" si="65"/>
        <v/>
      </c>
      <c r="S586" s="400" t="str">
        <f t="shared" si="65"/>
        <v/>
      </c>
      <c r="T586" s="400" t="str">
        <f t="shared" si="65"/>
        <v/>
      </c>
    </row>
    <row r="587" spans="1:20" ht="14.1" customHeight="1" x14ac:dyDescent="0.2">
      <c r="A587" s="395">
        <v>1</v>
      </c>
      <c r="B587" s="579"/>
      <c r="C587" s="579"/>
      <c r="D587" s="579"/>
      <c r="E587" s="579"/>
      <c r="F587" s="579"/>
      <c r="G587" s="65"/>
      <c r="H587" s="74"/>
      <c r="J587" s="74"/>
      <c r="K587" s="74"/>
      <c r="L587" s="101"/>
      <c r="M587" s="74"/>
      <c r="N587" s="74"/>
      <c r="O587" s="74"/>
      <c r="Q587" s="74"/>
      <c r="R587" s="74"/>
      <c r="S587" s="74"/>
      <c r="T587" s="74"/>
    </row>
    <row r="588" spans="1:20" ht="14.1" customHeight="1" x14ac:dyDescent="0.2">
      <c r="A588" s="395">
        <v>2</v>
      </c>
      <c r="B588" s="494"/>
      <c r="C588" s="395" t="s">
        <v>1119</v>
      </c>
      <c r="G588" s="65"/>
      <c r="H588" s="74"/>
      <c r="I588" s="93"/>
      <c r="J588" s="74"/>
      <c r="K588" s="74"/>
      <c r="L588" s="74" t="s">
        <v>1120</v>
      </c>
      <c r="M588" s="74"/>
      <c r="N588" s="93"/>
      <c r="O588" s="74"/>
      <c r="Q588" s="67"/>
      <c r="R588" s="74"/>
      <c r="S588" s="74"/>
      <c r="T588" s="74"/>
    </row>
    <row r="589" spans="1:20" ht="14.1" customHeight="1" x14ac:dyDescent="0.2">
      <c r="A589" s="395">
        <v>3</v>
      </c>
      <c r="B589" s="494"/>
      <c r="C589" s="101"/>
      <c r="E589" s="122" t="s">
        <v>1121</v>
      </c>
      <c r="H589" s="74"/>
      <c r="I589" s="93">
        <f>+ROUND('2025 LS Rate Class E-13c'!J18,2)</f>
        <v>0.71</v>
      </c>
      <c r="J589" s="74" t="s">
        <v>1050</v>
      </c>
      <c r="K589" s="74"/>
      <c r="L589" s="101"/>
      <c r="M589" s="65"/>
      <c r="N589" s="93">
        <f>+ROUND('2025 LS Rate Class E-13c'!Q18,2)</f>
        <v>0.71</v>
      </c>
      <c r="O589" s="74" t="s">
        <v>1050</v>
      </c>
      <c r="Q589" s="126">
        <f>+(N589-I589)/I589</f>
        <v>0</v>
      </c>
      <c r="R589" s="74"/>
      <c r="S589" s="74"/>
      <c r="T589" s="74"/>
    </row>
    <row r="590" spans="1:20" ht="14.1" customHeight="1" x14ac:dyDescent="0.2">
      <c r="A590" s="395">
        <v>4</v>
      </c>
      <c r="B590" s="494"/>
      <c r="E590" s="118" t="s">
        <v>1122</v>
      </c>
      <c r="G590" s="68"/>
      <c r="H590" s="68"/>
      <c r="Q590" s="495"/>
      <c r="R590" s="68"/>
      <c r="S590" s="68"/>
      <c r="T590" s="68"/>
    </row>
    <row r="591" spans="1:20" ht="14.1" customHeight="1" x14ac:dyDescent="0.2">
      <c r="A591" s="395">
        <v>5</v>
      </c>
      <c r="B591" s="494"/>
      <c r="C591" s="65"/>
      <c r="I591" s="93"/>
      <c r="J591" s="68"/>
      <c r="K591" s="68"/>
      <c r="L591" s="68"/>
      <c r="M591" s="68"/>
      <c r="N591" s="93"/>
      <c r="O591" s="68"/>
      <c r="Q591" s="126"/>
      <c r="R591" s="68"/>
      <c r="S591" s="68"/>
      <c r="T591" s="68"/>
    </row>
    <row r="592" spans="1:20" ht="14.1" customHeight="1" x14ac:dyDescent="0.2">
      <c r="A592" s="395">
        <v>6</v>
      </c>
      <c r="B592" s="494"/>
      <c r="C592" s="65"/>
      <c r="E592" s="395" t="s">
        <v>343</v>
      </c>
      <c r="I592" s="502">
        <f>+ROUND('2025 LS Rate Class E-13c'!J20,5)</f>
        <v>3.2599999999999997E-2</v>
      </c>
      <c r="J592" s="127" t="s">
        <v>1123</v>
      </c>
      <c r="N592" s="502">
        <f>+ROUND('2025 LS Rate Class E-13c'!Q20,5)</f>
        <v>3.2599999999999997E-2</v>
      </c>
      <c r="O592" s="127" t="s">
        <v>1123</v>
      </c>
      <c r="Q592" s="126">
        <f>+(N592-I592)/I592</f>
        <v>0</v>
      </c>
      <c r="R592" s="68"/>
      <c r="S592" s="68"/>
      <c r="T592" s="68"/>
    </row>
    <row r="593" spans="1:20" ht="14.1" customHeight="1" x14ac:dyDescent="0.2">
      <c r="A593" s="395">
        <v>7</v>
      </c>
      <c r="B593" s="494"/>
      <c r="C593" s="65"/>
      <c r="R593" s="68"/>
      <c r="S593" s="68"/>
      <c r="T593" s="68"/>
    </row>
    <row r="594" spans="1:20" ht="14.1" customHeight="1" x14ac:dyDescent="0.2">
      <c r="A594" s="395">
        <v>8</v>
      </c>
      <c r="B594" s="494"/>
      <c r="C594" s="65"/>
      <c r="I594" s="138"/>
      <c r="L594" s="68"/>
      <c r="M594" s="68"/>
      <c r="N594" s="138"/>
      <c r="Q594" s="67"/>
      <c r="R594" s="68"/>
      <c r="S594" s="68"/>
      <c r="T594" s="68"/>
    </row>
    <row r="595" spans="1:20" ht="14.1" customHeight="1" x14ac:dyDescent="0.2">
      <c r="A595" s="395">
        <v>9</v>
      </c>
      <c r="B595" s="494"/>
      <c r="C595" s="65"/>
      <c r="I595" s="500"/>
      <c r="L595" s="68"/>
      <c r="M595" s="68"/>
      <c r="N595" s="500"/>
      <c r="Q595" s="68"/>
      <c r="R595" s="68"/>
      <c r="S595" s="68"/>
      <c r="T595" s="68"/>
    </row>
    <row r="596" spans="1:20" ht="14.1" customHeight="1" x14ac:dyDescent="0.2">
      <c r="A596" s="395">
        <v>10</v>
      </c>
      <c r="B596" s="494"/>
      <c r="C596" s="74"/>
      <c r="F596" s="65"/>
      <c r="G596" s="68"/>
      <c r="H596" s="68"/>
      <c r="I596" s="93"/>
      <c r="L596" s="68"/>
      <c r="M596" s="68"/>
      <c r="N596" s="138"/>
      <c r="Q596" s="67"/>
      <c r="R596" s="68"/>
      <c r="S596" s="68"/>
      <c r="T596" s="68"/>
    </row>
    <row r="597" spans="1:20" ht="14.1" customHeight="1" x14ac:dyDescent="0.2">
      <c r="A597" s="395">
        <v>11</v>
      </c>
      <c r="B597" s="494"/>
      <c r="C597" s="74"/>
      <c r="R597" s="68"/>
      <c r="S597" s="68"/>
      <c r="T597" s="68"/>
    </row>
    <row r="598" spans="1:20" ht="14.1" customHeight="1" x14ac:dyDescent="0.2">
      <c r="A598" s="395">
        <v>12</v>
      </c>
      <c r="B598" s="494"/>
      <c r="C598" s="74"/>
      <c r="E598" s="133"/>
      <c r="H598" s="68"/>
      <c r="I598" s="93"/>
      <c r="J598" s="68"/>
      <c r="K598" s="68"/>
      <c r="L598" s="68"/>
      <c r="M598" s="68"/>
      <c r="N598" s="93"/>
      <c r="O598" s="68"/>
      <c r="Q598" s="68"/>
      <c r="R598" s="68"/>
      <c r="S598" s="68"/>
      <c r="T598" s="68"/>
    </row>
    <row r="599" spans="1:20" ht="14.1" customHeight="1" x14ac:dyDescent="0.2">
      <c r="A599" s="395">
        <v>13</v>
      </c>
      <c r="B599" s="494"/>
      <c r="C599" s="74"/>
      <c r="R599" s="68"/>
      <c r="S599" s="68"/>
      <c r="T599" s="68"/>
    </row>
    <row r="600" spans="1:20" ht="14.1" customHeight="1" x14ac:dyDescent="0.2">
      <c r="A600" s="395">
        <v>14</v>
      </c>
      <c r="B600" s="494"/>
      <c r="C600" s="74"/>
      <c r="F600" s="130"/>
      <c r="G600" s="74"/>
      <c r="H600" s="68"/>
      <c r="I600" s="144"/>
      <c r="J600" s="68"/>
      <c r="K600" s="68"/>
      <c r="L600" s="68"/>
      <c r="M600" s="68"/>
      <c r="N600" s="144"/>
      <c r="O600" s="68"/>
      <c r="Q600" s="138"/>
      <c r="R600" s="68"/>
      <c r="S600" s="68"/>
      <c r="T600" s="68"/>
    </row>
    <row r="601" spans="1:20" ht="14.1" customHeight="1" x14ac:dyDescent="0.2">
      <c r="A601" s="395">
        <v>15</v>
      </c>
      <c r="B601" s="494"/>
      <c r="C601" s="74"/>
      <c r="F601" s="130"/>
      <c r="I601" s="144"/>
      <c r="J601" s="68"/>
      <c r="K601" s="68"/>
      <c r="L601" s="68"/>
      <c r="M601" s="68"/>
      <c r="N601" s="144"/>
      <c r="O601" s="68"/>
      <c r="Q601" s="67"/>
      <c r="R601" s="68"/>
      <c r="S601" s="68"/>
      <c r="T601" s="68"/>
    </row>
    <row r="602" spans="1:20" ht="14.1" customHeight="1" x14ac:dyDescent="0.2">
      <c r="A602" s="395">
        <v>16</v>
      </c>
      <c r="B602" s="494"/>
      <c r="C602" s="74"/>
      <c r="F602" s="499"/>
      <c r="I602" s="144"/>
      <c r="J602" s="68"/>
      <c r="K602" s="68"/>
      <c r="N602" s="144"/>
      <c r="O602" s="68"/>
      <c r="Q602" s="138"/>
      <c r="R602" s="68"/>
      <c r="S602" s="68"/>
      <c r="T602" s="68"/>
    </row>
    <row r="603" spans="1:20" ht="14.1" customHeight="1" x14ac:dyDescent="0.2">
      <c r="A603" s="395">
        <v>17</v>
      </c>
      <c r="B603" s="494"/>
      <c r="C603" s="74"/>
      <c r="F603" s="499"/>
      <c r="I603" s="144"/>
      <c r="J603" s="68"/>
      <c r="K603" s="68"/>
      <c r="N603" s="144"/>
      <c r="O603" s="68"/>
      <c r="Q603" s="67"/>
      <c r="R603" s="68"/>
      <c r="S603" s="68"/>
      <c r="T603" s="68"/>
    </row>
    <row r="604" spans="1:20" ht="14.1" customHeight="1" x14ac:dyDescent="0.2">
      <c r="A604" s="395">
        <v>18</v>
      </c>
      <c r="B604" s="494"/>
      <c r="C604" s="74"/>
      <c r="I604" s="144"/>
      <c r="J604" s="68"/>
      <c r="K604" s="68"/>
      <c r="N604" s="144"/>
      <c r="O604" s="68"/>
      <c r="Q604" s="147"/>
      <c r="R604" s="68"/>
      <c r="S604" s="68"/>
      <c r="T604" s="68"/>
    </row>
    <row r="605" spans="1:20" ht="14.1" customHeight="1" x14ac:dyDescent="0.2">
      <c r="A605" s="395">
        <v>19</v>
      </c>
      <c r="B605" s="494"/>
      <c r="C605" s="74"/>
      <c r="F605" s="130"/>
      <c r="I605" s="144"/>
      <c r="J605" s="68"/>
      <c r="K605" s="68"/>
      <c r="N605" s="144"/>
      <c r="O605" s="68"/>
      <c r="Q605" s="138"/>
      <c r="R605" s="68"/>
      <c r="S605" s="68"/>
      <c r="T605" s="68"/>
    </row>
    <row r="606" spans="1:20" ht="14.1" customHeight="1" x14ac:dyDescent="0.2">
      <c r="A606" s="395">
        <v>20</v>
      </c>
      <c r="B606" s="494"/>
      <c r="C606" s="74"/>
      <c r="F606" s="130"/>
      <c r="I606" s="144"/>
      <c r="J606" s="68"/>
      <c r="K606" s="68"/>
      <c r="N606" s="144"/>
      <c r="O606" s="68"/>
      <c r="Q606" s="67"/>
      <c r="R606" s="68"/>
      <c r="S606" s="68"/>
      <c r="T606" s="68"/>
    </row>
    <row r="607" spans="1:20" ht="14.1" customHeight="1" x14ac:dyDescent="0.2">
      <c r="A607" s="395">
        <v>21</v>
      </c>
      <c r="B607" s="494"/>
      <c r="C607" s="74"/>
      <c r="R607" s="68"/>
      <c r="S607" s="68"/>
      <c r="T607" s="68"/>
    </row>
    <row r="608" spans="1:20" ht="14.1" customHeight="1" x14ac:dyDescent="0.2">
      <c r="A608" s="395">
        <v>22</v>
      </c>
      <c r="B608" s="494"/>
      <c r="C608" s="74"/>
      <c r="R608" s="68"/>
      <c r="S608" s="68"/>
      <c r="T608" s="68"/>
    </row>
    <row r="609" spans="1:20" ht="14.1" customHeight="1" x14ac:dyDescent="0.2">
      <c r="A609" s="395">
        <v>23</v>
      </c>
      <c r="B609" s="494"/>
      <c r="C609" s="74"/>
      <c r="R609" s="68"/>
      <c r="S609" s="68"/>
      <c r="T609" s="68"/>
    </row>
    <row r="610" spans="1:20" ht="14.1" customHeight="1" x14ac:dyDescent="0.2">
      <c r="A610" s="395">
        <v>24</v>
      </c>
      <c r="B610" s="494"/>
      <c r="C610" s="74"/>
      <c r="G610" s="74"/>
      <c r="H610" s="68"/>
      <c r="I610" s="143"/>
      <c r="J610" s="68"/>
      <c r="K610" s="68"/>
      <c r="L610" s="68"/>
      <c r="M610" s="68"/>
      <c r="N610" s="143"/>
      <c r="O610" s="68"/>
      <c r="Q610" s="68"/>
      <c r="R610" s="68"/>
      <c r="S610" s="68"/>
      <c r="T610" s="68"/>
    </row>
    <row r="611" spans="1:20" ht="14.1" customHeight="1" x14ac:dyDescent="0.2">
      <c r="A611" s="395">
        <v>25</v>
      </c>
      <c r="B611" s="494"/>
      <c r="C611" s="74"/>
      <c r="R611" s="68"/>
      <c r="S611" s="68"/>
      <c r="T611" s="68"/>
    </row>
    <row r="612" spans="1:20" ht="14.1" customHeight="1" x14ac:dyDescent="0.2">
      <c r="A612" s="395">
        <v>26</v>
      </c>
      <c r="B612" s="494"/>
      <c r="C612" s="74"/>
      <c r="R612" s="68"/>
      <c r="S612" s="68"/>
      <c r="T612" s="68"/>
    </row>
    <row r="613" spans="1:20" ht="14.1" customHeight="1" x14ac:dyDescent="0.2">
      <c r="A613" s="395">
        <v>27</v>
      </c>
      <c r="B613" s="494"/>
      <c r="C613" s="74"/>
      <c r="R613" s="68"/>
      <c r="S613" s="68"/>
      <c r="T613" s="68"/>
    </row>
    <row r="614" spans="1:20" ht="14.1" customHeight="1" x14ac:dyDescent="0.2">
      <c r="A614" s="395">
        <v>28</v>
      </c>
      <c r="B614" s="494"/>
      <c r="C614" s="74"/>
      <c r="R614" s="68"/>
      <c r="S614" s="68"/>
      <c r="T614" s="68"/>
    </row>
    <row r="615" spans="1:20" ht="14.1" customHeight="1" x14ac:dyDescent="0.2">
      <c r="A615" s="395">
        <v>29</v>
      </c>
      <c r="B615" s="494"/>
      <c r="C615" s="74"/>
      <c r="R615" s="68"/>
      <c r="S615" s="68"/>
      <c r="T615" s="68"/>
    </row>
    <row r="616" spans="1:20" ht="14.1" customHeight="1" x14ac:dyDescent="0.2">
      <c r="A616" s="395">
        <v>30</v>
      </c>
      <c r="B616" s="494"/>
      <c r="C616" s="74"/>
      <c r="R616" s="68"/>
      <c r="S616" s="68"/>
      <c r="T616" s="68"/>
    </row>
    <row r="617" spans="1:20" ht="14.1" customHeight="1" x14ac:dyDescent="0.2">
      <c r="A617" s="395">
        <v>31</v>
      </c>
      <c r="B617" s="494"/>
      <c r="C617" s="74"/>
      <c r="R617" s="68"/>
      <c r="S617" s="68"/>
      <c r="T617" s="68"/>
    </row>
    <row r="618" spans="1:20" ht="14.1" customHeight="1" x14ac:dyDescent="0.2">
      <c r="A618" s="395">
        <v>32</v>
      </c>
      <c r="B618" s="494"/>
      <c r="C618" s="74"/>
      <c r="R618" s="68"/>
      <c r="S618" s="68"/>
      <c r="T618" s="68"/>
    </row>
    <row r="619" spans="1:20" ht="14.1" customHeight="1" x14ac:dyDescent="0.2">
      <c r="A619" s="395">
        <v>33</v>
      </c>
      <c r="B619" s="494"/>
      <c r="C619" s="74"/>
      <c r="R619" s="68"/>
      <c r="S619" s="68"/>
      <c r="T619" s="68"/>
    </row>
    <row r="620" spans="1:20" ht="14.1" customHeight="1" x14ac:dyDescent="0.2">
      <c r="A620" s="395">
        <v>34</v>
      </c>
      <c r="B620" s="494"/>
      <c r="C620" s="74"/>
      <c r="R620" s="68"/>
      <c r="S620" s="68"/>
      <c r="T620" s="68"/>
    </row>
    <row r="621" spans="1:20" ht="14.1" customHeight="1" x14ac:dyDescent="0.2">
      <c r="A621" s="395">
        <v>35</v>
      </c>
      <c r="B621" s="494"/>
      <c r="C621" s="74"/>
      <c r="R621" s="68"/>
      <c r="S621" s="68"/>
      <c r="T621" s="68"/>
    </row>
    <row r="622" spans="1:20" ht="14.1" customHeight="1" thickBot="1" x14ac:dyDescent="0.25">
      <c r="A622" s="496">
        <v>36</v>
      </c>
      <c r="B622" s="496"/>
      <c r="C622" s="136"/>
      <c r="D622" s="396"/>
      <c r="E622" s="396"/>
      <c r="F622" s="396"/>
      <c r="G622" s="396"/>
      <c r="H622" s="396"/>
      <c r="I622" s="396"/>
      <c r="J622" s="396"/>
      <c r="K622" s="396"/>
      <c r="L622" s="396"/>
      <c r="M622" s="396"/>
      <c r="N622" s="396"/>
      <c r="O622" s="396"/>
      <c r="P622" s="396"/>
      <c r="Q622" s="396"/>
      <c r="R622" s="105"/>
      <c r="S622" s="105"/>
      <c r="T622" s="105"/>
    </row>
    <row r="623" spans="1:20" ht="14.1" customHeight="1" x14ac:dyDescent="0.2">
      <c r="A623" s="395" t="str">
        <f>+$A$49</f>
        <v>Supporting Schedules:  E-7, E-14 Supplement</v>
      </c>
      <c r="R623" s="395" t="s">
        <v>1003</v>
      </c>
    </row>
  </sheetData>
  <mergeCells count="3">
    <mergeCell ref="B301:D301"/>
    <mergeCell ref="B493:F493"/>
    <mergeCell ref="B587:F587"/>
  </mergeCells>
  <printOptions horizontalCentered="1" verticalCentered="1"/>
  <pageMargins left="0.5" right="0.5" top="1" bottom="0.35" header="0.5" footer="0.25"/>
  <pageSetup scale="76" fitToHeight="0" orientation="landscape" r:id="rId1"/>
  <headerFooter alignWithMargins="0"/>
  <rowBreaks count="8" manualBreakCount="8">
    <brk id="49" max="16383" man="1"/>
    <brk id="97" max="16383" man="1"/>
    <brk id="145" max="16383" man="1"/>
    <brk id="193" max="16383" man="1"/>
    <brk id="241" max="16383" man="1"/>
    <brk id="289" max="16383" man="1"/>
    <brk id="433" max="16383" man="1"/>
    <brk id="481" max="16383" man="1"/>
  </rowBreaks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256E-0533-4A63-8611-22BDEAECD499}">
  <dimension ref="A1:P53"/>
  <sheetViews>
    <sheetView workbookViewId="0"/>
  </sheetViews>
  <sheetFormatPr defaultColWidth="9.140625" defaultRowHeight="12.75" x14ac:dyDescent="0.2"/>
  <cols>
    <col min="1" max="1" width="5" style="452" customWidth="1"/>
    <col min="2" max="2" width="10" style="452" customWidth="1"/>
    <col min="3" max="3" width="11.85546875" style="452" customWidth="1"/>
    <col min="4" max="4" width="16.7109375" style="452" customWidth="1"/>
    <col min="5" max="5" width="14.5703125" style="452" customWidth="1"/>
    <col min="6" max="6" width="12" style="452" customWidth="1"/>
    <col min="7" max="7" width="11.28515625" style="452" customWidth="1"/>
    <col min="8" max="8" width="15.140625" style="452" bestFit="1" customWidth="1"/>
    <col min="9" max="9" width="6.140625" style="452" customWidth="1"/>
    <col min="10" max="15" width="11.28515625" style="452" customWidth="1"/>
    <col min="16" max="16" width="21.85546875" style="452" customWidth="1"/>
    <col min="17" max="16384" width="9.140625" style="452"/>
  </cols>
  <sheetData>
    <row r="1" spans="1:16" ht="13.5" thickBot="1" x14ac:dyDescent="0.25">
      <c r="A1" s="450" t="s">
        <v>1644</v>
      </c>
      <c r="B1" s="450"/>
      <c r="C1" s="450"/>
      <c r="D1" s="450"/>
      <c r="E1" s="450"/>
      <c r="F1" s="450"/>
      <c r="G1" s="450" t="s">
        <v>1645</v>
      </c>
      <c r="H1" s="450"/>
      <c r="I1" s="450"/>
      <c r="J1" s="450"/>
      <c r="K1" s="450"/>
      <c r="L1" s="450"/>
      <c r="M1" s="450"/>
      <c r="N1" s="450"/>
      <c r="O1" s="450"/>
      <c r="P1" s="451" t="s">
        <v>1520</v>
      </c>
    </row>
    <row r="2" spans="1:16" x14ac:dyDescent="0.2">
      <c r="A2" s="452" t="s">
        <v>307</v>
      </c>
      <c r="E2" s="453" t="s">
        <v>1162</v>
      </c>
      <c r="F2" s="452" t="s">
        <v>1646</v>
      </c>
      <c r="J2" s="454"/>
      <c r="K2" s="454"/>
      <c r="N2" s="454" t="s">
        <v>847</v>
      </c>
    </row>
    <row r="3" spans="1:16" x14ac:dyDescent="0.2">
      <c r="F3" s="452" t="s">
        <v>1647</v>
      </c>
      <c r="J3" s="455"/>
      <c r="K3" s="453"/>
      <c r="N3" s="456" t="s">
        <v>1648</v>
      </c>
      <c r="O3" s="453" t="s">
        <v>1523</v>
      </c>
    </row>
    <row r="4" spans="1:16" x14ac:dyDescent="0.2">
      <c r="A4" s="452" t="s">
        <v>310</v>
      </c>
      <c r="F4" s="452" t="s">
        <v>1649</v>
      </c>
      <c r="J4" s="455"/>
      <c r="K4" s="453"/>
      <c r="L4" s="455"/>
      <c r="M4" s="455"/>
      <c r="N4" s="455"/>
      <c r="O4" s="453" t="s">
        <v>937</v>
      </c>
    </row>
    <row r="5" spans="1:16" x14ac:dyDescent="0.2">
      <c r="F5" s="452" t="s">
        <v>1650</v>
      </c>
      <c r="J5" s="455"/>
      <c r="K5" s="453"/>
      <c r="L5" s="455"/>
      <c r="M5" s="455"/>
      <c r="N5" s="455"/>
      <c r="O5" s="453" t="s">
        <v>938</v>
      </c>
    </row>
    <row r="6" spans="1:16" ht="13.5" thickBot="1" x14ac:dyDescent="0.25">
      <c r="A6" s="450" t="s">
        <v>1642</v>
      </c>
      <c r="B6" s="450"/>
      <c r="C6" s="450"/>
      <c r="D6" s="450"/>
      <c r="E6" s="450"/>
      <c r="F6" s="450"/>
      <c r="G6" s="450"/>
      <c r="H6" s="457"/>
      <c r="I6" s="450"/>
      <c r="J6" s="450"/>
      <c r="K6" s="450"/>
      <c r="L6" s="450"/>
      <c r="M6" s="450"/>
      <c r="N6" s="450"/>
      <c r="O6" s="450" t="s">
        <v>1524</v>
      </c>
      <c r="P6" s="450"/>
    </row>
    <row r="7" spans="1:16" ht="13.5" thickBot="1" x14ac:dyDescent="0.25">
      <c r="B7" s="458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</row>
    <row r="8" spans="1:16" ht="13.5" thickBot="1" x14ac:dyDescent="0.25">
      <c r="A8" s="460"/>
      <c r="B8" s="461" t="s">
        <v>1651</v>
      </c>
      <c r="C8" s="462"/>
      <c r="D8" s="459"/>
      <c r="E8" s="459"/>
      <c r="F8" s="459"/>
      <c r="G8" s="459"/>
      <c r="H8" s="463"/>
      <c r="I8" s="464" t="s">
        <v>1652</v>
      </c>
      <c r="J8" s="465"/>
      <c r="K8" s="459"/>
      <c r="L8" s="459"/>
      <c r="M8" s="459"/>
      <c r="N8" s="459"/>
      <c r="O8" s="459"/>
      <c r="P8" s="459"/>
    </row>
    <row r="9" spans="1:16" x14ac:dyDescent="0.2">
      <c r="A9" s="460"/>
      <c r="B9" s="462" t="s">
        <v>1653</v>
      </c>
      <c r="C9" s="462"/>
      <c r="E9" s="459"/>
    </row>
    <row r="10" spans="1:16" x14ac:dyDescent="0.2">
      <c r="A10" s="460" t="s">
        <v>314</v>
      </c>
      <c r="B10" s="462" t="s">
        <v>1654</v>
      </c>
      <c r="C10" s="462" t="s">
        <v>497</v>
      </c>
      <c r="D10" s="466"/>
      <c r="E10" s="459"/>
      <c r="F10" s="462" t="s">
        <v>336</v>
      </c>
      <c r="G10" s="462"/>
      <c r="H10" s="462" t="s">
        <v>336</v>
      </c>
      <c r="I10" s="462"/>
      <c r="J10" s="462" t="s">
        <v>1434</v>
      </c>
      <c r="K10" s="462"/>
      <c r="L10" s="462" t="s">
        <v>1434</v>
      </c>
      <c r="M10" s="462"/>
      <c r="N10" s="462" t="s">
        <v>1434</v>
      </c>
      <c r="O10" s="462" t="s">
        <v>1655</v>
      </c>
      <c r="P10" s="462" t="s">
        <v>1655</v>
      </c>
    </row>
    <row r="11" spans="1:16" ht="13.5" thickBot="1" x14ac:dyDescent="0.25">
      <c r="A11" s="467" t="s">
        <v>320</v>
      </c>
      <c r="B11" s="468" t="s">
        <v>1656</v>
      </c>
      <c r="C11" s="468" t="s">
        <v>1657</v>
      </c>
      <c r="D11" s="457"/>
      <c r="E11" s="469"/>
      <c r="F11" s="468" t="s">
        <v>1658</v>
      </c>
      <c r="G11" s="470" t="s">
        <v>1659</v>
      </c>
      <c r="H11" s="470" t="s">
        <v>1660</v>
      </c>
      <c r="I11" s="470"/>
      <c r="J11" s="470" t="s">
        <v>815</v>
      </c>
      <c r="K11" s="470" t="s">
        <v>816</v>
      </c>
      <c r="L11" s="470" t="s">
        <v>817</v>
      </c>
      <c r="M11" s="470" t="s">
        <v>818</v>
      </c>
      <c r="N11" s="470" t="s">
        <v>819</v>
      </c>
      <c r="O11" s="470" t="s">
        <v>1435</v>
      </c>
      <c r="P11" s="470" t="s">
        <v>1661</v>
      </c>
    </row>
    <row r="12" spans="1:16" x14ac:dyDescent="0.2">
      <c r="A12" s="466"/>
      <c r="B12" s="453"/>
      <c r="C12" s="466"/>
      <c r="D12" s="466"/>
      <c r="E12" s="471"/>
      <c r="F12" s="466"/>
      <c r="G12" s="472"/>
      <c r="H12" s="472"/>
      <c r="I12" s="472"/>
      <c r="J12" s="472"/>
      <c r="K12" s="472"/>
      <c r="L12" s="472"/>
      <c r="M12" s="472"/>
      <c r="N12" s="472"/>
      <c r="O12" s="472"/>
      <c r="P12" s="471"/>
    </row>
    <row r="13" spans="1:16" ht="13.5" thickBot="1" x14ac:dyDescent="0.25">
      <c r="A13" s="466">
        <v>1</v>
      </c>
      <c r="B13" s="458"/>
      <c r="C13" s="458"/>
      <c r="D13" s="458"/>
      <c r="E13" s="458"/>
      <c r="F13" s="473"/>
      <c r="G13" s="473"/>
      <c r="H13" s="473"/>
      <c r="I13" s="458"/>
      <c r="J13" s="458"/>
      <c r="K13" s="458"/>
      <c r="L13" s="458"/>
      <c r="M13" s="458"/>
      <c r="N13" s="458"/>
      <c r="O13" s="458"/>
      <c r="P13" s="458"/>
    </row>
    <row r="14" spans="1:16" ht="21" thickBot="1" x14ac:dyDescent="0.35">
      <c r="A14" s="466">
        <v>2</v>
      </c>
      <c r="B14" s="458"/>
      <c r="C14" s="474" t="s">
        <v>1662</v>
      </c>
      <c r="D14" s="475"/>
      <c r="F14" s="476"/>
      <c r="G14" s="473"/>
      <c r="H14" s="473"/>
      <c r="I14" s="458"/>
      <c r="J14" s="458"/>
      <c r="K14" s="458"/>
      <c r="L14" s="458"/>
      <c r="M14" s="458"/>
      <c r="N14" s="458"/>
      <c r="O14" s="458"/>
      <c r="P14" s="458"/>
    </row>
    <row r="15" spans="1:16" x14ac:dyDescent="0.2">
      <c r="A15" s="466">
        <v>3</v>
      </c>
      <c r="B15" s="458"/>
      <c r="C15" s="458"/>
      <c r="F15" s="473"/>
      <c r="G15" s="473"/>
      <c r="H15" s="473"/>
      <c r="I15" s="458"/>
      <c r="J15" s="458"/>
      <c r="K15" s="458"/>
      <c r="L15" s="458"/>
      <c r="M15" s="458"/>
      <c r="N15" s="458"/>
      <c r="O15" s="458"/>
      <c r="P15" s="458"/>
    </row>
    <row r="16" spans="1:16" x14ac:dyDescent="0.2">
      <c r="A16" s="466">
        <v>4</v>
      </c>
      <c r="B16" s="458" t="s">
        <v>1663</v>
      </c>
      <c r="C16" s="458" t="s">
        <v>1664</v>
      </c>
      <c r="F16" s="477">
        <v>1480725.4995300001</v>
      </c>
      <c r="G16" s="477">
        <v>0</v>
      </c>
      <c r="H16" s="477">
        <v>1480725.4995300001</v>
      </c>
      <c r="I16" s="478"/>
      <c r="J16" s="478">
        <v>920603.76833999995</v>
      </c>
      <c r="K16" s="478">
        <v>95214.926359999998</v>
      </c>
      <c r="L16" s="478">
        <v>310482.26285000006</v>
      </c>
      <c r="M16" s="478">
        <v>44352.932979999998</v>
      </c>
      <c r="N16" s="478">
        <v>23795.302800000001</v>
      </c>
      <c r="O16" s="478">
        <v>3570.4600599999999</v>
      </c>
      <c r="P16" s="478">
        <v>82705.846140000009</v>
      </c>
    </row>
    <row r="17" spans="1:16" x14ac:dyDescent="0.2">
      <c r="A17" s="466">
        <v>5</v>
      </c>
      <c r="B17" s="458"/>
      <c r="C17" s="458"/>
      <c r="F17" s="479"/>
      <c r="G17" s="479"/>
      <c r="H17" s="479"/>
      <c r="I17" s="480"/>
      <c r="J17" s="480"/>
      <c r="K17" s="480"/>
      <c r="L17" s="480"/>
      <c r="M17" s="480"/>
      <c r="N17" s="480"/>
      <c r="O17" s="480"/>
      <c r="P17" s="480"/>
    </row>
    <row r="18" spans="1:16" x14ac:dyDescent="0.2">
      <c r="A18" s="466">
        <v>6</v>
      </c>
      <c r="B18" s="458" t="s">
        <v>1665</v>
      </c>
      <c r="C18" s="458" t="s">
        <v>1666</v>
      </c>
      <c r="F18" s="479">
        <v>18468.789047482187</v>
      </c>
      <c r="G18" s="479">
        <v>0</v>
      </c>
      <c r="H18" s="479">
        <v>18468.789047482187</v>
      </c>
      <c r="I18" s="480"/>
      <c r="J18" s="480">
        <v>16476.73155673678</v>
      </c>
      <c r="K18" s="480">
        <v>1596.8637569383752</v>
      </c>
      <c r="L18" s="480">
        <v>390.52347663947256</v>
      </c>
      <c r="M18" s="480">
        <v>0</v>
      </c>
      <c r="N18" s="480">
        <v>0</v>
      </c>
      <c r="O18" s="480">
        <v>4.6702571675574642</v>
      </c>
      <c r="P18" s="480">
        <v>0</v>
      </c>
    </row>
    <row r="19" spans="1:16" x14ac:dyDescent="0.2">
      <c r="A19" s="466">
        <v>7</v>
      </c>
      <c r="B19" s="458"/>
      <c r="C19" s="458"/>
      <c r="F19" s="477"/>
      <c r="G19" s="477"/>
      <c r="H19" s="477"/>
      <c r="I19" s="478"/>
      <c r="J19" s="478"/>
      <c r="K19" s="478"/>
      <c r="L19" s="477"/>
      <c r="M19" s="477"/>
      <c r="N19" s="477"/>
      <c r="O19" s="477"/>
      <c r="P19" s="477"/>
    </row>
    <row r="20" spans="1:16" x14ac:dyDescent="0.2">
      <c r="A20" s="466">
        <v>8</v>
      </c>
      <c r="B20" s="458" t="s">
        <v>1667</v>
      </c>
      <c r="C20" s="458" t="s">
        <v>1668</v>
      </c>
      <c r="F20" s="479">
        <v>15823.957979886798</v>
      </c>
      <c r="G20" s="479">
        <v>58.590571741078953</v>
      </c>
      <c r="H20" s="479">
        <v>15765.367408145719</v>
      </c>
      <c r="I20" s="479"/>
      <c r="J20" s="479">
        <v>9797.5550120282987</v>
      </c>
      <c r="K20" s="479">
        <v>703.45663075337802</v>
      </c>
      <c r="L20" s="479">
        <v>4659.0947395827197</v>
      </c>
      <c r="M20" s="479">
        <v>492.05124983061921</v>
      </c>
      <c r="N20" s="479">
        <v>28.94576234685287</v>
      </c>
      <c r="O20" s="479">
        <v>84.264013603854963</v>
      </c>
      <c r="P20" s="479">
        <v>0</v>
      </c>
    </row>
    <row r="21" spans="1:16" x14ac:dyDescent="0.2">
      <c r="A21" s="466">
        <v>9</v>
      </c>
      <c r="B21" s="458"/>
      <c r="C21" s="458"/>
      <c r="F21" s="479"/>
      <c r="G21" s="479"/>
      <c r="H21" s="479"/>
      <c r="I21" s="479"/>
      <c r="J21" s="479"/>
      <c r="K21" s="479"/>
      <c r="L21" s="479"/>
      <c r="M21" s="479"/>
      <c r="N21" s="479"/>
      <c r="O21" s="479"/>
      <c r="P21" s="479"/>
    </row>
    <row r="22" spans="1:16" x14ac:dyDescent="0.2">
      <c r="A22" s="225">
        <v>10</v>
      </c>
      <c r="B22" s="458" t="s">
        <v>1669</v>
      </c>
      <c r="C22" s="458" t="s">
        <v>1670</v>
      </c>
      <c r="D22" s="229"/>
      <c r="E22" s="22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</row>
    <row r="23" spans="1:16" x14ac:dyDescent="0.2">
      <c r="A23" s="225">
        <v>11</v>
      </c>
      <c r="B23" s="458"/>
      <c r="C23" s="458" t="s">
        <v>1671</v>
      </c>
      <c r="D23" s="229"/>
      <c r="E23" s="229"/>
      <c r="F23" s="481">
        <v>7929.0305824175994</v>
      </c>
      <c r="G23" s="481">
        <v>7929.0305824175994</v>
      </c>
      <c r="H23" s="481">
        <v>0</v>
      </c>
      <c r="I23" s="481"/>
      <c r="J23" s="481">
        <v>0</v>
      </c>
      <c r="K23" s="481">
        <v>0</v>
      </c>
      <c r="L23" s="481">
        <v>0</v>
      </c>
      <c r="M23" s="481">
        <v>0</v>
      </c>
      <c r="N23" s="481">
        <v>0</v>
      </c>
      <c r="O23" s="481">
        <v>0</v>
      </c>
      <c r="P23" s="481">
        <v>0</v>
      </c>
    </row>
    <row r="24" spans="1:16" x14ac:dyDescent="0.2">
      <c r="A24" s="225">
        <v>12</v>
      </c>
      <c r="B24" s="458"/>
      <c r="C24" s="458" t="s">
        <v>1672</v>
      </c>
      <c r="D24" s="229"/>
      <c r="E24" s="229"/>
      <c r="F24" s="479">
        <v>3004.9703499484986</v>
      </c>
      <c r="G24" s="479">
        <v>23.675523851745311</v>
      </c>
      <c r="H24" s="479">
        <v>2981.2948260967496</v>
      </c>
      <c r="I24" s="479"/>
      <c r="J24" s="479">
        <v>1856.0074891865975</v>
      </c>
      <c r="K24" s="479">
        <v>158.6139035225967</v>
      </c>
      <c r="L24" s="479">
        <v>716.11143370172942</v>
      </c>
      <c r="M24" s="479">
        <v>82.524000640788387</v>
      </c>
      <c r="N24" s="479">
        <v>53.318556682601354</v>
      </c>
      <c r="O24" s="479">
        <v>3.9358785895769492</v>
      </c>
      <c r="P24" s="479">
        <v>110.78356377286018</v>
      </c>
    </row>
    <row r="25" spans="1:16" x14ac:dyDescent="0.2">
      <c r="A25" s="225">
        <v>13</v>
      </c>
      <c r="B25" s="458"/>
      <c r="C25" s="458" t="s">
        <v>1673</v>
      </c>
      <c r="D25" s="229"/>
      <c r="E25" s="229"/>
      <c r="F25" s="481">
        <v>600.871540995798</v>
      </c>
      <c r="G25" s="481">
        <v>-1.84900420208578E-3</v>
      </c>
      <c r="H25" s="481">
        <v>600.87339000000009</v>
      </c>
      <c r="I25" s="481"/>
      <c r="J25" s="481">
        <v>303.22125358273945</v>
      </c>
      <c r="K25" s="481">
        <v>28.021193433044758</v>
      </c>
      <c r="L25" s="481">
        <v>208.74700728588039</v>
      </c>
      <c r="M25" s="481">
        <v>33.229167166460911</v>
      </c>
      <c r="N25" s="481">
        <v>24.480321695307126</v>
      </c>
      <c r="O25" s="481">
        <v>3.1744468365673404</v>
      </c>
      <c r="P25" s="481">
        <v>0</v>
      </c>
    </row>
    <row r="26" spans="1:16" x14ac:dyDescent="0.2">
      <c r="A26" s="225">
        <v>14</v>
      </c>
      <c r="B26" s="458"/>
      <c r="C26" s="458" t="s">
        <v>1674</v>
      </c>
      <c r="D26" s="229"/>
      <c r="E26" s="229"/>
      <c r="F26" s="482">
        <v>-70.100000000003888</v>
      </c>
      <c r="G26" s="482">
        <v>0</v>
      </c>
      <c r="H26" s="482">
        <v>-70.100000000003888</v>
      </c>
      <c r="I26" s="482"/>
      <c r="J26" s="482">
        <v>-161.09047286151363</v>
      </c>
      <c r="K26" s="482">
        <v>-1.9674642317086881</v>
      </c>
      <c r="L26" s="482">
        <v>69.542419565177397</v>
      </c>
      <c r="M26" s="482">
        <v>21.015266280417208</v>
      </c>
      <c r="N26" s="482">
        <v>2.4002512476238014</v>
      </c>
      <c r="O26" s="482">
        <v>0</v>
      </c>
      <c r="P26" s="482">
        <v>0</v>
      </c>
    </row>
    <row r="27" spans="1:16" x14ac:dyDescent="0.2">
      <c r="A27" s="225">
        <v>15</v>
      </c>
      <c r="B27" s="458"/>
      <c r="C27" s="229"/>
      <c r="D27" s="229"/>
      <c r="E27" s="229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</row>
    <row r="28" spans="1:16" x14ac:dyDescent="0.2">
      <c r="A28" s="225">
        <v>16</v>
      </c>
      <c r="B28" s="458"/>
      <c r="C28" s="458" t="s">
        <v>1675</v>
      </c>
      <c r="D28" s="229"/>
      <c r="E28" s="229"/>
      <c r="F28" s="481">
        <f t="shared" ref="F28:O28" si="0">+SUM(F16:F26)</f>
        <v>1526483.0190307307</v>
      </c>
      <c r="G28" s="481">
        <f t="shared" si="0"/>
        <v>8011.2948290062213</v>
      </c>
      <c r="H28" s="481">
        <f t="shared" si="0"/>
        <v>1518471.7242017249</v>
      </c>
      <c r="I28" s="481"/>
      <c r="J28" s="481">
        <f t="shared" si="0"/>
        <v>948876.19317867281</v>
      </c>
      <c r="K28" s="481">
        <f t="shared" si="0"/>
        <v>97699.914380415677</v>
      </c>
      <c r="L28" s="481">
        <f t="shared" si="0"/>
        <v>316526.28192677506</v>
      </c>
      <c r="M28" s="481">
        <f t="shared" si="0"/>
        <v>44981.752663918291</v>
      </c>
      <c r="N28" s="481">
        <f t="shared" si="0"/>
        <v>23904.447691972386</v>
      </c>
      <c r="O28" s="481">
        <f t="shared" si="0"/>
        <v>3666.5046561975564</v>
      </c>
      <c r="P28" s="481">
        <f>+SUM(P16:P26)</f>
        <v>82816.629703772865</v>
      </c>
    </row>
    <row r="29" spans="1:16" x14ac:dyDescent="0.2">
      <c r="A29" s="225">
        <v>17</v>
      </c>
      <c r="B29" s="458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471"/>
    </row>
    <row r="30" spans="1:16" x14ac:dyDescent="0.2">
      <c r="A30" s="225">
        <v>18</v>
      </c>
      <c r="B30" s="458"/>
      <c r="C30" s="458"/>
      <c r="D30" s="229"/>
      <c r="E30" s="229"/>
      <c r="F30" s="471"/>
      <c r="G30" s="471"/>
      <c r="H30" s="471"/>
      <c r="I30" s="471"/>
      <c r="J30" s="471"/>
      <c r="K30" s="471"/>
      <c r="L30" s="471"/>
      <c r="M30" s="471"/>
      <c r="N30" s="471"/>
      <c r="O30" s="471"/>
      <c r="P30" s="471"/>
    </row>
    <row r="31" spans="1:16" ht="13.5" thickBot="1" x14ac:dyDescent="0.25">
      <c r="A31" s="225">
        <v>19</v>
      </c>
      <c r="B31" s="458"/>
      <c r="C31" s="458"/>
      <c r="D31" s="229"/>
      <c r="E31" s="229"/>
      <c r="F31" s="221" t="s">
        <v>336</v>
      </c>
      <c r="G31" s="221"/>
      <c r="H31" s="221" t="s">
        <v>336</v>
      </c>
      <c r="I31" s="221"/>
      <c r="J31" s="221" t="s">
        <v>1434</v>
      </c>
      <c r="K31" s="221"/>
      <c r="L31" s="221" t="s">
        <v>1434</v>
      </c>
      <c r="M31" s="221"/>
      <c r="N31" s="221" t="s">
        <v>1434</v>
      </c>
      <c r="O31" s="221" t="s">
        <v>1655</v>
      </c>
      <c r="P31" s="221" t="s">
        <v>1655</v>
      </c>
    </row>
    <row r="32" spans="1:16" ht="13.5" thickBot="1" x14ac:dyDescent="0.25">
      <c r="A32" s="225">
        <v>20</v>
      </c>
      <c r="B32" s="458"/>
      <c r="C32" s="474" t="s">
        <v>1676</v>
      </c>
      <c r="D32" s="484"/>
      <c r="E32" s="229"/>
      <c r="F32" s="485" t="s">
        <v>1658</v>
      </c>
      <c r="G32" s="470" t="s">
        <v>1659</v>
      </c>
      <c r="H32" s="470" t="s">
        <v>1660</v>
      </c>
      <c r="I32" s="470"/>
      <c r="J32" s="470" t="s">
        <v>815</v>
      </c>
      <c r="K32" s="470" t="s">
        <v>816</v>
      </c>
      <c r="L32" s="470" t="s">
        <v>817</v>
      </c>
      <c r="M32" s="470" t="s">
        <v>818</v>
      </c>
      <c r="N32" s="470" t="s">
        <v>819</v>
      </c>
      <c r="O32" s="470" t="s">
        <v>1435</v>
      </c>
      <c r="P32" s="470" t="s">
        <v>1661</v>
      </c>
    </row>
    <row r="33" spans="1:16" x14ac:dyDescent="0.2">
      <c r="A33" s="225">
        <v>21</v>
      </c>
      <c r="B33" s="458"/>
      <c r="C33" s="458" t="s">
        <v>1434</v>
      </c>
      <c r="D33" s="229"/>
      <c r="E33" s="229"/>
      <c r="F33" s="471"/>
      <c r="G33" s="471"/>
      <c r="H33" s="471"/>
      <c r="I33" s="486"/>
      <c r="J33" s="471"/>
      <c r="K33" s="486"/>
      <c r="L33" s="471"/>
      <c r="M33" s="471"/>
      <c r="N33" s="471"/>
      <c r="O33" s="471"/>
      <c r="P33" s="471"/>
    </row>
    <row r="34" spans="1:16" x14ac:dyDescent="0.2">
      <c r="A34" s="225">
        <v>22</v>
      </c>
      <c r="B34" s="458" t="s">
        <v>1663</v>
      </c>
      <c r="C34" s="458" t="s">
        <v>1664</v>
      </c>
      <c r="D34" s="229"/>
      <c r="E34" s="229"/>
      <c r="F34" s="477">
        <v>1774352.2642492782</v>
      </c>
      <c r="G34" s="477">
        <v>0</v>
      </c>
      <c r="H34" s="477">
        <v>1774352.2642492782</v>
      </c>
      <c r="I34" s="478"/>
      <c r="J34" s="478">
        <v>1099875.9716406302</v>
      </c>
      <c r="K34" s="478">
        <v>99214.926360000012</v>
      </c>
      <c r="L34" s="478">
        <v>411077.26285000012</v>
      </c>
      <c r="M34" s="478">
        <v>47902.932980000005</v>
      </c>
      <c r="N34" s="478">
        <v>30000.302800000001</v>
      </c>
      <c r="O34" s="478">
        <v>3573.0469034759999</v>
      </c>
      <c r="P34" s="478">
        <v>82707.820715172129</v>
      </c>
    </row>
    <row r="35" spans="1:16" x14ac:dyDescent="0.2">
      <c r="A35" s="225">
        <v>23</v>
      </c>
      <c r="B35" s="458"/>
      <c r="C35" s="458"/>
      <c r="D35" s="229"/>
      <c r="E35" s="229"/>
      <c r="F35" s="479"/>
      <c r="G35" s="479"/>
      <c r="H35" s="479"/>
      <c r="I35" s="480"/>
      <c r="J35" s="480"/>
      <c r="K35" s="480"/>
      <c r="L35" s="480"/>
      <c r="M35" s="480"/>
      <c r="N35" s="480"/>
      <c r="O35" s="480"/>
      <c r="P35" s="480"/>
    </row>
    <row r="36" spans="1:16" x14ac:dyDescent="0.2">
      <c r="A36" s="225">
        <v>24</v>
      </c>
      <c r="B36" s="458" t="s">
        <v>1665</v>
      </c>
      <c r="C36" s="458" t="s">
        <v>1666</v>
      </c>
      <c r="D36" s="229"/>
      <c r="E36" s="487"/>
      <c r="F36" s="479">
        <v>21444.731936121014</v>
      </c>
      <c r="G36" s="479">
        <v>0</v>
      </c>
      <c r="H36" s="479">
        <v>21444.731936121014</v>
      </c>
      <c r="I36" s="480"/>
      <c r="J36" s="480">
        <v>19131.687004991603</v>
      </c>
      <c r="K36" s="480">
        <v>1854.1721992714524</v>
      </c>
      <c r="L36" s="480">
        <v>453.44993923341212</v>
      </c>
      <c r="M36" s="480">
        <v>0</v>
      </c>
      <c r="N36" s="480">
        <v>0</v>
      </c>
      <c r="O36" s="480">
        <v>5.4227926245479097</v>
      </c>
      <c r="P36" s="480">
        <v>0</v>
      </c>
    </row>
    <row r="37" spans="1:16" x14ac:dyDescent="0.2">
      <c r="A37" s="225">
        <v>25</v>
      </c>
      <c r="B37" s="458"/>
      <c r="C37" s="458"/>
      <c r="D37" s="229"/>
      <c r="E37" s="229"/>
      <c r="F37" s="477"/>
      <c r="G37" s="477"/>
      <c r="H37" s="477"/>
      <c r="I37" s="478"/>
      <c r="J37" s="478"/>
      <c r="K37" s="478"/>
      <c r="L37" s="477"/>
      <c r="M37" s="477"/>
      <c r="N37" s="477"/>
      <c r="O37" s="477"/>
      <c r="P37" s="477"/>
    </row>
    <row r="38" spans="1:16" x14ac:dyDescent="0.2">
      <c r="A38" s="225">
        <v>26</v>
      </c>
      <c r="B38" s="458" t="s">
        <v>1667</v>
      </c>
      <c r="C38" s="458" t="s">
        <v>1668</v>
      </c>
      <c r="D38" s="229"/>
      <c r="E38" s="229"/>
      <c r="F38" s="479">
        <v>15823.957979886798</v>
      </c>
      <c r="G38" s="479">
        <v>58.590571741078953</v>
      </c>
      <c r="H38" s="479">
        <v>15765.367408145719</v>
      </c>
      <c r="I38" s="479"/>
      <c r="J38" s="479">
        <v>9797.5550120282987</v>
      </c>
      <c r="K38" s="479">
        <v>703.45663075337802</v>
      </c>
      <c r="L38" s="479">
        <v>4659.0947395827197</v>
      </c>
      <c r="M38" s="479">
        <v>492.05124983061921</v>
      </c>
      <c r="N38" s="479">
        <v>28.94576234685287</v>
      </c>
      <c r="O38" s="479">
        <v>84.264013603854963</v>
      </c>
      <c r="P38" s="479">
        <v>0</v>
      </c>
    </row>
    <row r="39" spans="1:16" x14ac:dyDescent="0.2">
      <c r="A39" s="225">
        <v>27</v>
      </c>
      <c r="B39" s="458"/>
      <c r="C39" s="458"/>
      <c r="D39" s="229"/>
      <c r="E39" s="229"/>
      <c r="F39" s="479"/>
      <c r="G39" s="479"/>
      <c r="H39" s="479"/>
      <c r="I39" s="479"/>
      <c r="J39" s="479"/>
      <c r="K39" s="479"/>
      <c r="L39" s="479"/>
      <c r="M39" s="479"/>
      <c r="N39" s="479"/>
      <c r="O39" s="479"/>
      <c r="P39" s="479"/>
    </row>
    <row r="40" spans="1:16" x14ac:dyDescent="0.2">
      <c r="A40" s="225">
        <v>28</v>
      </c>
      <c r="B40" s="458" t="s">
        <v>1669</v>
      </c>
      <c r="C40" s="458" t="s">
        <v>1670</v>
      </c>
      <c r="D40" s="229"/>
      <c r="E40" s="229"/>
      <c r="F40" s="479"/>
      <c r="G40" s="479"/>
      <c r="H40" s="479"/>
      <c r="I40" s="479"/>
      <c r="J40" s="479"/>
      <c r="K40" s="479"/>
      <c r="L40" s="479"/>
      <c r="M40" s="479"/>
      <c r="N40" s="479"/>
      <c r="O40" s="479"/>
      <c r="P40" s="479"/>
    </row>
    <row r="41" spans="1:16" x14ac:dyDescent="0.2">
      <c r="A41" s="225">
        <v>29</v>
      </c>
      <c r="B41" s="458"/>
      <c r="C41" s="458" t="s">
        <v>1671</v>
      </c>
      <c r="D41" s="229"/>
      <c r="E41" s="229"/>
      <c r="F41" s="481">
        <v>7929.0305824175994</v>
      </c>
      <c r="G41" s="481">
        <v>7929.0305824175994</v>
      </c>
      <c r="H41" s="481">
        <v>0</v>
      </c>
      <c r="I41" s="481"/>
      <c r="J41" s="481">
        <v>0</v>
      </c>
      <c r="K41" s="481">
        <v>0</v>
      </c>
      <c r="L41" s="481">
        <v>0</v>
      </c>
      <c r="M41" s="481">
        <v>0</v>
      </c>
      <c r="N41" s="481">
        <v>0</v>
      </c>
      <c r="O41" s="481">
        <v>0</v>
      </c>
      <c r="P41" s="481">
        <v>0</v>
      </c>
    </row>
    <row r="42" spans="1:16" x14ac:dyDescent="0.2">
      <c r="A42" s="225">
        <v>30</v>
      </c>
      <c r="B42" s="458"/>
      <c r="C42" s="458" t="s">
        <v>1672</v>
      </c>
      <c r="D42" s="229"/>
      <c r="E42" s="229"/>
      <c r="F42" s="479">
        <v>3004.9703499484986</v>
      </c>
      <c r="G42" s="479">
        <v>23.675523851745311</v>
      </c>
      <c r="H42" s="479">
        <v>2981.2948260967496</v>
      </c>
      <c r="I42" s="479"/>
      <c r="J42" s="479">
        <v>1856.0074891865975</v>
      </c>
      <c r="K42" s="479">
        <v>158.6139035225967</v>
      </c>
      <c r="L42" s="479">
        <v>716.11143370172942</v>
      </c>
      <c r="M42" s="479">
        <v>82.524000640788387</v>
      </c>
      <c r="N42" s="479">
        <v>53.318556682601354</v>
      </c>
      <c r="O42" s="479">
        <v>3.9358785895769492</v>
      </c>
      <c r="P42" s="479">
        <v>110.78356377286018</v>
      </c>
    </row>
    <row r="43" spans="1:16" x14ac:dyDescent="0.2">
      <c r="A43" s="225">
        <v>31</v>
      </c>
      <c r="B43" s="458"/>
      <c r="C43" s="458" t="s">
        <v>1673</v>
      </c>
      <c r="D43" s="229"/>
      <c r="E43" s="229"/>
      <c r="F43" s="481">
        <v>600.87154099579789</v>
      </c>
      <c r="G43" s="481">
        <v>-1.84900420208578E-3</v>
      </c>
      <c r="H43" s="481">
        <v>600.87338999999997</v>
      </c>
      <c r="I43" s="481"/>
      <c r="J43" s="481">
        <v>303.22125358273945</v>
      </c>
      <c r="K43" s="481">
        <v>28.021193433044758</v>
      </c>
      <c r="L43" s="481">
        <v>208.74700728588039</v>
      </c>
      <c r="M43" s="481">
        <v>33.229167166460911</v>
      </c>
      <c r="N43" s="481">
        <v>24.480321695307126</v>
      </c>
      <c r="O43" s="481">
        <v>3.1744468365673404</v>
      </c>
      <c r="P43" s="481">
        <v>0</v>
      </c>
    </row>
    <row r="44" spans="1:16" x14ac:dyDescent="0.2">
      <c r="A44" s="225">
        <v>32</v>
      </c>
      <c r="B44" s="458"/>
      <c r="C44" s="458" t="s">
        <v>1674</v>
      </c>
      <c r="D44" s="229"/>
      <c r="E44" s="229"/>
      <c r="F44" s="482">
        <v>-62.881113731333144</v>
      </c>
      <c r="G44" s="482">
        <v>0</v>
      </c>
      <c r="H44" s="482">
        <v>-62.881113731333144</v>
      </c>
      <c r="I44" s="482"/>
      <c r="J44" s="482">
        <v>-144.50140292494311</v>
      </c>
      <c r="K44" s="482">
        <v>-1.7648550943851231</v>
      </c>
      <c r="L44" s="482">
        <v>62.380952836373247</v>
      </c>
      <c r="M44" s="482">
        <v>18.851117675793031</v>
      </c>
      <c r="N44" s="482">
        <v>2.1530737758287897</v>
      </c>
      <c r="O44" s="482">
        <v>0</v>
      </c>
      <c r="P44" s="482">
        <v>0</v>
      </c>
    </row>
    <row r="45" spans="1:16" x14ac:dyDescent="0.2">
      <c r="A45" s="225">
        <v>33</v>
      </c>
      <c r="B45" s="458"/>
      <c r="C45" s="229"/>
      <c r="D45" s="229"/>
      <c r="E45" s="229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</row>
    <row r="46" spans="1:16" x14ac:dyDescent="0.2">
      <c r="A46" s="225">
        <v>34</v>
      </c>
      <c r="B46" s="458"/>
      <c r="C46" s="458" t="s">
        <v>1677</v>
      </c>
      <c r="D46" s="229"/>
      <c r="E46" s="229"/>
      <c r="F46" s="481">
        <f t="shared" ref="F46:O46" si="1">+SUM(F34:F44)</f>
        <v>1823092.9455249165</v>
      </c>
      <c r="G46" s="481">
        <f t="shared" si="1"/>
        <v>8011.2948290062213</v>
      </c>
      <c r="H46" s="481">
        <f t="shared" si="1"/>
        <v>1815081.6506959107</v>
      </c>
      <c r="I46" s="481"/>
      <c r="J46" s="481">
        <f t="shared" si="1"/>
        <v>1130819.9409974944</v>
      </c>
      <c r="K46" s="481">
        <f t="shared" si="1"/>
        <v>101957.42543188611</v>
      </c>
      <c r="L46" s="481">
        <f t="shared" si="1"/>
        <v>417177.04692264023</v>
      </c>
      <c r="M46" s="481">
        <f t="shared" si="1"/>
        <v>48529.588515313677</v>
      </c>
      <c r="N46" s="481">
        <f t="shared" si="1"/>
        <v>30109.20051450059</v>
      </c>
      <c r="O46" s="481">
        <f t="shared" si="1"/>
        <v>3669.8440351305471</v>
      </c>
      <c r="P46" s="481">
        <f>+SUM(P34:P44)</f>
        <v>82818.604278944986</v>
      </c>
    </row>
    <row r="47" spans="1:16" x14ac:dyDescent="0.2">
      <c r="A47" s="225">
        <v>35</v>
      </c>
      <c r="B47" s="458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471"/>
    </row>
    <row r="48" spans="1:16" ht="13.5" thickBot="1" x14ac:dyDescent="0.25">
      <c r="A48" s="489">
        <v>36</v>
      </c>
      <c r="B48" s="490"/>
      <c r="C48" s="490"/>
      <c r="D48" s="490"/>
      <c r="E48" s="490"/>
      <c r="F48" s="490"/>
      <c r="G48" s="490"/>
      <c r="H48" s="490"/>
      <c r="I48" s="490"/>
      <c r="J48" s="490"/>
      <c r="K48" s="490"/>
      <c r="L48" s="490"/>
      <c r="M48" s="490"/>
      <c r="N48" s="490"/>
      <c r="O48" s="490"/>
      <c r="P48" s="490"/>
    </row>
    <row r="49" spans="1:16" x14ac:dyDescent="0.2">
      <c r="A49" s="229" t="s">
        <v>1678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 t="s">
        <v>1003</v>
      </c>
      <c r="P49" s="229"/>
    </row>
    <row r="50" spans="1:16" x14ac:dyDescent="0.2">
      <c r="H50" s="491"/>
    </row>
    <row r="52" spans="1:16" x14ac:dyDescent="0.2">
      <c r="H52" s="491"/>
      <c r="J52" s="491"/>
      <c r="K52" s="491"/>
      <c r="L52" s="491"/>
      <c r="M52" s="491"/>
      <c r="N52" s="491"/>
      <c r="O52" s="491"/>
      <c r="P52" s="491"/>
    </row>
    <row r="53" spans="1:16" x14ac:dyDescent="0.2">
      <c r="H53" s="491"/>
    </row>
  </sheetData>
  <pageMargins left="0.7" right="0.7" top="0.75" bottom="0.75" header="0.3" footer="0.3"/>
  <customProperties>
    <customPr name="EpmWorksheetKeyString_GU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1C46-F9CA-4D39-B7FF-81A46D50FDA6}">
  <dimension ref="A1:T53"/>
  <sheetViews>
    <sheetView workbookViewId="0"/>
  </sheetViews>
  <sheetFormatPr defaultRowHeight="11.25" x14ac:dyDescent="0.2"/>
  <cols>
    <col min="1" max="1" width="4.7109375" style="233" customWidth="1"/>
    <col min="2" max="3" width="9.140625" style="233"/>
    <col min="4" max="4" width="29.28515625" style="233" customWidth="1"/>
    <col min="5" max="7" width="10.7109375" style="233" customWidth="1"/>
    <col min="8" max="8" width="11.7109375" style="233" bestFit="1" customWidth="1"/>
    <col min="9" max="9" width="11.7109375" style="233" customWidth="1"/>
    <col min="10" max="10" width="11.7109375" style="233" bestFit="1" customWidth="1"/>
    <col min="11" max="14" width="10.7109375" style="233" customWidth="1"/>
    <col min="15" max="15" width="6.85546875" style="233" customWidth="1"/>
    <col min="16" max="16" width="9.140625" style="233"/>
    <col min="17" max="17" width="18.5703125" style="233" customWidth="1"/>
    <col min="18" max="16384" width="9.140625" style="233"/>
  </cols>
  <sheetData>
    <row r="1" spans="1:20" ht="14.45" customHeight="1" thickBot="1" x14ac:dyDescent="0.25">
      <c r="A1" s="306" t="s">
        <v>1519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26" t="s">
        <v>1520</v>
      </c>
    </row>
    <row r="2" spans="1:20" ht="14.45" customHeight="1" x14ac:dyDescent="0.2">
      <c r="A2" s="233" t="s">
        <v>307</v>
      </c>
      <c r="E2" s="311" t="s">
        <v>1162</v>
      </c>
      <c r="F2" s="233" t="s">
        <v>1521</v>
      </c>
      <c r="J2" s="309"/>
      <c r="L2" s="309"/>
      <c r="M2" s="309"/>
      <c r="N2" s="309"/>
      <c r="O2" s="309" t="s">
        <v>1522</v>
      </c>
      <c r="Q2" s="310"/>
    </row>
    <row r="3" spans="1:20" ht="14.45" customHeight="1" x14ac:dyDescent="0.2">
      <c r="F3" s="233" t="s">
        <v>1566</v>
      </c>
      <c r="J3" s="310"/>
      <c r="M3" s="311"/>
      <c r="N3" s="311"/>
      <c r="O3" s="311" t="s">
        <v>919</v>
      </c>
      <c r="P3" s="310" t="s">
        <v>1523</v>
      </c>
      <c r="Q3" s="311"/>
    </row>
    <row r="4" spans="1:20" ht="14.45" customHeight="1" x14ac:dyDescent="0.2">
      <c r="A4" s="233" t="s">
        <v>310</v>
      </c>
      <c r="F4" s="233" t="s">
        <v>1567</v>
      </c>
      <c r="J4" s="310"/>
      <c r="K4" s="311"/>
      <c r="O4" s="311"/>
      <c r="P4" s="310" t="s">
        <v>937</v>
      </c>
      <c r="Q4" s="311"/>
    </row>
    <row r="5" spans="1:20" ht="14.45" customHeight="1" x14ac:dyDescent="0.2">
      <c r="F5" s="233" t="s">
        <v>1568</v>
      </c>
      <c r="J5" s="310"/>
      <c r="K5" s="311"/>
      <c r="O5" s="311"/>
      <c r="P5" s="310" t="s">
        <v>938</v>
      </c>
      <c r="Q5" s="311"/>
    </row>
    <row r="6" spans="1:20" ht="14.45" customHeight="1" x14ac:dyDescent="0.2">
      <c r="F6" s="233" t="s">
        <v>1569</v>
      </c>
      <c r="J6" s="310"/>
      <c r="K6" s="311"/>
      <c r="O6" s="311"/>
      <c r="P6" s="233" t="s">
        <v>1524</v>
      </c>
      <c r="Q6" s="311"/>
    </row>
    <row r="7" spans="1:20" ht="14.45" customHeight="1" thickBot="1" x14ac:dyDescent="0.25">
      <c r="A7" s="306" t="s">
        <v>1642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</row>
    <row r="8" spans="1:20" ht="14.45" customHeight="1" x14ac:dyDescent="0.2">
      <c r="B8" s="11"/>
      <c r="C8" s="317"/>
      <c r="D8" s="317"/>
      <c r="E8" s="442" t="s">
        <v>1525</v>
      </c>
      <c r="F8" s="443" t="s">
        <v>1526</v>
      </c>
      <c r="G8" s="317" t="s">
        <v>1571</v>
      </c>
      <c r="H8" s="317" t="s">
        <v>1527</v>
      </c>
      <c r="I8" s="317" t="s">
        <v>1528</v>
      </c>
      <c r="J8" s="317" t="s">
        <v>1529</v>
      </c>
      <c r="K8" s="317" t="s">
        <v>1530</v>
      </c>
      <c r="L8" s="317" t="s">
        <v>1531</v>
      </c>
      <c r="M8" s="317" t="s">
        <v>1532</v>
      </c>
      <c r="N8" s="317" t="s">
        <v>1533</v>
      </c>
      <c r="O8" s="442" t="s">
        <v>1563</v>
      </c>
      <c r="P8" s="443" t="s">
        <v>1562</v>
      </c>
      <c r="Q8" s="442" t="s">
        <v>1572</v>
      </c>
      <c r="R8" s="442"/>
    </row>
    <row r="9" spans="1:20" ht="14.45" customHeight="1" thickBot="1" x14ac:dyDescent="0.25">
      <c r="B9" s="11"/>
      <c r="C9" s="317"/>
      <c r="D9" s="317"/>
      <c r="E9" s="442"/>
      <c r="F9" s="443"/>
      <c r="G9" s="584" t="s">
        <v>1534</v>
      </c>
      <c r="H9" s="585"/>
      <c r="I9" s="585"/>
      <c r="J9" s="585"/>
      <c r="K9" s="585"/>
      <c r="L9" s="585"/>
      <c r="M9" s="585"/>
      <c r="N9" s="586"/>
      <c r="O9" s="442"/>
      <c r="P9" s="443"/>
      <c r="Q9" s="442"/>
      <c r="R9" s="442"/>
    </row>
    <row r="10" spans="1:20" ht="14.45" customHeight="1" x14ac:dyDescent="0.2">
      <c r="B10" s="11"/>
      <c r="C10" s="226"/>
      <c r="D10" s="317"/>
      <c r="E10" s="580" t="s">
        <v>1535</v>
      </c>
      <c r="F10" s="581"/>
      <c r="G10" s="444" t="s">
        <v>854</v>
      </c>
      <c r="H10" s="444" t="s">
        <v>854</v>
      </c>
      <c r="I10" s="444" t="s">
        <v>855</v>
      </c>
      <c r="J10" s="444" t="s">
        <v>855</v>
      </c>
      <c r="K10" s="226" t="s">
        <v>326</v>
      </c>
      <c r="L10" s="226" t="s">
        <v>326</v>
      </c>
      <c r="M10" s="226" t="s">
        <v>326</v>
      </c>
      <c r="N10" s="445"/>
      <c r="O10" s="580" t="s">
        <v>1536</v>
      </c>
      <c r="P10" s="581"/>
      <c r="Q10" s="442" t="s">
        <v>857</v>
      </c>
      <c r="R10" s="442"/>
      <c r="S10" s="317"/>
      <c r="T10" s="317"/>
    </row>
    <row r="11" spans="1:20" ht="14.45" customHeight="1" x14ac:dyDescent="0.2">
      <c r="B11" s="226"/>
      <c r="C11" s="226"/>
      <c r="D11" s="317"/>
      <c r="E11" s="582" t="s">
        <v>1537</v>
      </c>
      <c r="F11" s="583"/>
      <c r="G11" s="446" t="s">
        <v>1447</v>
      </c>
      <c r="H11" s="446" t="s">
        <v>1447</v>
      </c>
      <c r="I11" s="446" t="s">
        <v>1447</v>
      </c>
      <c r="J11" s="446" t="s">
        <v>1447</v>
      </c>
      <c r="K11" s="226" t="s">
        <v>1538</v>
      </c>
      <c r="L11" s="226" t="s">
        <v>1538</v>
      </c>
      <c r="M11" s="226" t="s">
        <v>1538</v>
      </c>
      <c r="N11" s="445" t="s">
        <v>331</v>
      </c>
      <c r="O11" s="582" t="s">
        <v>1539</v>
      </c>
      <c r="P11" s="583"/>
      <c r="Q11" s="447" t="s">
        <v>336</v>
      </c>
      <c r="R11" s="442"/>
    </row>
    <row r="12" spans="1:20" ht="14.45" customHeight="1" x14ac:dyDescent="0.2">
      <c r="A12" s="226" t="s">
        <v>1540</v>
      </c>
      <c r="B12" s="226"/>
      <c r="C12" s="226" t="s">
        <v>814</v>
      </c>
      <c r="D12" s="317"/>
      <c r="E12" s="442" t="s">
        <v>1541</v>
      </c>
      <c r="F12" s="443" t="s">
        <v>1542</v>
      </c>
      <c r="G12" s="446" t="s">
        <v>1543</v>
      </c>
      <c r="H12" s="446" t="s">
        <v>1573</v>
      </c>
      <c r="I12" s="446" t="s">
        <v>1543</v>
      </c>
      <c r="J12" s="446" t="s">
        <v>1573</v>
      </c>
      <c r="K12" s="226" t="s">
        <v>1448</v>
      </c>
      <c r="L12" s="226" t="s">
        <v>1561</v>
      </c>
      <c r="M12" s="226" t="s">
        <v>1440</v>
      </c>
      <c r="N12" s="443" t="s">
        <v>318</v>
      </c>
      <c r="O12" s="442" t="s">
        <v>1541</v>
      </c>
      <c r="P12" s="443" t="s">
        <v>1542</v>
      </c>
      <c r="Q12" s="447" t="s">
        <v>318</v>
      </c>
      <c r="R12" s="442"/>
      <c r="S12" s="226"/>
      <c r="T12" s="226"/>
    </row>
    <row r="13" spans="1:20" ht="14.45" customHeight="1" thickBot="1" x14ac:dyDescent="0.25">
      <c r="A13" s="314" t="s">
        <v>320</v>
      </c>
      <c r="B13" s="314"/>
      <c r="C13" s="314"/>
      <c r="D13" s="314"/>
      <c r="E13" s="168"/>
      <c r="F13" s="169"/>
      <c r="G13" s="448" t="s">
        <v>318</v>
      </c>
      <c r="H13" s="448" t="s">
        <v>318</v>
      </c>
      <c r="I13" s="448" t="s">
        <v>318</v>
      </c>
      <c r="J13" s="448" t="s">
        <v>318</v>
      </c>
      <c r="K13" s="170" t="s">
        <v>1544</v>
      </c>
      <c r="L13" s="170" t="s">
        <v>321</v>
      </c>
      <c r="M13" s="170" t="s">
        <v>318</v>
      </c>
      <c r="N13" s="169" t="s">
        <v>326</v>
      </c>
      <c r="O13" s="168"/>
      <c r="P13" s="169"/>
      <c r="Q13" s="168" t="s">
        <v>326</v>
      </c>
      <c r="R13" s="442"/>
      <c r="S13" s="22"/>
      <c r="T13" s="22"/>
    </row>
    <row r="14" spans="1:20" ht="14.45" customHeight="1" x14ac:dyDescent="0.2">
      <c r="A14" s="233">
        <v>1</v>
      </c>
      <c r="B14" s="11"/>
      <c r="C14" s="11"/>
      <c r="D14" s="11"/>
      <c r="E14" s="171"/>
      <c r="F14" s="15"/>
      <c r="G14" s="172"/>
      <c r="H14" s="172"/>
      <c r="I14" s="172"/>
      <c r="J14" s="172"/>
      <c r="K14" s="11"/>
      <c r="L14" s="11"/>
      <c r="M14" s="11"/>
      <c r="N14" s="173"/>
      <c r="O14" s="171"/>
      <c r="P14" s="173"/>
      <c r="Q14" s="171"/>
      <c r="R14" s="442"/>
      <c r="S14" s="317"/>
      <c r="T14" s="15"/>
    </row>
    <row r="15" spans="1:20" ht="14.45" customHeight="1" x14ac:dyDescent="0.2">
      <c r="A15" s="233">
        <v>2</v>
      </c>
      <c r="B15" s="11"/>
      <c r="C15" s="11" t="s">
        <v>1545</v>
      </c>
      <c r="E15" s="174">
        <v>4.9599999999999998E-2</v>
      </c>
      <c r="F15" s="30">
        <v>0.97</v>
      </c>
      <c r="G15" s="175">
        <v>920604</v>
      </c>
      <c r="H15" s="175">
        <f>+'Service Charges Allocation Fact'!$B$3*'Service Charges Allocation Fact'!G3</f>
        <v>16476.524834332919</v>
      </c>
      <c r="I15" s="175">
        <f>+'E-13a'!I16/1000</f>
        <v>1099875.9720000259</v>
      </c>
      <c r="J15" s="175">
        <f>+'Service Charges Allocation Fact'!$D$3*'Service Charges Allocation Fact'!G3</f>
        <v>19131.687004991603</v>
      </c>
      <c r="K15" s="11">
        <f>+I15-G15</f>
        <v>179271.97200002591</v>
      </c>
      <c r="L15" s="11">
        <f>+J15-H15</f>
        <v>2655.1621706586848</v>
      </c>
      <c r="M15" s="11">
        <f>(+'E-12'!T69-'E-12'!T18)/1000</f>
        <v>-17.482101429422123</v>
      </c>
      <c r="N15" s="173">
        <f>+SUM(K15:M15)</f>
        <v>181909.65206925516</v>
      </c>
      <c r="O15" s="174">
        <v>7.1900000000000006E-2</v>
      </c>
      <c r="P15" s="176">
        <v>0.98</v>
      </c>
      <c r="Q15" s="174">
        <f>+SUM(I15:J15)/SUM(G15:H15,M15)-1</f>
        <v>0.19416475517109344</v>
      </c>
      <c r="R15" s="442"/>
      <c r="S15" s="11"/>
      <c r="T15" s="11"/>
    </row>
    <row r="16" spans="1:20" ht="14.45" customHeight="1" x14ac:dyDescent="0.2">
      <c r="A16" s="233">
        <v>3</v>
      </c>
      <c r="B16" s="11"/>
      <c r="C16" s="11"/>
      <c r="E16" s="174"/>
      <c r="F16" s="30"/>
      <c r="G16" s="175"/>
      <c r="H16" s="175"/>
      <c r="I16" s="175"/>
      <c r="J16" s="175"/>
      <c r="K16" s="13"/>
      <c r="L16" s="13"/>
      <c r="M16" s="13"/>
      <c r="N16" s="177"/>
      <c r="O16" s="174"/>
      <c r="P16" s="176"/>
      <c r="Q16" s="174"/>
      <c r="R16" s="442"/>
      <c r="S16" s="13"/>
      <c r="T16" s="13"/>
    </row>
    <row r="17" spans="1:20" ht="14.45" customHeight="1" x14ac:dyDescent="0.2">
      <c r="A17" s="233">
        <v>4</v>
      </c>
      <c r="B17" s="11"/>
      <c r="C17" s="11" t="s">
        <v>1546</v>
      </c>
      <c r="E17" s="174">
        <v>6.7500000000000004E-2</v>
      </c>
      <c r="F17" s="30">
        <v>1.32</v>
      </c>
      <c r="G17" s="175">
        <v>95215</v>
      </c>
      <c r="H17" s="175">
        <f>+'Service Charges Allocation Fact'!$B$3*'Service Charges Allocation Fact'!G4</f>
        <v>1596.8437221691411</v>
      </c>
      <c r="I17" s="175">
        <f>+('E-13a'!I17+'E-13a'!I18)/1000</f>
        <v>99214.925511160574</v>
      </c>
      <c r="J17" s="175">
        <f>+'Service Charges Allocation Fact'!$D$3*'Service Charges Allocation Fact'!G4</f>
        <v>1854.1721992714524</v>
      </c>
      <c r="K17" s="11">
        <f>+I17-G17</f>
        <v>3999.9255111605744</v>
      </c>
      <c r="L17" s="11">
        <f>+J17-H17</f>
        <v>257.32847710231135</v>
      </c>
      <c r="M17" s="11">
        <f>+('E-12'!T70-'E-12'!T19)/1000</f>
        <v>0.26753123851835175</v>
      </c>
      <c r="N17" s="173">
        <f>+SUM(K17:M17)</f>
        <v>4257.5215195014043</v>
      </c>
      <c r="O17" s="174">
        <v>7.3700000000000002E-2</v>
      </c>
      <c r="P17" s="176">
        <v>1</v>
      </c>
      <c r="Q17" s="174">
        <f>+SUM(I17:J17)/SUM(G17:H17,M17)-1</f>
        <v>4.3971631254705601E-2</v>
      </c>
      <c r="R17" s="442"/>
      <c r="S17" s="15"/>
      <c r="T17" s="15"/>
    </row>
    <row r="18" spans="1:20" ht="14.45" customHeight="1" x14ac:dyDescent="0.2">
      <c r="A18" s="233">
        <v>5</v>
      </c>
      <c r="B18" s="11"/>
      <c r="C18" s="11"/>
      <c r="E18" s="174"/>
      <c r="F18" s="30"/>
      <c r="G18" s="175"/>
      <c r="H18" s="175"/>
      <c r="I18" s="175"/>
      <c r="J18" s="175"/>
      <c r="K18" s="13"/>
      <c r="L18" s="13"/>
      <c r="M18" s="13"/>
      <c r="N18" s="177"/>
      <c r="O18" s="174"/>
      <c r="P18" s="176"/>
      <c r="Q18" s="174"/>
      <c r="R18" s="442"/>
      <c r="S18" s="12"/>
      <c r="T18" s="12"/>
    </row>
    <row r="19" spans="1:20" ht="14.45" customHeight="1" x14ac:dyDescent="0.2">
      <c r="A19" s="233">
        <v>6</v>
      </c>
      <c r="B19" s="11"/>
      <c r="C19" s="11" t="s">
        <v>1547</v>
      </c>
      <c r="E19" s="174">
        <v>4.1500000000000002E-2</v>
      </c>
      <c r="F19" s="30">
        <v>0.81</v>
      </c>
      <c r="G19" s="175">
        <v>310482</v>
      </c>
      <c r="H19" s="175">
        <f>+'Service Charges Allocation Fact'!$B$3*'Service Charges Allocation Fact'!G5</f>
        <v>390.51857700561146</v>
      </c>
      <c r="I19" s="175">
        <f>+('E-13a'!I19+'E-13a'!I20)/1000</f>
        <v>411077.26299999299</v>
      </c>
      <c r="J19" s="175">
        <f>+'Service Charges Allocation Fact'!$D$3*'Service Charges Allocation Fact'!G5</f>
        <v>453.44993923341212</v>
      </c>
      <c r="K19" s="11">
        <f>+I19-G19</f>
        <v>100595.26299999299</v>
      </c>
      <c r="L19" s="11">
        <f>+J19-H19</f>
        <v>62.931362227800662</v>
      </c>
      <c r="M19" s="12">
        <f>+('E-12'!T76-'E-12'!T25)/1000</f>
        <v>22.135540379807733</v>
      </c>
      <c r="N19" s="173">
        <f>+SUM(K19:M19)</f>
        <v>100680.3299026006</v>
      </c>
      <c r="O19" s="174">
        <v>7.2999999999999995E-2</v>
      </c>
      <c r="P19" s="176">
        <v>0.99</v>
      </c>
      <c r="Q19" s="174">
        <f>+SUM(I19:J19)/SUM(G19:H19,M19)-1</f>
        <v>0.32369826077435082</v>
      </c>
      <c r="R19" s="442"/>
      <c r="S19" s="12"/>
      <c r="T19" s="12"/>
    </row>
    <row r="20" spans="1:20" ht="14.45" customHeight="1" x14ac:dyDescent="0.2">
      <c r="A20" s="233">
        <v>7</v>
      </c>
      <c r="B20" s="11"/>
      <c r="E20" s="174"/>
      <c r="G20" s="178"/>
      <c r="H20" s="178"/>
      <c r="I20" s="178"/>
      <c r="J20" s="178"/>
      <c r="K20" s="179"/>
      <c r="L20" s="179"/>
      <c r="O20" s="174"/>
      <c r="Q20" s="174"/>
      <c r="R20" s="442"/>
      <c r="S20" s="12"/>
      <c r="T20" s="12"/>
    </row>
    <row r="21" spans="1:20" ht="14.45" customHeight="1" x14ac:dyDescent="0.2">
      <c r="A21" s="233">
        <v>8</v>
      </c>
      <c r="B21" s="11"/>
      <c r="C21" s="15" t="s">
        <v>1548</v>
      </c>
      <c r="D21" s="180"/>
      <c r="E21" s="179">
        <v>6.4100000000000004E-2</v>
      </c>
      <c r="F21" s="30">
        <v>1.25</v>
      </c>
      <c r="G21" s="175">
        <v>44353</v>
      </c>
      <c r="H21" s="175">
        <f>+'Service Charges Allocation Fact'!$B$3*'Service Charges Allocation Fact'!G6</f>
        <v>0</v>
      </c>
      <c r="I21" s="175">
        <f>+('E-13a'!I21+'E-13a'!I24)/1000</f>
        <v>47902.933470879943</v>
      </c>
      <c r="J21" s="175">
        <f>+'Service Charges Allocation Fact'!$D$3*'Service Charges Allocation Fact'!G6</f>
        <v>0</v>
      </c>
      <c r="K21" s="11">
        <f>+I21-G21</f>
        <v>3549.9334708799433</v>
      </c>
      <c r="L21" s="11">
        <f>+J21-H21</f>
        <v>0</v>
      </c>
      <c r="M21" s="12">
        <f>(+'E-12'!T77-'E-12'!T26)/1000</f>
        <v>1.680052734566063</v>
      </c>
      <c r="N21" s="173">
        <f>+SUM(K21:M21)</f>
        <v>3551.6135236145096</v>
      </c>
      <c r="O21" s="174">
        <v>7.3700000000000002E-2</v>
      </c>
      <c r="P21" s="176">
        <v>1</v>
      </c>
      <c r="Q21" s="174">
        <f>+SUM(I21:J21)/SUM(G21:H21,M21)-1</f>
        <v>7.999727230422482E-2</v>
      </c>
      <c r="R21" s="442"/>
      <c r="S21" s="12"/>
      <c r="T21" s="12"/>
    </row>
    <row r="22" spans="1:20" ht="14.45" customHeight="1" x14ac:dyDescent="0.2">
      <c r="A22" s="233">
        <v>9</v>
      </c>
      <c r="B22" s="11"/>
      <c r="C22" s="18"/>
      <c r="E22" s="174"/>
      <c r="F22" s="30"/>
      <c r="G22" s="175"/>
      <c r="H22" s="175"/>
      <c r="I22" s="175"/>
      <c r="J22" s="175"/>
      <c r="K22" s="15"/>
      <c r="L22" s="15"/>
      <c r="M22" s="12"/>
      <c r="N22" s="173"/>
      <c r="O22" s="174"/>
      <c r="P22" s="176"/>
      <c r="Q22" s="174"/>
      <c r="R22" s="442"/>
      <c r="S22" s="12"/>
      <c r="T22" s="12"/>
    </row>
    <row r="23" spans="1:20" ht="14.45" customHeight="1" x14ac:dyDescent="0.2">
      <c r="A23" s="233">
        <v>10</v>
      </c>
      <c r="B23" s="11"/>
      <c r="C23" s="11" t="s">
        <v>1549</v>
      </c>
      <c r="E23" s="174">
        <v>4.2700000000000002E-2</v>
      </c>
      <c r="F23" s="30">
        <v>0.84</v>
      </c>
      <c r="G23" s="175">
        <v>23795</v>
      </c>
      <c r="H23" s="175">
        <f>+'Service Charges Allocation Fact'!$B$3*'Service Charges Allocation Fact'!G7</f>
        <v>0</v>
      </c>
      <c r="I23" s="175">
        <f>+('E-13a'!I22+'E-13a'!I25)/1000</f>
        <v>30000.30299999865</v>
      </c>
      <c r="J23" s="175">
        <f>+'Service Charges Allocation Fact'!$D$3*'Service Charges Allocation Fact'!G7</f>
        <v>0</v>
      </c>
      <c r="K23" s="11">
        <f>+I23-G23</f>
        <v>6205.3029999986502</v>
      </c>
      <c r="L23" s="11">
        <f>+J23-H23</f>
        <v>0</v>
      </c>
      <c r="M23" s="12">
        <f>+('E-12'!T78-'E-12'!T27)/1000</f>
        <v>0.61699350680455523</v>
      </c>
      <c r="N23" s="173">
        <f>+SUM(K23:M23)</f>
        <v>6205.9199935054548</v>
      </c>
      <c r="O23" s="174">
        <v>6.9000000000000006E-2</v>
      </c>
      <c r="P23" s="176">
        <v>0.93</v>
      </c>
      <c r="Q23" s="174">
        <f>+SUM(I23:J23)/SUM(G23:H23,M23)-1</f>
        <v>0.26074911224974517</v>
      </c>
      <c r="R23" s="442"/>
      <c r="S23" s="12"/>
      <c r="T23" s="12"/>
    </row>
    <row r="24" spans="1:20" ht="14.45" customHeight="1" x14ac:dyDescent="0.2">
      <c r="A24" s="233">
        <v>11</v>
      </c>
      <c r="B24" s="11"/>
      <c r="E24" s="174"/>
      <c r="G24" s="178"/>
      <c r="H24" s="178"/>
      <c r="I24" s="178"/>
      <c r="J24" s="178"/>
      <c r="K24" s="179"/>
      <c r="L24" s="179"/>
      <c r="O24" s="174"/>
      <c r="Q24" s="174"/>
      <c r="R24" s="442"/>
      <c r="S24" s="12"/>
      <c r="T24" s="12"/>
    </row>
    <row r="25" spans="1:20" ht="14.45" customHeight="1" x14ac:dyDescent="0.2">
      <c r="A25" s="233">
        <v>12</v>
      </c>
      <c r="B25" s="11"/>
      <c r="C25" s="11" t="s">
        <v>1639</v>
      </c>
      <c r="E25" s="174"/>
      <c r="F25" s="30"/>
      <c r="G25" s="175"/>
      <c r="H25" s="175"/>
      <c r="I25" s="175"/>
      <c r="J25" s="175"/>
      <c r="K25" s="15"/>
      <c r="L25" s="15"/>
      <c r="M25" s="12"/>
      <c r="N25" s="177"/>
      <c r="O25" s="174"/>
      <c r="P25" s="176"/>
      <c r="Q25" s="174"/>
      <c r="R25" s="442"/>
      <c r="S25" s="12"/>
      <c r="T25" s="12"/>
    </row>
    <row r="26" spans="1:20" ht="14.45" customHeight="1" x14ac:dyDescent="0.2">
      <c r="A26" s="233">
        <v>13</v>
      </c>
      <c r="B26" s="11"/>
      <c r="C26" s="18" t="s">
        <v>1550</v>
      </c>
      <c r="E26" s="174">
        <v>0.13969999999999999</v>
      </c>
      <c r="F26" s="30">
        <v>2.73</v>
      </c>
      <c r="G26" s="175">
        <v>3570</v>
      </c>
      <c r="H26" s="175">
        <f>+'Service Charges Allocation Fact'!$B$3*'Service Charges Allocation Fact'!G8</f>
        <v>4.670198573000345</v>
      </c>
      <c r="I26" s="175">
        <f>+'E-13a'!I26/1000</f>
        <v>3573.0469034759999</v>
      </c>
      <c r="J26" s="175">
        <f>+'Service Charges Allocation Fact'!$D$3*'Service Charges Allocation Fact'!G8</f>
        <v>5.4227926245479097</v>
      </c>
      <c r="K26" s="11">
        <f>+I26-G26</f>
        <v>3.0469034759998976</v>
      </c>
      <c r="L26" s="11">
        <f>+J26-H26</f>
        <v>0.75259405154756465</v>
      </c>
      <c r="M26" s="12">
        <f>+('E-12'!T84-'E-12'!T33)/1000</f>
        <v>0</v>
      </c>
      <c r="N26" s="173">
        <f>+SUM(K26:M26)</f>
        <v>3.7994975275474623</v>
      </c>
      <c r="O26" s="174">
        <v>0.14000000000000001</v>
      </c>
      <c r="P26" s="176">
        <v>1.9</v>
      </c>
      <c r="Q26" s="174">
        <f>+SUM(I26:J26)/SUM(G26:H26,M26)-1</f>
        <v>1.0628945655082322E-3</v>
      </c>
      <c r="R26" s="442"/>
      <c r="S26" s="12"/>
      <c r="T26" s="12"/>
    </row>
    <row r="27" spans="1:20" ht="14.45" customHeight="1" x14ac:dyDescent="0.2">
      <c r="A27" s="233">
        <v>14</v>
      </c>
      <c r="B27" s="11"/>
      <c r="C27" s="181" t="s">
        <v>1551</v>
      </c>
      <c r="D27" s="449"/>
      <c r="E27" s="182">
        <v>0.11</v>
      </c>
      <c r="F27" s="183">
        <v>2.15</v>
      </c>
      <c r="G27" s="184">
        <v>82706</v>
      </c>
      <c r="H27" s="184">
        <f>+'Service Charges Allocation Fact'!$B$3*'Service Charges Allocation Fact'!G9</f>
        <v>0</v>
      </c>
      <c r="I27" s="184">
        <f>+'E-13a'!I27/1000</f>
        <v>82707.820715172114</v>
      </c>
      <c r="J27" s="184">
        <f>+'Service Charges Allocation Fact'!$D$3*'Service Charges Allocation Fact'!G9</f>
        <v>0</v>
      </c>
      <c r="K27" s="185">
        <f>+I27-G27</f>
        <v>1.8207151721144328</v>
      </c>
      <c r="L27" s="185">
        <f>+J27-H27</f>
        <v>0</v>
      </c>
      <c r="M27" s="53">
        <f>+('E-12'!T85-'E-12'!T34)/1000</f>
        <v>0</v>
      </c>
      <c r="N27" s="186">
        <f>+SUM(K27:M27)</f>
        <v>1.8207151721144328</v>
      </c>
      <c r="O27" s="182">
        <v>0.1101</v>
      </c>
      <c r="P27" s="187">
        <v>1.49</v>
      </c>
      <c r="Q27" s="199">
        <f t="shared" ref="Q27:Q28" si="0">+SUM(I27:J27)/SUM(G27:H27,M27)-1</f>
        <v>2.2014305759210373E-5</v>
      </c>
      <c r="R27" s="442"/>
      <c r="S27" s="12"/>
      <c r="T27" s="12"/>
    </row>
    <row r="28" spans="1:20" ht="14.45" customHeight="1" x14ac:dyDescent="0.2">
      <c r="A28" s="233">
        <v>15</v>
      </c>
      <c r="B28" s="11"/>
      <c r="C28" s="18" t="s">
        <v>1552</v>
      </c>
      <c r="E28" s="174">
        <v>0.111</v>
      </c>
      <c r="F28" s="30">
        <v>2.17</v>
      </c>
      <c r="G28" s="175">
        <f t="shared" ref="G28:N28" si="1">+SUM(G26:G27)</f>
        <v>86276</v>
      </c>
      <c r="H28" s="175">
        <f t="shared" si="1"/>
        <v>4.670198573000345</v>
      </c>
      <c r="I28" s="175">
        <f t="shared" si="1"/>
        <v>86280.867618648117</v>
      </c>
      <c r="J28" s="175">
        <f t="shared" si="1"/>
        <v>5.4227926245479097</v>
      </c>
      <c r="K28" s="15">
        <f t="shared" si="1"/>
        <v>4.8676186481143304</v>
      </c>
      <c r="L28" s="15">
        <f t="shared" si="1"/>
        <v>0.75259405154756465</v>
      </c>
      <c r="M28" s="12">
        <f t="shared" si="1"/>
        <v>0</v>
      </c>
      <c r="N28" s="173">
        <f t="shared" si="1"/>
        <v>5.6202126996618951</v>
      </c>
      <c r="O28" s="174">
        <v>0.1111</v>
      </c>
      <c r="P28" s="176">
        <v>1.51</v>
      </c>
      <c r="Q28" s="174">
        <f t="shared" si="0"/>
        <v>6.5138723270630194E-5</v>
      </c>
      <c r="R28" s="442"/>
      <c r="S28" s="12"/>
      <c r="T28" s="12"/>
    </row>
    <row r="29" spans="1:20" ht="14.45" customHeight="1" x14ac:dyDescent="0.2">
      <c r="A29" s="233">
        <v>16</v>
      </c>
      <c r="B29" s="11"/>
      <c r="C29" s="11"/>
      <c r="E29" s="174"/>
      <c r="F29" s="30"/>
      <c r="G29" s="175"/>
      <c r="H29" s="175"/>
      <c r="I29" s="175"/>
      <c r="J29" s="175"/>
      <c r="K29" s="15"/>
      <c r="L29" s="15"/>
      <c r="M29" s="12"/>
      <c r="N29" s="177"/>
      <c r="O29" s="174"/>
      <c r="P29" s="176"/>
      <c r="Q29" s="174"/>
      <c r="R29" s="442"/>
      <c r="S29" s="12"/>
      <c r="T29" s="12"/>
    </row>
    <row r="30" spans="1:20" ht="14.45" customHeight="1" x14ac:dyDescent="0.2">
      <c r="A30" s="233">
        <v>17</v>
      </c>
      <c r="B30" s="11"/>
      <c r="C30" s="11"/>
      <c r="E30" s="174"/>
      <c r="F30" s="30"/>
      <c r="G30" s="175"/>
      <c r="H30" s="175"/>
      <c r="I30" s="175"/>
      <c r="J30" s="175"/>
      <c r="K30" s="15"/>
      <c r="L30" s="15"/>
      <c r="M30" s="12"/>
      <c r="N30" s="177"/>
      <c r="O30" s="174"/>
      <c r="P30" s="176"/>
      <c r="Q30" s="174"/>
      <c r="R30" s="442"/>
      <c r="S30" s="12"/>
      <c r="T30" s="12"/>
    </row>
    <row r="31" spans="1:20" ht="14.45" customHeight="1" x14ac:dyDescent="0.2">
      <c r="A31" s="233">
        <v>18</v>
      </c>
      <c r="B31" s="11"/>
      <c r="C31" s="11" t="s">
        <v>1553</v>
      </c>
      <c r="E31" s="174">
        <v>5.1200000000000002E-2</v>
      </c>
      <c r="F31" s="30">
        <v>1</v>
      </c>
      <c r="G31" s="175">
        <f t="shared" ref="G31:N31" si="2">+SUM(G15:G27)</f>
        <v>1480725</v>
      </c>
      <c r="H31" s="175">
        <f t="shared" si="2"/>
        <v>18468.557332080672</v>
      </c>
      <c r="I31" s="175">
        <f t="shared" si="2"/>
        <v>1774352.2646007063</v>
      </c>
      <c r="J31" s="175">
        <f t="shared" si="2"/>
        <v>21444.731936121014</v>
      </c>
      <c r="K31" s="15">
        <f t="shared" si="2"/>
        <v>293627.26460070617</v>
      </c>
      <c r="L31" s="15">
        <f t="shared" si="2"/>
        <v>2976.1746040403441</v>
      </c>
      <c r="M31" s="15">
        <f t="shared" si="2"/>
        <v>7.21801643027458</v>
      </c>
      <c r="N31" s="15">
        <f t="shared" si="2"/>
        <v>296610.65722117678</v>
      </c>
      <c r="O31" s="174">
        <v>7.3700000000000002E-2</v>
      </c>
      <c r="P31" s="176">
        <v>1</v>
      </c>
      <c r="Q31" s="174">
        <f>+SUM(I31:J31)/SUM(G31:H31,M31)-1</f>
        <v>0.19783622451727201</v>
      </c>
      <c r="R31" s="442"/>
      <c r="S31" s="12"/>
      <c r="T31" s="39"/>
    </row>
    <row r="32" spans="1:20" ht="14.45" customHeight="1" x14ac:dyDescent="0.2">
      <c r="A32" s="233">
        <v>19</v>
      </c>
      <c r="B32" s="11"/>
      <c r="C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ht="14.45" customHeight="1" x14ac:dyDescent="0.2">
      <c r="A33" s="233">
        <v>20</v>
      </c>
      <c r="B33" s="11"/>
      <c r="C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ht="14.45" customHeight="1" x14ac:dyDescent="0.2">
      <c r="A34" s="233">
        <v>21</v>
      </c>
      <c r="B34" s="11"/>
      <c r="C34" s="11"/>
      <c r="F34" s="12"/>
      <c r="G34" s="12"/>
      <c r="H34" s="12"/>
      <c r="I34" s="13"/>
      <c r="J34" s="13"/>
      <c r="K34" s="12"/>
      <c r="L34" s="12"/>
      <c r="M34" s="12"/>
      <c r="N34" s="12"/>
      <c r="O34" s="12"/>
      <c r="P34" s="12"/>
      <c r="Q34" s="12"/>
    </row>
    <row r="35" spans="1:17" ht="14.45" customHeight="1" x14ac:dyDescent="0.2">
      <c r="A35" s="233">
        <v>22</v>
      </c>
      <c r="B35" s="11"/>
      <c r="C35" s="11"/>
      <c r="F35" s="12"/>
      <c r="G35" s="12"/>
      <c r="H35" s="12"/>
      <c r="I35" s="13"/>
      <c r="J35" s="13"/>
      <c r="K35" s="12"/>
      <c r="L35" s="12"/>
      <c r="M35" s="12"/>
      <c r="N35" s="12"/>
      <c r="O35" s="12"/>
      <c r="P35" s="12"/>
      <c r="Q35" s="12"/>
    </row>
    <row r="36" spans="1:17" ht="14.45" customHeight="1" x14ac:dyDescent="0.2">
      <c r="A36" s="233">
        <v>23</v>
      </c>
      <c r="B36" s="11"/>
      <c r="C36" s="11"/>
      <c r="F36" s="12"/>
      <c r="G36" s="12"/>
      <c r="H36" s="12"/>
      <c r="I36" s="13"/>
      <c r="J36" s="13"/>
      <c r="K36" s="12"/>
      <c r="L36" s="12"/>
      <c r="M36" s="12"/>
      <c r="N36" s="12"/>
      <c r="O36" s="12"/>
      <c r="P36" s="12"/>
      <c r="Q36" s="12"/>
    </row>
    <row r="37" spans="1:17" ht="14.45" customHeight="1" x14ac:dyDescent="0.2">
      <c r="A37" s="233">
        <v>24</v>
      </c>
      <c r="B37" s="11"/>
      <c r="C37" s="11" t="s">
        <v>1554</v>
      </c>
      <c r="F37" s="12"/>
      <c r="G37" s="12"/>
      <c r="H37" s="12"/>
      <c r="I37" s="13"/>
      <c r="J37" s="13"/>
      <c r="K37" s="12"/>
      <c r="L37" s="12"/>
      <c r="M37" s="12"/>
      <c r="N37" s="12"/>
      <c r="O37" s="12"/>
      <c r="P37" s="12"/>
      <c r="Q37" s="12"/>
    </row>
    <row r="38" spans="1:17" ht="14.45" customHeight="1" x14ac:dyDescent="0.2">
      <c r="A38" s="233">
        <v>25</v>
      </c>
      <c r="B38" s="11"/>
      <c r="C38" s="7" t="s">
        <v>1555</v>
      </c>
      <c r="D38" s="233" t="s">
        <v>1636</v>
      </c>
      <c r="F38" s="12"/>
      <c r="G38" s="12"/>
      <c r="H38" s="12"/>
      <c r="I38" s="13"/>
      <c r="J38" s="13"/>
      <c r="K38" s="12"/>
      <c r="L38" s="12"/>
      <c r="M38" s="12"/>
      <c r="N38" s="12"/>
      <c r="O38" s="12"/>
      <c r="P38" s="12"/>
      <c r="Q38" s="12"/>
    </row>
    <row r="39" spans="1:17" ht="14.45" customHeight="1" x14ac:dyDescent="0.2">
      <c r="A39" s="233">
        <v>26</v>
      </c>
      <c r="B39" s="11"/>
      <c r="C39" s="7" t="s">
        <v>1556</v>
      </c>
      <c r="D39" s="233" t="s">
        <v>1637</v>
      </c>
      <c r="F39" s="12"/>
      <c r="G39" s="12"/>
      <c r="H39" s="12"/>
      <c r="I39" s="13"/>
      <c r="J39" s="13"/>
      <c r="K39" s="12"/>
      <c r="L39" s="12"/>
      <c r="M39" s="12"/>
      <c r="N39" s="12"/>
      <c r="O39" s="12"/>
      <c r="P39" s="12"/>
      <c r="Q39" s="12"/>
    </row>
    <row r="40" spans="1:17" ht="14.45" customHeight="1" x14ac:dyDescent="0.2">
      <c r="A40" s="233">
        <v>27</v>
      </c>
      <c r="B40" s="11"/>
      <c r="C40" s="7" t="s">
        <v>1557</v>
      </c>
      <c r="D40" s="233" t="s">
        <v>1638</v>
      </c>
      <c r="P40" s="12"/>
      <c r="Q40" s="12"/>
    </row>
    <row r="41" spans="1:17" ht="14.45" customHeight="1" x14ac:dyDescent="0.2">
      <c r="A41" s="233">
        <v>28</v>
      </c>
      <c r="B41" s="11"/>
      <c r="C41" s="7" t="s">
        <v>1558</v>
      </c>
      <c r="D41" s="233" t="s">
        <v>1640</v>
      </c>
      <c r="F41" s="12"/>
      <c r="G41" s="12"/>
      <c r="H41" s="12"/>
      <c r="I41" s="13"/>
      <c r="J41" s="13"/>
      <c r="K41" s="12"/>
      <c r="L41" s="12"/>
      <c r="M41" s="12"/>
      <c r="N41" s="12"/>
      <c r="O41" s="12"/>
      <c r="P41" s="12"/>
      <c r="Q41" s="12"/>
    </row>
    <row r="42" spans="1:17" ht="14.45" customHeight="1" x14ac:dyDescent="0.2">
      <c r="A42" s="233">
        <v>29</v>
      </c>
      <c r="B42" s="11"/>
      <c r="C42" s="7" t="s">
        <v>1559</v>
      </c>
      <c r="D42" s="233" t="s">
        <v>1641</v>
      </c>
      <c r="F42" s="12"/>
      <c r="G42" s="12"/>
      <c r="H42" s="12"/>
      <c r="I42" s="13"/>
      <c r="J42" s="13"/>
      <c r="K42" s="12"/>
      <c r="L42" s="12"/>
      <c r="M42" s="12"/>
      <c r="N42" s="12"/>
      <c r="O42" s="12"/>
      <c r="P42" s="12"/>
      <c r="Q42" s="12"/>
    </row>
    <row r="43" spans="1:17" ht="14.45" customHeight="1" x14ac:dyDescent="0.2">
      <c r="A43" s="233">
        <v>30</v>
      </c>
      <c r="B43" s="11"/>
      <c r="C43" s="7"/>
      <c r="F43" s="12"/>
      <c r="G43" s="12"/>
      <c r="H43" s="12"/>
      <c r="I43" s="13"/>
      <c r="J43" s="13"/>
      <c r="K43" s="12"/>
      <c r="L43" s="12"/>
      <c r="M43" s="12"/>
      <c r="N43" s="12"/>
      <c r="O43" s="12"/>
      <c r="P43" s="12"/>
      <c r="Q43" s="12"/>
    </row>
    <row r="44" spans="1:17" ht="14.45" customHeight="1" x14ac:dyDescent="0.2">
      <c r="A44" s="233">
        <v>31</v>
      </c>
      <c r="B44" s="11"/>
      <c r="C44" s="11"/>
      <c r="F44" s="12"/>
      <c r="G44" s="12"/>
      <c r="H44" s="12"/>
      <c r="I44" s="13"/>
      <c r="J44" s="13"/>
      <c r="K44" s="12"/>
      <c r="L44" s="12"/>
      <c r="M44" s="12"/>
      <c r="N44" s="12"/>
      <c r="O44" s="12"/>
      <c r="P44" s="12"/>
      <c r="Q44" s="12"/>
    </row>
    <row r="45" spans="1:17" ht="14.45" customHeight="1" x14ac:dyDescent="0.2">
      <c r="A45" s="233">
        <v>32</v>
      </c>
      <c r="B45" s="11"/>
      <c r="C45" s="11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2"/>
    </row>
    <row r="46" spans="1:17" ht="14.45" customHeight="1" x14ac:dyDescent="0.2">
      <c r="A46" s="233">
        <v>33</v>
      </c>
      <c r="B46" s="11"/>
      <c r="C46" s="11"/>
      <c r="F46" s="12"/>
      <c r="G46" s="12"/>
      <c r="H46" s="12"/>
      <c r="I46" s="13"/>
      <c r="J46" s="13"/>
      <c r="K46" s="12"/>
      <c r="L46" s="12"/>
      <c r="M46" s="12"/>
      <c r="N46" s="12"/>
      <c r="O46" s="12"/>
      <c r="P46" s="12"/>
      <c r="Q46" s="12"/>
    </row>
    <row r="47" spans="1:17" ht="14.45" customHeight="1" x14ac:dyDescent="0.2">
      <c r="A47" s="233">
        <v>34</v>
      </c>
      <c r="B47" s="11"/>
      <c r="C47" s="11"/>
      <c r="F47" s="12"/>
      <c r="G47" s="12"/>
      <c r="H47" s="12"/>
      <c r="I47" s="13"/>
      <c r="J47" s="13"/>
      <c r="K47" s="12"/>
      <c r="L47" s="12"/>
      <c r="M47" s="12"/>
      <c r="N47" s="12"/>
      <c r="O47" s="12"/>
      <c r="P47" s="12"/>
      <c r="Q47" s="12"/>
    </row>
    <row r="48" spans="1:17" ht="14.45" customHeight="1" x14ac:dyDescent="0.2">
      <c r="A48" s="233">
        <v>35</v>
      </c>
      <c r="B48" s="11"/>
      <c r="C48" s="11"/>
      <c r="F48" s="12"/>
      <c r="G48" s="12"/>
      <c r="H48" s="12"/>
      <c r="I48" s="13"/>
      <c r="J48" s="13"/>
      <c r="K48" s="12"/>
      <c r="L48" s="12"/>
      <c r="M48" s="12"/>
      <c r="N48" s="12"/>
      <c r="O48" s="12"/>
      <c r="P48" s="12"/>
      <c r="Q48" s="12"/>
    </row>
    <row r="49" spans="1:17" ht="14.45" customHeight="1" x14ac:dyDescent="0.2">
      <c r="A49" s="233">
        <v>36</v>
      </c>
      <c r="B49" s="11"/>
      <c r="C49" s="11"/>
      <c r="F49" s="12"/>
      <c r="G49" s="12"/>
      <c r="H49" s="12"/>
      <c r="I49" s="13"/>
      <c r="J49" s="13"/>
      <c r="K49" s="12"/>
      <c r="L49" s="12"/>
      <c r="M49" s="12"/>
      <c r="N49" s="12"/>
      <c r="O49" s="12"/>
      <c r="P49" s="12"/>
      <c r="Q49" s="12"/>
    </row>
    <row r="50" spans="1:17" ht="14.45" customHeight="1" x14ac:dyDescent="0.2">
      <c r="A50" s="233">
        <v>37</v>
      </c>
      <c r="B50" s="11"/>
      <c r="C50" s="11"/>
      <c r="F50" s="12"/>
      <c r="G50" s="12"/>
      <c r="H50" s="12"/>
      <c r="I50" s="13"/>
      <c r="J50" s="13"/>
      <c r="K50" s="12"/>
      <c r="L50" s="12"/>
      <c r="M50" s="12"/>
      <c r="N50" s="12"/>
      <c r="O50" s="12"/>
      <c r="P50" s="12"/>
      <c r="Q50" s="12"/>
    </row>
    <row r="51" spans="1:17" ht="14.45" customHeight="1" x14ac:dyDescent="0.2">
      <c r="A51" s="233">
        <v>38</v>
      </c>
      <c r="B51" s="11"/>
      <c r="C51" s="11"/>
      <c r="F51" s="12"/>
      <c r="G51" s="12"/>
      <c r="H51" s="12"/>
      <c r="I51" s="13"/>
      <c r="J51" s="13"/>
      <c r="K51" s="12"/>
      <c r="L51" s="12"/>
      <c r="M51" s="12"/>
      <c r="N51" s="12"/>
      <c r="O51" s="12"/>
      <c r="P51" s="12"/>
      <c r="Q51" s="12"/>
    </row>
    <row r="52" spans="1:17" ht="14.45" customHeight="1" thickBot="1" x14ac:dyDescent="0.25">
      <c r="A52" s="306">
        <v>39</v>
      </c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</row>
    <row r="53" spans="1:17" ht="14.45" customHeight="1" x14ac:dyDescent="0.2">
      <c r="A53" s="233" t="s">
        <v>1560</v>
      </c>
      <c r="O53" s="233" t="s">
        <v>1003</v>
      </c>
    </row>
  </sheetData>
  <mergeCells count="5">
    <mergeCell ref="E10:F10"/>
    <mergeCell ref="O10:P10"/>
    <mergeCell ref="E11:F11"/>
    <mergeCell ref="O11:P11"/>
    <mergeCell ref="G9:N9"/>
  </mergeCells>
  <pageMargins left="0.7" right="0.7" top="0.75" bottom="0.75" header="0.3" footer="0.3"/>
  <customProperties>
    <customPr name="EpmWorksheetKeyString_GUID" r:id="rId1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9B7B-31C9-4123-8F9E-1140061C8679}">
  <dimension ref="A1:AG102"/>
  <sheetViews>
    <sheetView workbookViewId="0"/>
  </sheetViews>
  <sheetFormatPr defaultRowHeight="15" customHeight="1" x14ac:dyDescent="0.2"/>
  <cols>
    <col min="1" max="1" width="4.5703125" style="414" customWidth="1"/>
    <col min="2" max="2" width="6.7109375" style="414" customWidth="1"/>
    <col min="3" max="3" width="4.85546875" style="414" customWidth="1"/>
    <col min="4" max="4" width="16.5703125" style="414" customWidth="1"/>
    <col min="5" max="5" width="2.42578125" style="414" customWidth="1"/>
    <col min="6" max="6" width="15" style="414" customWidth="1"/>
    <col min="7" max="7" width="4.7109375" style="414" customWidth="1"/>
    <col min="8" max="8" width="11.85546875" style="414" customWidth="1"/>
    <col min="9" max="9" width="1.42578125" style="414" customWidth="1"/>
    <col min="10" max="10" width="10.5703125" style="414" customWidth="1"/>
    <col min="11" max="11" width="1.28515625" style="414" customWidth="1"/>
    <col min="12" max="12" width="12" style="414" bestFit="1" customWidth="1"/>
    <col min="13" max="13" width="5" style="414" customWidth="1"/>
    <col min="14" max="14" width="12.7109375" style="414" customWidth="1"/>
    <col min="15" max="15" width="3.7109375" style="414" customWidth="1"/>
    <col min="16" max="16" width="11.42578125" style="414" customWidth="1"/>
    <col min="17" max="17" width="3.28515625" style="414" customWidth="1"/>
    <col min="18" max="18" width="8" style="414" customWidth="1"/>
    <col min="19" max="19" width="5" style="414" customWidth="1"/>
    <col min="20" max="20" width="11.140625" style="414" customWidth="1"/>
    <col min="21" max="21" width="2.42578125" style="414" customWidth="1"/>
    <col min="22" max="22" width="9" style="414" customWidth="1"/>
    <col min="23" max="25" width="9.5703125" style="414" customWidth="1"/>
    <col min="26" max="27" width="9.140625" style="414"/>
    <col min="28" max="28" width="22.85546875" style="414" bestFit="1" customWidth="1"/>
    <col min="29" max="29" width="28.5703125" style="414" bestFit="1" customWidth="1"/>
    <col min="30" max="30" width="36.5703125" style="414" bestFit="1" customWidth="1"/>
    <col min="31" max="31" width="36.85546875" style="414" bestFit="1" customWidth="1"/>
    <col min="32" max="32" width="31.140625" style="414" bestFit="1" customWidth="1"/>
    <col min="33" max="16384" width="9.140625" style="414"/>
  </cols>
  <sheetData>
    <row r="1" spans="1:33" ht="15" customHeight="1" thickBot="1" x14ac:dyDescent="0.25">
      <c r="A1" s="413" t="s">
        <v>1427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 t="s">
        <v>1428</v>
      </c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 t="str">
        <f>"Page 1 of 2"</f>
        <v>Page 1 of 2</v>
      </c>
    </row>
    <row r="2" spans="1:33" ht="15" customHeight="1" x14ac:dyDescent="0.2">
      <c r="A2" s="415" t="s">
        <v>307</v>
      </c>
      <c r="B2" s="415"/>
      <c r="C2" s="415"/>
      <c r="D2" s="415"/>
      <c r="E2" s="415"/>
      <c r="F2" s="415"/>
      <c r="G2" s="415"/>
      <c r="H2" s="416" t="s">
        <v>1429</v>
      </c>
      <c r="I2" s="415" t="s">
        <v>1430</v>
      </c>
      <c r="N2" s="415"/>
      <c r="O2" s="415"/>
      <c r="P2" s="415"/>
      <c r="Q2" s="415"/>
      <c r="R2" s="415"/>
      <c r="S2" s="415"/>
      <c r="T2" s="417"/>
      <c r="U2" s="417"/>
      <c r="V2" s="417" t="s">
        <v>847</v>
      </c>
      <c r="W2" s="415"/>
      <c r="X2" s="415"/>
      <c r="Y2" s="418"/>
    </row>
    <row r="3" spans="1:33" ht="15" customHeight="1" x14ac:dyDescent="0.2">
      <c r="A3" s="415"/>
      <c r="B3" s="415"/>
      <c r="C3" s="415"/>
      <c r="D3" s="415"/>
      <c r="E3" s="415"/>
      <c r="F3" s="415"/>
      <c r="G3" s="415"/>
      <c r="H3" s="415"/>
      <c r="I3" s="415" t="s">
        <v>1431</v>
      </c>
      <c r="N3" s="415"/>
      <c r="O3" s="415"/>
      <c r="P3" s="415"/>
      <c r="Q3" s="415"/>
      <c r="R3" s="415"/>
      <c r="S3" s="415"/>
      <c r="T3" s="416"/>
      <c r="U3" s="416"/>
      <c r="V3" s="311" t="s">
        <v>919</v>
      </c>
      <c r="W3" s="310" t="s">
        <v>920</v>
      </c>
      <c r="X3" s="233"/>
      <c r="Y3" s="416"/>
    </row>
    <row r="4" spans="1:33" ht="15" customHeight="1" x14ac:dyDescent="0.2">
      <c r="A4" s="415" t="s">
        <v>310</v>
      </c>
      <c r="B4" s="415"/>
      <c r="C4" s="415"/>
      <c r="D4" s="415"/>
      <c r="E4" s="415"/>
      <c r="F4" s="415"/>
      <c r="G4" s="415"/>
      <c r="H4" s="415"/>
      <c r="I4" s="415" t="s">
        <v>1432</v>
      </c>
      <c r="N4" s="415"/>
      <c r="O4" s="415"/>
      <c r="P4" s="415"/>
      <c r="Q4" s="415"/>
      <c r="R4" s="415"/>
      <c r="S4" s="415"/>
      <c r="T4" s="416"/>
      <c r="U4" s="416"/>
      <c r="V4" s="311"/>
      <c r="W4" s="310" t="s">
        <v>937</v>
      </c>
      <c r="X4" s="233"/>
      <c r="Y4" s="416"/>
    </row>
    <row r="5" spans="1:33" ht="15" customHeight="1" x14ac:dyDescent="0.2">
      <c r="A5" s="415"/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6"/>
      <c r="U5" s="416"/>
      <c r="V5" s="311"/>
      <c r="W5" s="310" t="s">
        <v>938</v>
      </c>
      <c r="X5" s="233"/>
      <c r="Y5" s="416"/>
    </row>
    <row r="6" spans="1:33" ht="15" customHeight="1" thickBot="1" x14ac:dyDescent="0.25">
      <c r="A6" s="413" t="s">
        <v>1642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233"/>
      <c r="W6" s="233" t="s">
        <v>311</v>
      </c>
      <c r="X6" s="233"/>
      <c r="Y6" s="413"/>
    </row>
    <row r="7" spans="1:33" ht="15" customHeight="1" thickBot="1" x14ac:dyDescent="0.25">
      <c r="A7" s="587" t="s">
        <v>1433</v>
      </c>
      <c r="B7" s="587"/>
      <c r="C7" s="587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587"/>
      <c r="U7" s="587"/>
      <c r="V7" s="587"/>
      <c r="W7" s="587"/>
      <c r="X7" s="587"/>
      <c r="Y7" s="587"/>
    </row>
    <row r="8" spans="1:33" ht="15" customHeight="1" x14ac:dyDescent="0.2">
      <c r="A8" s="415"/>
      <c r="B8" s="415"/>
      <c r="C8" s="65"/>
      <c r="D8" s="419"/>
      <c r="E8" s="419"/>
      <c r="F8" s="419" t="s">
        <v>848</v>
      </c>
      <c r="G8" s="419"/>
      <c r="H8" s="419" t="s">
        <v>849</v>
      </c>
      <c r="I8" s="419"/>
      <c r="J8" s="419" t="s">
        <v>850</v>
      </c>
      <c r="K8" s="419"/>
      <c r="L8" s="419" t="s">
        <v>851</v>
      </c>
      <c r="M8" s="419"/>
      <c r="N8" s="419" t="s">
        <v>954</v>
      </c>
      <c r="O8" s="419"/>
      <c r="P8" s="419" t="s">
        <v>955</v>
      </c>
      <c r="Q8" s="419"/>
      <c r="R8" s="419" t="s">
        <v>956</v>
      </c>
      <c r="S8" s="419"/>
      <c r="T8" s="419" t="s">
        <v>957</v>
      </c>
      <c r="U8" s="419"/>
      <c r="V8" s="419"/>
      <c r="W8" s="420" t="s">
        <v>1434</v>
      </c>
      <c r="X8" s="419"/>
      <c r="Y8" s="420" t="s">
        <v>1434</v>
      </c>
    </row>
    <row r="9" spans="1:33" ht="15" customHeight="1" x14ac:dyDescent="0.2">
      <c r="A9" s="415"/>
      <c r="B9" s="415"/>
      <c r="C9" s="65"/>
      <c r="D9" s="419"/>
      <c r="E9" s="419"/>
      <c r="F9" s="420"/>
      <c r="G9" s="419"/>
      <c r="H9" s="421"/>
      <c r="I9" s="421"/>
      <c r="J9" s="421"/>
      <c r="K9" s="421"/>
      <c r="L9" s="421"/>
      <c r="M9" s="421"/>
      <c r="N9" s="420"/>
      <c r="O9" s="420"/>
      <c r="S9" s="419"/>
      <c r="T9" s="419"/>
      <c r="U9" s="419"/>
      <c r="V9" s="68"/>
      <c r="W9" s="68"/>
      <c r="X9" s="68"/>
      <c r="Y9" s="419"/>
    </row>
    <row r="10" spans="1:33" ht="15" customHeight="1" x14ac:dyDescent="0.2">
      <c r="A10" s="415"/>
      <c r="B10" s="415"/>
      <c r="C10" s="65"/>
      <c r="R10" s="419" t="s">
        <v>1435</v>
      </c>
      <c r="V10" s="68"/>
      <c r="W10" s="68"/>
      <c r="X10" s="68"/>
      <c r="Y10" s="415"/>
    </row>
    <row r="11" spans="1:33" ht="15" customHeight="1" x14ac:dyDescent="0.2">
      <c r="A11" s="415"/>
      <c r="B11" s="415"/>
      <c r="C11" s="420"/>
      <c r="D11" s="420"/>
      <c r="E11" s="420"/>
      <c r="G11" s="419"/>
      <c r="M11" s="421"/>
      <c r="N11" s="420"/>
      <c r="O11" s="420"/>
      <c r="R11" s="420" t="s">
        <v>1436</v>
      </c>
      <c r="S11" s="420"/>
      <c r="T11" s="420"/>
      <c r="U11" s="420"/>
      <c r="V11" s="68"/>
      <c r="W11" s="68"/>
      <c r="X11" s="68"/>
    </row>
    <row r="12" spans="1:33" ht="15" customHeight="1" x14ac:dyDescent="0.2">
      <c r="A12" s="415"/>
      <c r="B12" s="415"/>
      <c r="C12" s="420"/>
      <c r="D12" s="420"/>
      <c r="E12" s="420"/>
      <c r="F12" s="420" t="s">
        <v>1437</v>
      </c>
      <c r="G12" s="420"/>
      <c r="H12" s="422"/>
      <c r="I12" s="422"/>
      <c r="J12" s="422"/>
      <c r="K12" s="422"/>
      <c r="L12" s="420" t="s">
        <v>1438</v>
      </c>
      <c r="M12" s="419"/>
      <c r="N12" s="420" t="s">
        <v>1439</v>
      </c>
      <c r="O12" s="420"/>
      <c r="P12" s="420" t="s">
        <v>1440</v>
      </c>
      <c r="Q12" s="420"/>
      <c r="R12" s="420" t="s">
        <v>1441</v>
      </c>
      <c r="S12" s="420"/>
      <c r="T12" s="420"/>
      <c r="U12" s="420"/>
      <c r="V12" s="68"/>
      <c r="W12" s="68"/>
      <c r="X12" s="68"/>
      <c r="Y12" s="422"/>
    </row>
    <row r="13" spans="1:33" ht="15" customHeight="1" x14ac:dyDescent="0.2">
      <c r="A13" s="420" t="s">
        <v>314</v>
      </c>
      <c r="B13" s="415"/>
      <c r="C13" s="418"/>
      <c r="D13" s="423" t="s">
        <v>1442</v>
      </c>
      <c r="E13" s="423"/>
      <c r="F13" s="420" t="s">
        <v>711</v>
      </c>
      <c r="G13" s="420"/>
      <c r="H13" s="419"/>
      <c r="I13" s="419"/>
      <c r="J13" s="419" t="s">
        <v>1444</v>
      </c>
      <c r="K13" s="419"/>
      <c r="L13" s="420" t="s">
        <v>1445</v>
      </c>
      <c r="M13" s="420" t="s">
        <v>1434</v>
      </c>
      <c r="N13" s="420" t="s">
        <v>711</v>
      </c>
      <c r="O13" s="420"/>
      <c r="P13" s="420" t="s">
        <v>711</v>
      </c>
      <c r="Q13" s="420"/>
      <c r="R13" s="420" t="s">
        <v>318</v>
      </c>
      <c r="S13" s="420"/>
      <c r="T13" s="420" t="s">
        <v>1440</v>
      </c>
      <c r="U13" s="420"/>
      <c r="V13" s="68"/>
      <c r="W13" s="68"/>
      <c r="X13" s="68"/>
      <c r="Y13" s="73" t="s">
        <v>1434</v>
      </c>
      <c r="AB13" s="588" t="s">
        <v>1470</v>
      </c>
      <c r="AC13" s="589"/>
      <c r="AD13" s="589"/>
      <c r="AE13" s="589"/>
      <c r="AF13" s="589"/>
      <c r="AG13" s="589"/>
    </row>
    <row r="14" spans="1:33" ht="15" customHeight="1" thickBot="1" x14ac:dyDescent="0.25">
      <c r="A14" s="424" t="s">
        <v>320</v>
      </c>
      <c r="B14" s="413"/>
      <c r="C14" s="425"/>
      <c r="D14" s="426" t="s">
        <v>1447</v>
      </c>
      <c r="E14" s="426"/>
      <c r="F14" s="427" t="s">
        <v>1448</v>
      </c>
      <c r="G14" s="427"/>
      <c r="H14" s="427" t="s">
        <v>336</v>
      </c>
      <c r="I14" s="427"/>
      <c r="J14" s="427" t="s">
        <v>1173</v>
      </c>
      <c r="K14" s="427"/>
      <c r="L14" s="427" t="s">
        <v>1173</v>
      </c>
      <c r="M14" s="427"/>
      <c r="N14" s="427" t="s">
        <v>1448</v>
      </c>
      <c r="O14" s="427"/>
      <c r="P14" s="427" t="s">
        <v>1448</v>
      </c>
      <c r="Q14" s="427"/>
      <c r="R14" s="428" t="s">
        <v>1449</v>
      </c>
      <c r="S14" s="428"/>
      <c r="T14" s="429" t="s">
        <v>318</v>
      </c>
      <c r="U14" s="429"/>
      <c r="V14" s="105"/>
      <c r="W14" s="105"/>
      <c r="X14" s="105"/>
      <c r="Y14" s="428"/>
      <c r="AB14" s="430" t="s">
        <v>815</v>
      </c>
      <c r="AC14" s="430" t="s">
        <v>816</v>
      </c>
      <c r="AD14" s="430" t="s">
        <v>817</v>
      </c>
      <c r="AE14" s="430" t="s">
        <v>818</v>
      </c>
      <c r="AF14" s="430" t="s">
        <v>819</v>
      </c>
      <c r="AG14" s="430" t="s">
        <v>1469</v>
      </c>
    </row>
    <row r="15" spans="1:33" ht="15" customHeight="1" x14ac:dyDescent="0.2">
      <c r="A15" s="415">
        <v>1</v>
      </c>
      <c r="B15" s="415"/>
      <c r="C15" s="418"/>
      <c r="D15" s="420"/>
      <c r="E15" s="420"/>
      <c r="F15" s="420"/>
      <c r="G15" s="420"/>
      <c r="H15" s="420"/>
      <c r="I15" s="420"/>
      <c r="J15" s="420"/>
      <c r="K15" s="420"/>
      <c r="L15" s="419"/>
      <c r="M15" s="420"/>
      <c r="N15" s="73"/>
      <c r="O15" s="73"/>
      <c r="P15" s="420" t="s">
        <v>1450</v>
      </c>
      <c r="Q15" s="420"/>
      <c r="R15" s="431" t="s">
        <v>1451</v>
      </c>
      <c r="S15" s="431"/>
      <c r="T15" s="431" t="s">
        <v>1452</v>
      </c>
      <c r="U15" s="431"/>
      <c r="V15" s="68"/>
      <c r="W15" s="68"/>
      <c r="X15" s="68"/>
      <c r="Y15" s="73"/>
      <c r="AB15" s="415" t="s">
        <v>3</v>
      </c>
      <c r="AC15" s="415" t="s">
        <v>14</v>
      </c>
      <c r="AD15" s="415" t="s">
        <v>26</v>
      </c>
      <c r="AE15" s="415" t="s">
        <v>202</v>
      </c>
      <c r="AF15" s="415" t="s">
        <v>209</v>
      </c>
      <c r="AG15" s="415" t="s">
        <v>296</v>
      </c>
    </row>
    <row r="16" spans="1:33" ht="15" customHeight="1" x14ac:dyDescent="0.2">
      <c r="A16" s="415">
        <v>2</v>
      </c>
      <c r="B16" s="415"/>
      <c r="C16" s="418"/>
      <c r="D16" s="420"/>
      <c r="E16" s="420"/>
      <c r="F16" s="420"/>
      <c r="G16" s="420"/>
      <c r="H16" s="420"/>
      <c r="I16" s="420"/>
      <c r="J16" s="420"/>
      <c r="K16" s="420"/>
      <c r="L16" s="73"/>
      <c r="M16" s="73"/>
      <c r="N16" s="73"/>
      <c r="O16" s="73"/>
      <c r="R16" s="73"/>
      <c r="S16" s="73"/>
      <c r="T16" s="73"/>
      <c r="U16" s="73"/>
      <c r="V16" s="68"/>
      <c r="W16" s="68"/>
      <c r="X16" s="68"/>
      <c r="Y16" s="73"/>
      <c r="AB16" s="415" t="s">
        <v>4</v>
      </c>
      <c r="AC16" s="415" t="s">
        <v>15</v>
      </c>
      <c r="AD16" s="415" t="s">
        <v>27</v>
      </c>
      <c r="AE16" s="415" t="s">
        <v>218</v>
      </c>
      <c r="AF16" s="415" t="s">
        <v>228</v>
      </c>
      <c r="AG16" s="415" t="s">
        <v>297</v>
      </c>
    </row>
    <row r="17" spans="1:33" ht="15" customHeight="1" x14ac:dyDescent="0.2">
      <c r="A17" s="415">
        <v>3</v>
      </c>
      <c r="B17" s="415"/>
      <c r="C17" s="65" t="s">
        <v>1434</v>
      </c>
      <c r="D17" s="65"/>
      <c r="E17" s="65"/>
      <c r="F17" s="65"/>
      <c r="G17" s="65"/>
      <c r="H17" s="65"/>
      <c r="I17" s="65"/>
      <c r="J17" s="65"/>
      <c r="K17" s="65"/>
      <c r="L17" s="65"/>
      <c r="M17" s="74"/>
      <c r="N17" s="65"/>
      <c r="O17" s="65"/>
      <c r="P17" s="65"/>
      <c r="Q17" s="65"/>
      <c r="R17" s="65"/>
      <c r="S17" s="65"/>
      <c r="T17" s="65"/>
      <c r="U17" s="65"/>
      <c r="V17" s="68"/>
      <c r="W17" s="68"/>
      <c r="X17" s="68"/>
      <c r="Y17" s="65"/>
      <c r="AB17" s="415" t="s">
        <v>5</v>
      </c>
      <c r="AC17" s="415" t="s">
        <v>17</v>
      </c>
      <c r="AD17" s="415" t="s">
        <v>28</v>
      </c>
      <c r="AE17" s="415" t="s">
        <v>219</v>
      </c>
      <c r="AF17" s="415" t="s">
        <v>229</v>
      </c>
      <c r="AG17" s="415" t="s">
        <v>298</v>
      </c>
    </row>
    <row r="18" spans="1:33" ht="15" customHeight="1" x14ac:dyDescent="0.2">
      <c r="A18" s="415">
        <v>4</v>
      </c>
      <c r="B18" s="415"/>
      <c r="C18" s="432" t="s">
        <v>1453</v>
      </c>
      <c r="D18" s="65" t="s">
        <v>815</v>
      </c>
      <c r="E18" s="65"/>
      <c r="F18" s="64">
        <f>+'2025 RS Rate Class E-13c'!H31</f>
        <v>10290068454.380001</v>
      </c>
      <c r="G18" s="415"/>
      <c r="H18" s="64">
        <f>+'2025 RS Rate Class E-13c'!L39-'2025 RS Rate Class E-13c'!L30-'2025 RS Rate Class E-13c'!L37</f>
        <v>919988947.92549562</v>
      </c>
      <c r="I18" s="64"/>
      <c r="J18" s="64">
        <f>+'2025 RS Rate Class E-13c'!L21</f>
        <v>199315122.03999999</v>
      </c>
      <c r="K18" s="64"/>
      <c r="L18" s="64">
        <f>+H18-J18</f>
        <v>720673825.88549566</v>
      </c>
      <c r="M18" s="74"/>
      <c r="N18" s="64">
        <f>+SUMIFS('2025 Calendar Year BDs'!B:B,'2025 Calendar Year BDs'!A:A,AB15)+SUMIFS('2025 Calendar Year BDs'!B:B,'2025 Calendar Year BDs'!A:A,AB16)+SUMIFS('2025 Calendar Year BDs'!B:B,'2025 Calendar Year BDs'!A:A,AB17)</f>
        <v>10287768368.9</v>
      </c>
      <c r="O18" s="64"/>
      <c r="P18" s="64">
        <f>N18-F18</f>
        <v>-2300085.4800014496</v>
      </c>
      <c r="Q18" s="64"/>
      <c r="R18" s="433">
        <f>+L18*1000/F18</f>
        <v>70.035863131575027</v>
      </c>
      <c r="S18" s="138"/>
      <c r="T18" s="64">
        <f>+P18*R18/1000</f>
        <v>-161088.47186830459</v>
      </c>
      <c r="U18" s="64"/>
      <c r="V18" s="68"/>
      <c r="W18" s="68"/>
      <c r="X18" s="68"/>
      <c r="Y18" s="65"/>
      <c r="AB18" s="415"/>
      <c r="AC18" s="415" t="s">
        <v>18</v>
      </c>
      <c r="AD18" s="415" t="s">
        <v>54</v>
      </c>
      <c r="AE18" s="415" t="s">
        <v>905</v>
      </c>
      <c r="AF18" s="415" t="s">
        <v>906</v>
      </c>
      <c r="AG18" s="415" t="s">
        <v>299</v>
      </c>
    </row>
    <row r="19" spans="1:33" ht="15" customHeight="1" x14ac:dyDescent="0.2">
      <c r="A19" s="415">
        <v>5</v>
      </c>
      <c r="B19" s="415"/>
      <c r="C19" s="432" t="s">
        <v>1454</v>
      </c>
      <c r="D19" s="65" t="s">
        <v>816</v>
      </c>
      <c r="E19" s="65"/>
      <c r="F19" s="75">
        <f>+'2025 GS Rate Class E-13c'!H31+'2025 GS Rate Class E-13c'!H78</f>
        <v>950935900</v>
      </c>
      <c r="G19" s="415"/>
      <c r="H19" s="75">
        <f>+'2025 GS Rate Class E-13c'!L41+'2025 GS Rate Class E-13c'!L82-'2025 GS Rate Class E-13c'!L30-'2025 GS Rate Class E-13c'!L39</f>
        <v>95194936.883150712</v>
      </c>
      <c r="I19" s="68"/>
      <c r="J19" s="75">
        <f>+'2025 GS Rate Class E-13c'!L22+'2025 GS Rate Class E-13c'!L74</f>
        <v>20432317.530000001</v>
      </c>
      <c r="K19" s="68"/>
      <c r="L19" s="75">
        <f>+H19-J19</f>
        <v>74762619.35315071</v>
      </c>
      <c r="M19" s="68"/>
      <c r="N19" s="75">
        <f>+SUMIFS('2025 Calendar Year BDs'!B:B,'2025 Calendar Year BDs'!A:A,AC15)+SUMIFS('2025 Calendar Year BDs'!B:B,'2025 Calendar Year BDs'!A:A,AC16)+SUMIFS('2025 Calendar Year BDs'!B:B,'2025 Calendar Year BDs'!A:A,AC17)+SUMIFS('2025 Calendar Year BDs'!B:B,'2025 Calendar Year BDs'!A:A,AC18)+SUMIFS('2025 Calendar Year BDs'!B:B,'2025 Calendar Year BDs'!A:A,AC19)+SUMIFS('2025 Calendar Year BDs'!B:B,'2025 Calendar Year BDs'!A:A,AC20)</f>
        <v>950910875.34000003</v>
      </c>
      <c r="O19" s="75"/>
      <c r="P19" s="75">
        <f>N19-F19</f>
        <v>-25024.659999966621</v>
      </c>
      <c r="Q19" s="68"/>
      <c r="R19" s="84">
        <f>+L19*1000/F19</f>
        <v>78.620040901969006</v>
      </c>
      <c r="S19" s="138"/>
      <c r="T19" s="75">
        <f>+P19*R19/1000</f>
        <v>-1967.4397927552434</v>
      </c>
      <c r="U19" s="68"/>
      <c r="V19" s="68"/>
      <c r="W19" s="68"/>
      <c r="X19" s="68"/>
      <c r="Y19" s="64"/>
      <c r="AB19" s="415"/>
      <c r="AC19" s="415" t="s">
        <v>892</v>
      </c>
      <c r="AD19" s="415" t="s">
        <v>55</v>
      </c>
      <c r="AE19" s="415" t="s">
        <v>242</v>
      </c>
      <c r="AF19" s="415" t="s">
        <v>254</v>
      </c>
      <c r="AG19" s="415"/>
    </row>
    <row r="20" spans="1:33" ht="15" customHeight="1" x14ac:dyDescent="0.2">
      <c r="A20" s="415">
        <v>6</v>
      </c>
      <c r="B20" s="415"/>
      <c r="C20" s="432"/>
      <c r="D20" s="130" t="s">
        <v>1455</v>
      </c>
      <c r="E20" s="130"/>
      <c r="F20" s="64">
        <f>+F18+F19</f>
        <v>11241004354.380001</v>
      </c>
      <c r="G20" s="415"/>
      <c r="H20" s="64">
        <f>+H18+H19</f>
        <v>1015183884.8086463</v>
      </c>
      <c r="I20" s="68"/>
      <c r="J20" s="64">
        <f>+J18+J19</f>
        <v>219747439.56999999</v>
      </c>
      <c r="K20" s="68"/>
      <c r="L20" s="64">
        <f>+L18+L19</f>
        <v>795436445.23864639</v>
      </c>
      <c r="M20" s="74"/>
      <c r="N20" s="64">
        <f>+N18+N19</f>
        <v>11238679244.24</v>
      </c>
      <c r="O20" s="64"/>
      <c r="P20" s="64">
        <f t="shared" ref="P20" si="0">N20-F20</f>
        <v>-2325110.140001297</v>
      </c>
      <c r="Q20" s="64"/>
      <c r="R20" s="433"/>
      <c r="S20" s="138"/>
      <c r="T20" s="65">
        <f>SUM(T18:T19)</f>
        <v>-163055.91166105983</v>
      </c>
      <c r="U20" s="65"/>
      <c r="V20" s="68"/>
      <c r="W20" s="68"/>
      <c r="X20" s="68"/>
      <c r="Y20" s="74"/>
      <c r="AB20" s="415"/>
      <c r="AC20" s="415" t="s">
        <v>10</v>
      </c>
      <c r="AD20" s="415" t="s">
        <v>56</v>
      </c>
      <c r="AE20" s="415" t="s">
        <v>267</v>
      </c>
      <c r="AF20" s="415" t="s">
        <v>284</v>
      </c>
      <c r="AG20" s="415"/>
    </row>
    <row r="21" spans="1:33" ht="15" customHeight="1" x14ac:dyDescent="0.25">
      <c r="A21" s="415">
        <v>7</v>
      </c>
      <c r="B21" s="415"/>
      <c r="H21" s="434"/>
      <c r="I21" s="435"/>
      <c r="J21" s="434"/>
      <c r="K21" s="435"/>
      <c r="L21" s="434"/>
      <c r="M21" s="74"/>
      <c r="N21" s="64"/>
      <c r="O21" s="64"/>
      <c r="P21" s="64"/>
      <c r="Q21" s="64"/>
      <c r="R21" s="433"/>
      <c r="S21" s="65"/>
      <c r="T21" s="65"/>
      <c r="U21" s="65"/>
      <c r="V21" s="68"/>
      <c r="W21" s="68"/>
      <c r="X21" s="68"/>
      <c r="Y21" s="74"/>
      <c r="AB21" s="415"/>
      <c r="AC21" s="415"/>
      <c r="AD21" s="415" t="s">
        <v>58</v>
      </c>
      <c r="AE21" s="415" t="s">
        <v>268</v>
      </c>
      <c r="AF21" s="415" t="s">
        <v>285</v>
      </c>
      <c r="AG21" s="415"/>
    </row>
    <row r="22" spans="1:33" ht="15" customHeight="1" x14ac:dyDescent="0.2">
      <c r="A22" s="415">
        <v>8</v>
      </c>
      <c r="B22" s="415"/>
      <c r="C22" s="432"/>
      <c r="M22" s="74"/>
      <c r="N22" s="65"/>
      <c r="O22" s="65"/>
      <c r="P22" s="65"/>
      <c r="Q22" s="65"/>
      <c r="R22" s="433"/>
      <c r="S22" s="65"/>
      <c r="T22" s="65"/>
      <c r="U22" s="65"/>
      <c r="V22" s="68"/>
      <c r="W22" s="68"/>
      <c r="X22" s="68"/>
      <c r="Y22" s="74"/>
      <c r="AB22" s="415"/>
      <c r="AC22" s="415"/>
      <c r="AD22" s="415" t="s">
        <v>59</v>
      </c>
      <c r="AE22" s="415" t="s">
        <v>908</v>
      </c>
      <c r="AF22" s="415" t="s">
        <v>909</v>
      </c>
      <c r="AG22" s="415"/>
    </row>
    <row r="23" spans="1:33" ht="15" customHeight="1" x14ac:dyDescent="0.2">
      <c r="A23" s="415">
        <v>9</v>
      </c>
      <c r="B23" s="415"/>
      <c r="C23" s="432"/>
      <c r="D23" s="65"/>
      <c r="E23" s="65"/>
      <c r="F23" s="64"/>
      <c r="G23" s="415"/>
      <c r="H23" s="64"/>
      <c r="I23" s="68"/>
      <c r="J23" s="415"/>
      <c r="K23" s="415"/>
      <c r="L23" s="65"/>
      <c r="M23" s="68"/>
      <c r="N23" s="64"/>
      <c r="O23" s="64"/>
      <c r="P23" s="64"/>
      <c r="Q23" s="64"/>
      <c r="R23" s="433"/>
      <c r="S23" s="64"/>
      <c r="T23" s="64"/>
      <c r="U23" s="64"/>
      <c r="V23" s="68"/>
      <c r="W23" s="68"/>
      <c r="X23" s="68"/>
      <c r="Y23" s="68"/>
      <c r="AB23" s="415"/>
      <c r="AC23" s="415"/>
      <c r="AD23" s="415" t="s">
        <v>60</v>
      </c>
      <c r="AE23" s="415" t="s">
        <v>244</v>
      </c>
      <c r="AF23" s="415" t="s">
        <v>256</v>
      </c>
      <c r="AG23" s="415"/>
    </row>
    <row r="24" spans="1:33" ht="15" customHeight="1" x14ac:dyDescent="0.2">
      <c r="A24" s="415">
        <v>10</v>
      </c>
      <c r="B24" s="415"/>
      <c r="M24" s="68"/>
      <c r="N24" s="68"/>
      <c r="O24" s="68"/>
      <c r="P24" s="68"/>
      <c r="Q24" s="68"/>
      <c r="R24" s="84"/>
      <c r="S24" s="68"/>
      <c r="T24" s="68"/>
      <c r="U24" s="68"/>
      <c r="V24" s="68"/>
      <c r="W24" s="68"/>
      <c r="X24" s="68"/>
      <c r="Y24" s="68"/>
      <c r="AB24" s="415"/>
      <c r="AC24" s="415"/>
      <c r="AD24" s="415" t="s">
        <v>894</v>
      </c>
      <c r="AE24" s="415" t="s">
        <v>272</v>
      </c>
      <c r="AF24" s="415" t="s">
        <v>289</v>
      </c>
      <c r="AG24" s="415"/>
    </row>
    <row r="25" spans="1:33" ht="15" customHeight="1" x14ac:dyDescent="0.2">
      <c r="A25" s="415">
        <v>11</v>
      </c>
      <c r="B25" s="415"/>
      <c r="C25" s="432" t="s">
        <v>1456</v>
      </c>
      <c r="D25" s="65" t="s">
        <v>817</v>
      </c>
      <c r="E25" s="65"/>
      <c r="F25" s="64">
        <f>+'2025 GSD Rate Class E-13c'!I40+'2025 GSD Rate Class E-13c'!I135+'2025 GSD Rate Class E-13c'!I202</f>
        <v>7092236673</v>
      </c>
      <c r="G25" s="415"/>
      <c r="H25" s="64">
        <f>+'2025 GSD Rate Class E-13c'!M107+'2025 GSD Rate Class E-13c'!M162+'2025 GSD Rate Class E-13c'!M361-'2025 GSD Rate Class E-13c'!M39-'2025 GSD Rate Class E-13c'!M100-'2025 GSD Rate Class E-13c'!M104</f>
        <v>309628994.10144454</v>
      </c>
      <c r="I25" s="68"/>
      <c r="J25" s="64">
        <f>+'2025 GSD Rate Class E-13c'!M24+'2025 GSD Rate Class E-13c'!M129+'2025 GSD Rate Class E-13c'!M187</f>
        <v>7460491.0261999993</v>
      </c>
      <c r="K25" s="68"/>
      <c r="L25" s="64">
        <f>+H25-J25</f>
        <v>302168503.07524455</v>
      </c>
      <c r="M25" s="68"/>
      <c r="N25" s="68">
        <f>+SUMIFS('2025 Calendar Year BDs'!B:B,'2025 Calendar Year BDs'!A:A,AD15)+SUMIFS('2025 Calendar Year BDs'!B:B,'2025 Calendar Year BDs'!A:A,AD16)+SUMIFS('2025 Calendar Year BDs'!B:B,'2025 Calendar Year BDs'!A:A,AD17)+SUMIFS('2025 Calendar Year BDs'!B:B,'2025 Calendar Year BDs'!A:A,AD18)+SUMIFS('2025 Calendar Year BDs'!B:B,'2025 Calendar Year BDs'!A:A,AD19)+SUMIFS('2025 Calendar Year BDs'!B:B,'2025 Calendar Year BDs'!A:A,AD20)+SUMIFS('2025 Calendar Year BDs'!B:B,'2025 Calendar Year BDs'!A:A,AD21)+SUMIFS('2025 Calendar Year BDs'!B:B,'2025 Calendar Year BDs'!A:A,AD22)+SUMIFS('2025 Calendar Year BDs'!B:B,'2025 Calendar Year BDs'!A:A,AD23)+SUMIFS('2025 Calendar Year BDs'!B:B,'2025 Calendar Year BDs'!A:A,AD24)+SUMIFS('2025 Calendar Year BDs'!B:B,'2025 Calendar Year BDs'!A:A,AD25)+SUMIFS('2025 Calendar Year BDs'!B:B,'2025 Calendar Year BDs'!A:A,AD26)+SUMIFS('2025 Calendar Year BDs'!B:B,'2025 Calendar Year BDs'!A:A,AD27)+SUMIFS('2025 Calendar Year BDs'!B:B,'2025 Calendar Year BDs'!A:A,AD28)+SUMIFS('2025 Calendar Year BDs'!B:B,'2025 Calendar Year BDs'!A:A,AD29)+SUMIFS('2025 Calendar Year BDs'!B:B,'2025 Calendar Year BDs'!A:A,AD30)+SUMIFS('2025 Calendar Year BDs'!B:B,'2025 Calendar Year BDs'!A:A,AD31)+SUMIFS('2025 Calendar Year BDs'!B:B,'2025 Calendar Year BDs'!A:A,AD32)+SUMIFS('2025 Calendar Year BDs'!B:B,'2025 Calendar Year BDs'!A:A,AD33)+SUMIFS('2025 Calendar Year BDs'!B:B,'2025 Calendar Year BDs'!A:A,AD34)+SUMIFS('2025 Calendar Year BDs'!B:B,'2025 Calendar Year BDs'!A:A,AD35)+SUMIFS('2025 Calendar Year BDs'!B:B,'2025 Calendar Year BDs'!A:A,AD36)+SUMIFS('2025 Calendar Year BDs'!B:B,'2025 Calendar Year BDs'!A:A,AD37)+SUMIFS('2025 Calendar Year BDs'!B:B,'2025 Calendar Year BDs'!A:A,AD38)+SUMIFS('2025 Calendar Year BDs'!B:B,'2025 Calendar Year BDs'!A:A,AD39)+SUMIFS('2025 Calendar Year BDs'!B:B,'2025 Calendar Year BDs'!A:A,AD40)+SUMIFS('2025 Calendar Year BDs'!B:B,'2025 Calendar Year BDs'!A:A,AD41)+SUMIFS('2025 Calendar Year BDs'!B:B,'2025 Calendar Year BDs'!A:A,AD42)+SUMIFS('2025 Calendar Year BDs'!B:B,'2025 Calendar Year BDs'!A:A,AD43)+SUMIFS('2025 Calendar Year BDs'!B:B,'2025 Calendar Year BDs'!A:A,AD44)+SUMIFS('2025 Calendar Year BDs'!B:B,'2025 Calendar Year BDs'!A:A,AD45)+SUMIFS('2025 Calendar Year BDs'!B:B,'2025 Calendar Year BDs'!A:A,AD46)+SUMIFS('2025 Calendar Year BDs'!B:B,'2025 Calendar Year BDs'!A:A,AD47)+SUMIFS('2025 Calendar Year BDs'!B:B,'2025 Calendar Year BDs'!A:A,AD48)+SUMIFS('2025 Calendar Year BDs'!B:B,'2025 Calendar Year BDs'!A:A,AD49)+SUMIFS('2025 Calendar Year BDs'!B:B,'2025 Calendar Year BDs'!A:A,AD50)+SUMIFS('2025 Calendar Year BDs'!B:B,'2025 Calendar Year BDs'!A:A,AD51)+SUMIFS('2025 Calendar Year BDs'!B:B,'2025 Calendar Year BDs'!A:A,AD52)+SUMIFS('2025 Calendar Year BDs'!B:B,'2025 Calendar Year BDs'!A:A,AD53)+SUMIFS('2025 Calendar Year BDs'!B:B,'2025 Calendar Year BDs'!A:A,AD54)</f>
        <v>7093868892</v>
      </c>
      <c r="O25" s="68"/>
      <c r="P25" s="68">
        <f t="shared" ref="P25:P26" si="1">N25-F25</f>
        <v>1632219</v>
      </c>
      <c r="Q25" s="68"/>
      <c r="R25" s="84">
        <f>+L25*1000/F25</f>
        <v>42.605530103866087</v>
      </c>
      <c r="S25" s="68"/>
      <c r="T25" s="68">
        <f>+P25*R25/1000</f>
        <v>69541.555740602198</v>
      </c>
      <c r="U25" s="68"/>
      <c r="V25" s="68"/>
      <c r="W25" s="68"/>
      <c r="X25" s="68"/>
      <c r="Y25" s="68"/>
      <c r="AB25" s="415"/>
      <c r="AC25" s="415"/>
      <c r="AD25" s="415" t="s">
        <v>895</v>
      </c>
      <c r="AE25" s="415" t="s">
        <v>273</v>
      </c>
      <c r="AF25" s="415" t="s">
        <v>290</v>
      </c>
      <c r="AG25" s="415"/>
    </row>
    <row r="26" spans="1:33" ht="15" customHeight="1" x14ac:dyDescent="0.2">
      <c r="A26" s="415">
        <v>12</v>
      </c>
      <c r="B26" s="415"/>
      <c r="C26" s="432" t="s">
        <v>1457</v>
      </c>
      <c r="D26" s="65" t="s">
        <v>818</v>
      </c>
      <c r="E26" s="65"/>
      <c r="F26" s="64">
        <f>+'2025 GSLDPR Rate Class E-13c'!H27+'2025 GSLDPR Rate Class E-13c'!H82+'2025 GSLDPR Rate Class E-13c'!H89</f>
        <v>1290850149.25</v>
      </c>
      <c r="G26" s="415" t="s">
        <v>1434</v>
      </c>
      <c r="H26" s="64">
        <f>+'2025 GSLDPR Rate Class E-13c'!L54+'2025 GSLDPR Rate Class E-13c'!L144</f>
        <v>44349809.488728099</v>
      </c>
      <c r="I26" s="68"/>
      <c r="J26" s="64">
        <f>+'2025 GSLDPR Rate Class E-13c'!L20+'2025 GSLDPR Rate Class E-13c'!L75</f>
        <v>436658.34639999998</v>
      </c>
      <c r="K26" s="68"/>
      <c r="L26" s="64">
        <f>+H26-J26</f>
        <v>43913151.142328098</v>
      </c>
      <c r="M26" s="68"/>
      <c r="N26" s="68">
        <f>+SUMIFS('2025 Calendar Year BDs'!B:B,'2025 Calendar Year BDs'!A:A,AE15)+SUMIFS('2025 Calendar Year BDs'!B:B,'2025 Calendar Year BDs'!A:A,AE16)+SUMIFS('2025 Calendar Year BDs'!B:B,'2025 Calendar Year BDs'!A:A,AE17)+SUMIFS('2025 Calendar Year BDs'!B:B,'2025 Calendar Year BDs'!A:A,AE18)+SUMIFS('2025 Calendar Year BDs'!B:B,'2025 Calendar Year BDs'!A:A,AE19)+SUMIFS('2025 Calendar Year BDs'!B:B,'2025 Calendar Year BDs'!A:A,AE20)+SUMIFS('2025 Calendar Year BDs'!B:B,'2025 Calendar Year BDs'!A:A,AE21)+SUMIFS('2025 Calendar Year BDs'!B:B,'2025 Calendar Year BDs'!A:A,AE22)+SUMIFS('2025 Calendar Year BDs'!B:B,'2025 Calendar Year BDs'!A:A,AE23)+SUMIFS('2025 Calendar Year BDs'!B:B,'2025 Calendar Year BDs'!A:A,AE24)+SUMIFS('2025 Calendar Year BDs'!B:B,'2025 Calendar Year BDs'!A:A,AE25)+SUMIFS('2025 Calendar Year BDs'!B:B,'2025 Calendar Year BDs'!A:A,AE26)</f>
        <v>1291467896.3699999</v>
      </c>
      <c r="O26" s="68"/>
      <c r="P26" s="68">
        <f t="shared" si="1"/>
        <v>617747.11999988556</v>
      </c>
      <c r="Q26" s="68"/>
      <c r="R26" s="84">
        <f>+L26*1000/F26</f>
        <v>34.018783022833588</v>
      </c>
      <c r="S26" s="68"/>
      <c r="T26" s="68">
        <f>+P26*R26/1000</f>
        <v>21015.00523825645</v>
      </c>
      <c r="U26" s="68"/>
      <c r="V26" s="68"/>
      <c r="W26" s="68"/>
      <c r="X26" s="68"/>
      <c r="Y26" s="68"/>
      <c r="AB26" s="415"/>
      <c r="AC26" s="415"/>
      <c r="AD26" s="415" t="s">
        <v>896</v>
      </c>
      <c r="AE26" s="415" t="s">
        <v>907</v>
      </c>
      <c r="AF26" s="415" t="s">
        <v>910</v>
      </c>
      <c r="AG26" s="415"/>
    </row>
    <row r="27" spans="1:33" ht="15" customHeight="1" x14ac:dyDescent="0.2">
      <c r="A27" s="415">
        <v>13</v>
      </c>
      <c r="B27" s="415"/>
      <c r="C27" s="432" t="s">
        <v>1459</v>
      </c>
      <c r="D27" s="65" t="s">
        <v>819</v>
      </c>
      <c r="F27" s="75">
        <f>+'2025 GSLDSU Rate Class E-13c'!H27+'2025 GSLDSU Rate Class E-13c'!H82+'2025 GSLDSU Rate Class E-13c'!H89</f>
        <v>734264187.94000006</v>
      </c>
      <c r="G27" s="415"/>
      <c r="H27" s="75">
        <f>+'2025 GSLDSU Rate Class E-13c'!L50+'2025 GSLDSU Rate Class E-13c'!L138</f>
        <v>23794765.816331804</v>
      </c>
      <c r="I27" s="68"/>
      <c r="J27" s="75">
        <f>+'2025 GSLDSU Rate Class E-13c'!L20+'2025 GSLDSU Rate Class E-13c'!L75</f>
        <v>341134.25300000003</v>
      </c>
      <c r="K27" s="68"/>
      <c r="L27" s="75">
        <f>+H27-J27</f>
        <v>23453631.563331805</v>
      </c>
      <c r="M27" s="68"/>
      <c r="N27" s="75">
        <f>+SUMIFS('2025 Calendar Year BDs'!B:B,'2025 Calendar Year BDs'!A:A,AF15)+SUMIFS('2025 Calendar Year BDs'!B:B,'2025 Calendar Year BDs'!A:A,AF16)+SUMIFS('2025 Calendar Year BDs'!B:B,'2025 Calendar Year BDs'!A:A,AF17)+SUMIFS('2025 Calendar Year BDs'!B:B,'2025 Calendar Year BDs'!A:A,AF18)+SUMIFS('2025 Calendar Year BDs'!B:B,'2025 Calendar Year BDs'!A:A,AF19)+SUMIFS('2025 Calendar Year BDs'!B:B,'2025 Calendar Year BDs'!A:A,AF20)+SUMIFS('2025 Calendar Year BDs'!B:B,'2025 Calendar Year BDs'!A:A,AF21)+SUMIFS('2025 Calendar Year BDs'!B:B,'2025 Calendar Year BDs'!A:A,AF22)+SUMIFS('2025 Calendar Year BDs'!B:B,'2025 Calendar Year BDs'!A:A,AF23)+SUMIFS('2025 Calendar Year BDs'!B:B,'2025 Calendar Year BDs'!A:A,AF24)+SUMIFS('2025 Calendar Year BDs'!B:B,'2025 Calendar Year BDs'!A:A,AF25)+SUMIFS('2025 Calendar Year BDs'!B:B,'2025 Calendar Year BDs'!A:A,AF26)</f>
        <v>734339331.80999994</v>
      </c>
      <c r="O27" s="75"/>
      <c r="P27" s="75">
        <f>N27-F27</f>
        <v>75143.869999885559</v>
      </c>
      <c r="Q27" s="68"/>
      <c r="R27" s="84">
        <f>+L27*1000/F27</f>
        <v>31.941679777590224</v>
      </c>
      <c r="S27" s="68"/>
      <c r="T27" s="75">
        <f>+P27*R27/1000</f>
        <v>2400.2214327852134</v>
      </c>
      <c r="U27" s="68"/>
      <c r="V27" s="68"/>
      <c r="W27" s="68"/>
      <c r="X27" s="68"/>
      <c r="Y27" s="68"/>
      <c r="AB27" s="415"/>
      <c r="AC27" s="415"/>
      <c r="AD27" s="415" t="s">
        <v>83</v>
      </c>
      <c r="AE27" s="415"/>
      <c r="AF27" s="415"/>
      <c r="AG27" s="415"/>
    </row>
    <row r="28" spans="1:33" ht="15" customHeight="1" x14ac:dyDescent="0.2">
      <c r="A28" s="415">
        <v>14</v>
      </c>
      <c r="B28" s="415"/>
      <c r="C28" s="432"/>
      <c r="D28" s="65" t="s">
        <v>1458</v>
      </c>
      <c r="E28" s="65"/>
      <c r="F28" s="64">
        <f>+SUM(F25:F27)</f>
        <v>9117351010.1900005</v>
      </c>
      <c r="G28" s="415"/>
      <c r="H28" s="64">
        <f>+SUM(H25:H27)</f>
        <v>377773569.40650445</v>
      </c>
      <c r="I28" s="68"/>
      <c r="J28" s="64">
        <f>+SUM(J25:J27)</f>
        <v>8238283.625599999</v>
      </c>
      <c r="K28" s="68"/>
      <c r="L28" s="64">
        <f>+SUM(L25:L27)</f>
        <v>369535285.78090441</v>
      </c>
      <c r="M28" s="68"/>
      <c r="N28" s="68">
        <f>SUM(N25:N27)</f>
        <v>9119676120.1800003</v>
      </c>
      <c r="O28" s="68"/>
      <c r="P28" s="64">
        <f>+SUM(P25:P27)</f>
        <v>2325109.9899997711</v>
      </c>
      <c r="Q28" s="68"/>
      <c r="R28" s="84"/>
      <c r="S28" s="68"/>
      <c r="T28" s="64">
        <f>+SUM(T25:T27)</f>
        <v>92956.782411643857</v>
      </c>
      <c r="U28" s="65"/>
      <c r="V28" s="68"/>
      <c r="W28" s="68"/>
      <c r="X28" s="68"/>
      <c r="Y28" s="68"/>
      <c r="AB28" s="415"/>
      <c r="AC28" s="415"/>
      <c r="AD28" s="415" t="s">
        <v>84</v>
      </c>
      <c r="AE28" s="415"/>
      <c r="AF28" s="415"/>
      <c r="AG28" s="415"/>
    </row>
    <row r="29" spans="1:33" ht="15" customHeight="1" x14ac:dyDescent="0.25">
      <c r="A29" s="415">
        <v>15</v>
      </c>
      <c r="B29" s="415"/>
      <c r="C29" s="432"/>
      <c r="H29" s="434"/>
      <c r="I29" s="435"/>
      <c r="J29" s="434"/>
      <c r="K29" s="435"/>
      <c r="L29" s="434"/>
      <c r="M29" s="68"/>
      <c r="N29" s="68"/>
      <c r="O29" s="68"/>
      <c r="P29" s="68"/>
      <c r="Q29" s="68"/>
      <c r="R29" s="84"/>
      <c r="S29" s="68"/>
      <c r="T29" s="65"/>
      <c r="U29" s="68"/>
      <c r="V29" s="68"/>
      <c r="W29" s="68"/>
      <c r="X29" s="68"/>
      <c r="Y29" s="68"/>
      <c r="AB29" s="415"/>
      <c r="AC29" s="415"/>
      <c r="AD29" s="415" t="s">
        <v>85</v>
      </c>
      <c r="AE29" s="415"/>
      <c r="AF29" s="415"/>
      <c r="AG29" s="415"/>
    </row>
    <row r="30" spans="1:33" ht="15" customHeight="1" x14ac:dyDescent="0.2">
      <c r="A30" s="415">
        <v>16</v>
      </c>
      <c r="B30" s="415"/>
      <c r="C30" s="432"/>
      <c r="D30" s="65"/>
      <c r="E30" s="65"/>
      <c r="F30" s="64"/>
      <c r="G30" s="415"/>
      <c r="H30" s="64"/>
      <c r="I30" s="68"/>
      <c r="J30" s="64"/>
      <c r="K30" s="68"/>
      <c r="L30" s="64"/>
      <c r="M30" s="68"/>
      <c r="N30" s="68"/>
      <c r="O30" s="68"/>
      <c r="P30" s="68"/>
      <c r="Q30" s="68"/>
      <c r="R30" s="84"/>
      <c r="S30" s="68"/>
      <c r="T30" s="68"/>
      <c r="U30" s="68"/>
      <c r="V30" s="68"/>
      <c r="W30" s="68"/>
      <c r="X30" s="68"/>
      <c r="Y30" s="68"/>
      <c r="AB30" s="415"/>
      <c r="AC30" s="415"/>
      <c r="AD30" s="415" t="s">
        <v>111</v>
      </c>
      <c r="AE30" s="415"/>
      <c r="AF30" s="415"/>
      <c r="AG30" s="415"/>
    </row>
    <row r="31" spans="1:33" ht="15" customHeight="1" x14ac:dyDescent="0.2">
      <c r="A31" s="415">
        <v>17</v>
      </c>
      <c r="B31" s="415"/>
      <c r="D31" s="65"/>
      <c r="E31" s="65"/>
      <c r="F31" s="64"/>
      <c r="G31" s="415"/>
      <c r="H31" s="64"/>
      <c r="I31" s="68"/>
      <c r="J31" s="64"/>
      <c r="K31" s="68"/>
      <c r="L31" s="64"/>
      <c r="M31" s="68"/>
      <c r="N31" s="68"/>
      <c r="O31" s="68"/>
      <c r="P31" s="68"/>
      <c r="Q31" s="68"/>
      <c r="R31" s="84"/>
      <c r="S31" s="68"/>
      <c r="T31" s="68"/>
      <c r="U31" s="68"/>
      <c r="V31" s="68"/>
      <c r="W31" s="68"/>
      <c r="X31" s="68"/>
      <c r="Y31" s="68"/>
      <c r="AB31" s="415"/>
      <c r="AC31" s="415"/>
      <c r="AD31" s="415" t="s">
        <v>112</v>
      </c>
      <c r="AE31" s="415"/>
      <c r="AF31" s="415"/>
      <c r="AG31" s="415"/>
    </row>
    <row r="32" spans="1:33" ht="15" customHeight="1" x14ac:dyDescent="0.2">
      <c r="A32" s="415">
        <v>18</v>
      </c>
      <c r="B32" s="415"/>
      <c r="C32" s="432" t="s">
        <v>1467</v>
      </c>
      <c r="D32" s="65" t="s">
        <v>1460</v>
      </c>
      <c r="E32" s="65"/>
      <c r="F32" s="64" t="s">
        <v>1434</v>
      </c>
      <c r="G32" s="415"/>
      <c r="H32" s="64"/>
      <c r="I32" s="68"/>
      <c r="J32" s="64"/>
      <c r="K32" s="68"/>
      <c r="L32" s="64" t="s">
        <v>1434</v>
      </c>
      <c r="M32" s="68"/>
      <c r="N32" s="68"/>
      <c r="O32" s="68"/>
      <c r="P32" s="68"/>
      <c r="Q32" s="68"/>
      <c r="R32" s="84"/>
      <c r="S32" s="68"/>
      <c r="T32" s="68"/>
      <c r="U32" s="65"/>
      <c r="V32" s="68"/>
      <c r="W32" s="68"/>
      <c r="X32" s="68"/>
      <c r="Y32" s="68"/>
      <c r="AB32" s="415"/>
      <c r="AC32" s="415"/>
      <c r="AD32" s="415" t="s">
        <v>113</v>
      </c>
      <c r="AE32" s="415"/>
      <c r="AF32" s="415"/>
      <c r="AG32" s="415"/>
    </row>
    <row r="33" spans="1:33" ht="15" customHeight="1" x14ac:dyDescent="0.2">
      <c r="A33" s="415">
        <v>19</v>
      </c>
      <c r="B33" s="415"/>
      <c r="C33" s="65"/>
      <c r="D33" s="133" t="s">
        <v>1461</v>
      </c>
      <c r="E33" s="65"/>
      <c r="F33" s="64">
        <f>+'2025 LS Rate Class E-13c'!H20</f>
        <v>107727525.26003531</v>
      </c>
      <c r="G33" s="415"/>
      <c r="H33" s="64">
        <f>+'2025 LS Rate Class E-13c'!L23</f>
        <v>3573046.9034771509</v>
      </c>
      <c r="I33" s="68"/>
      <c r="J33" s="64">
        <f>+'2025 LS Rate Class E-13c'!L18</f>
        <v>61129.579999999994</v>
      </c>
      <c r="K33" s="68"/>
      <c r="L33" s="64">
        <f>+H33-J33</f>
        <v>3511917.3234771509</v>
      </c>
      <c r="M33" s="68"/>
      <c r="N33" s="68">
        <f>+SUMIFS('2025 Calendar Year BDs'!B:B,'2025 Calendar Year BDs'!A:A,AG15)+SUMIFS('2025 Calendar Year BDs'!B:B,'2025 Calendar Year BDs'!A:A,AG16)+SUMIFS('2025 Calendar Year BDs'!B:B,'2025 Calendar Year BDs'!A:A,AG17)+SUMIFS('2025 Calendar Year BDs'!B:B,'2025 Calendar Year BDs'!A:A,AG18)</f>
        <v>107727525.26003532</v>
      </c>
      <c r="O33" s="68"/>
      <c r="P33" s="68">
        <f t="shared" ref="P33:P35" si="2">N33-F33</f>
        <v>0</v>
      </c>
      <c r="Q33" s="68"/>
      <c r="R33" s="84">
        <f>+L33*1000/F33</f>
        <v>32.6</v>
      </c>
      <c r="S33" s="68"/>
      <c r="T33" s="65">
        <f>+P33*R33/1000</f>
        <v>0</v>
      </c>
      <c r="U33" s="84"/>
      <c r="V33" s="68"/>
      <c r="W33" s="68">
        <f t="shared" ref="W33:W34" si="3">+P33/1000</f>
        <v>0</v>
      </c>
      <c r="X33" s="68"/>
      <c r="Y33" s="68"/>
      <c r="AB33" s="415"/>
      <c r="AC33" s="415"/>
      <c r="AD33" s="415" t="s">
        <v>156</v>
      </c>
      <c r="AE33" s="415"/>
      <c r="AF33" s="415"/>
      <c r="AG33" s="415"/>
    </row>
    <row r="34" spans="1:33" ht="15" customHeight="1" x14ac:dyDescent="0.2">
      <c r="A34" s="415">
        <v>20</v>
      </c>
      <c r="B34" s="415"/>
      <c r="C34" s="65" t="s">
        <v>1434</v>
      </c>
      <c r="D34" s="133" t="s">
        <v>1462</v>
      </c>
      <c r="E34" s="65"/>
      <c r="F34" s="436">
        <v>0</v>
      </c>
      <c r="G34" s="415"/>
      <c r="H34" s="75">
        <f>+'E-13d'!N341</f>
        <v>82707820.715172112</v>
      </c>
      <c r="I34" s="68"/>
      <c r="J34" s="75">
        <f>+'E-13d'!N341</f>
        <v>82707820.715172112</v>
      </c>
      <c r="K34" s="68"/>
      <c r="L34" s="75">
        <f>+H34-J34</f>
        <v>0</v>
      </c>
      <c r="M34" s="68"/>
      <c r="N34" s="75">
        <v>0</v>
      </c>
      <c r="O34" s="75"/>
      <c r="P34" s="75">
        <f t="shared" si="2"/>
        <v>0</v>
      </c>
      <c r="Q34" s="68"/>
      <c r="R34" s="84">
        <v>0</v>
      </c>
      <c r="S34" s="68"/>
      <c r="T34" s="437">
        <f>+P34*R34/1000</f>
        <v>0</v>
      </c>
      <c r="U34" s="68"/>
      <c r="V34" s="68"/>
      <c r="W34" s="68">
        <f t="shared" si="3"/>
        <v>0</v>
      </c>
      <c r="X34" s="68"/>
      <c r="Y34" s="68"/>
      <c r="AB34" s="415"/>
      <c r="AC34" s="415"/>
      <c r="AD34" s="415" t="s">
        <v>157</v>
      </c>
      <c r="AE34" s="415"/>
      <c r="AF34" s="415"/>
      <c r="AG34" s="415"/>
    </row>
    <row r="35" spans="1:33" ht="15" customHeight="1" x14ac:dyDescent="0.2">
      <c r="A35" s="415">
        <v>21</v>
      </c>
      <c r="B35" s="415"/>
      <c r="C35" s="65"/>
      <c r="D35" s="65"/>
      <c r="E35" s="65"/>
      <c r="F35" s="438">
        <f>+F33+F34</f>
        <v>107727525.26003531</v>
      </c>
      <c r="G35" s="415"/>
      <c r="H35" s="64">
        <f t="shared" ref="H35:J35" si="4">+H33+H34</f>
        <v>86280867.618649259</v>
      </c>
      <c r="I35" s="68"/>
      <c r="J35" s="64">
        <f t="shared" si="4"/>
        <v>82768950.29517211</v>
      </c>
      <c r="K35" s="68"/>
      <c r="L35" s="64">
        <f>+L33+L34</f>
        <v>3511917.3234771509</v>
      </c>
      <c r="M35" s="68"/>
      <c r="N35" s="68">
        <f>SUM(N33:N34)</f>
        <v>107727525.26003532</v>
      </c>
      <c r="O35" s="68"/>
      <c r="P35" s="68">
        <f t="shared" si="2"/>
        <v>0</v>
      </c>
      <c r="Q35" s="68"/>
      <c r="R35" s="93"/>
      <c r="S35" s="68"/>
      <c r="T35" s="68">
        <f>SUM(T33:T34)</f>
        <v>0</v>
      </c>
      <c r="U35" s="68"/>
      <c r="V35" s="68"/>
      <c r="W35" s="68"/>
      <c r="X35" s="68"/>
      <c r="Y35" s="68"/>
      <c r="AB35" s="415"/>
      <c r="AC35" s="415"/>
      <c r="AD35" s="415" t="s">
        <v>158</v>
      </c>
      <c r="AE35" s="415"/>
      <c r="AF35" s="415"/>
      <c r="AG35" s="415"/>
    </row>
    <row r="36" spans="1:33" ht="15" customHeight="1" x14ac:dyDescent="0.2">
      <c r="A36" s="415">
        <v>22</v>
      </c>
      <c r="B36" s="415"/>
      <c r="C36" s="65"/>
      <c r="D36" s="65" t="s">
        <v>1434</v>
      </c>
      <c r="E36" s="65"/>
      <c r="F36" s="415"/>
      <c r="G36" s="415"/>
      <c r="H36" s="68"/>
      <c r="I36" s="68"/>
      <c r="J36" s="68"/>
      <c r="K36" s="68"/>
      <c r="L36" s="68" t="s">
        <v>1434</v>
      </c>
      <c r="M36" s="68"/>
      <c r="N36" s="68"/>
      <c r="O36" s="68"/>
      <c r="P36" s="68"/>
      <c r="Q36" s="68"/>
      <c r="R36" s="93"/>
      <c r="S36" s="68"/>
      <c r="T36" s="68"/>
      <c r="U36" s="68"/>
      <c r="V36" s="68"/>
      <c r="W36" s="68"/>
      <c r="X36" s="68"/>
      <c r="Y36" s="68"/>
      <c r="AB36" s="415"/>
      <c r="AC36" s="415"/>
      <c r="AD36" s="415" t="s">
        <v>160</v>
      </c>
      <c r="AE36" s="415"/>
      <c r="AF36" s="415"/>
      <c r="AG36" s="415"/>
    </row>
    <row r="37" spans="1:33" ht="15" customHeight="1" x14ac:dyDescent="0.2">
      <c r="A37" s="415">
        <v>23</v>
      </c>
      <c r="B37" s="415"/>
      <c r="C37" s="65"/>
      <c r="D37" s="65"/>
      <c r="E37" s="65"/>
      <c r="F37" s="415"/>
      <c r="G37" s="415"/>
      <c r="H37" s="64"/>
      <c r="I37" s="64"/>
      <c r="J37" s="64"/>
      <c r="K37" s="64"/>
      <c r="L37" s="64"/>
      <c r="M37" s="68"/>
      <c r="N37" s="68"/>
      <c r="O37" s="68"/>
      <c r="P37" s="68"/>
      <c r="Q37" s="68"/>
      <c r="R37" s="93"/>
      <c r="S37" s="68"/>
      <c r="T37" s="68"/>
      <c r="U37" s="74"/>
      <c r="V37" s="68"/>
      <c r="W37" s="68"/>
      <c r="X37" s="68"/>
      <c r="Y37" s="68"/>
      <c r="AB37" s="415"/>
      <c r="AC37" s="415"/>
      <c r="AD37" s="415" t="s">
        <v>161</v>
      </c>
      <c r="AE37" s="415"/>
      <c r="AF37" s="415"/>
      <c r="AG37" s="415"/>
    </row>
    <row r="38" spans="1:33" ht="15" customHeight="1" x14ac:dyDescent="0.2">
      <c r="A38" s="415">
        <v>24</v>
      </c>
      <c r="B38" s="415"/>
      <c r="C38" s="65" t="s">
        <v>1434</v>
      </c>
      <c r="D38" s="65" t="s">
        <v>331</v>
      </c>
      <c r="E38" s="65"/>
      <c r="F38" s="439">
        <f>+F35+F28+F20</f>
        <v>20466082889.830036</v>
      </c>
      <c r="G38" s="415"/>
      <c r="H38" s="68">
        <f>+H20+H28+H35</f>
        <v>1479238321.8338001</v>
      </c>
      <c r="I38" s="68"/>
      <c r="J38" s="68">
        <f>+J20+J28+J35</f>
        <v>310754673.49077213</v>
      </c>
      <c r="K38" s="68"/>
      <c r="L38" s="68">
        <f>+L20+L28+L35</f>
        <v>1168483648.3430281</v>
      </c>
      <c r="M38" s="73"/>
      <c r="N38" s="439">
        <f>+N20+N28+N35</f>
        <v>20466082889.680035</v>
      </c>
      <c r="O38" s="439"/>
      <c r="P38" s="439">
        <f t="shared" ref="P38" si="5">N38-F38</f>
        <v>-0.15000152587890625</v>
      </c>
      <c r="Q38" s="439"/>
      <c r="R38" s="93"/>
      <c r="S38" s="68"/>
      <c r="T38" s="74">
        <f>+T20+T28+T35</f>
        <v>-70099.129249415972</v>
      </c>
      <c r="U38" s="68"/>
      <c r="V38" s="68"/>
      <c r="W38" s="68"/>
      <c r="X38" s="68"/>
      <c r="Y38" s="68"/>
      <c r="AB38" s="415"/>
      <c r="AC38" s="415"/>
      <c r="AD38" s="415" t="s">
        <v>162</v>
      </c>
      <c r="AE38" s="415"/>
      <c r="AF38" s="415"/>
      <c r="AG38" s="415"/>
    </row>
    <row r="39" spans="1:33" ht="15" customHeight="1" x14ac:dyDescent="0.2">
      <c r="A39" s="415">
        <v>25</v>
      </c>
      <c r="B39" s="415"/>
      <c r="C39" s="65"/>
      <c r="D39" s="65"/>
      <c r="E39" s="65"/>
      <c r="F39" s="415"/>
      <c r="G39" s="415"/>
      <c r="H39" s="415"/>
      <c r="I39" s="415"/>
      <c r="J39" s="415"/>
      <c r="K39" s="415"/>
      <c r="L39" s="415"/>
      <c r="M39" s="68"/>
      <c r="N39" s="64"/>
      <c r="O39" s="64"/>
      <c r="P39" s="64"/>
      <c r="Q39" s="64"/>
      <c r="R39" s="64"/>
      <c r="S39" s="64"/>
      <c r="T39" s="68"/>
      <c r="U39" s="68"/>
      <c r="V39" s="68"/>
      <c r="W39" s="68"/>
      <c r="X39" s="68"/>
      <c r="Y39" s="68"/>
      <c r="AB39" s="415"/>
      <c r="AC39" s="415"/>
      <c r="AD39" s="415" t="s">
        <v>898</v>
      </c>
      <c r="AE39" s="415"/>
      <c r="AF39" s="415"/>
      <c r="AG39" s="415"/>
    </row>
    <row r="40" spans="1:33" ht="15" customHeight="1" x14ac:dyDescent="0.2">
      <c r="A40" s="415">
        <v>26</v>
      </c>
      <c r="B40" s="415"/>
      <c r="C40" s="65"/>
      <c r="D40" s="65"/>
      <c r="E40" s="65"/>
      <c r="F40" s="415"/>
      <c r="G40" s="415"/>
      <c r="H40" s="415"/>
      <c r="I40" s="415"/>
      <c r="J40" s="415"/>
      <c r="K40" s="415"/>
      <c r="L40" s="415"/>
      <c r="M40" s="68"/>
      <c r="N40" s="64"/>
      <c r="O40" s="64"/>
      <c r="P40" s="64"/>
      <c r="Q40" s="64"/>
      <c r="R40" s="64"/>
      <c r="S40" s="64"/>
      <c r="T40" s="68"/>
      <c r="U40" s="68"/>
      <c r="V40" s="68"/>
      <c r="W40" s="68"/>
      <c r="X40" s="68"/>
      <c r="Y40" s="68"/>
      <c r="AB40" s="415"/>
      <c r="AC40" s="415"/>
      <c r="AD40" s="415" t="s">
        <v>899</v>
      </c>
      <c r="AE40" s="415"/>
      <c r="AF40" s="415"/>
      <c r="AG40" s="415"/>
    </row>
    <row r="41" spans="1:33" ht="15" customHeight="1" x14ac:dyDescent="0.2">
      <c r="A41" s="415">
        <v>27</v>
      </c>
      <c r="B41" s="415"/>
      <c r="D41" s="416"/>
      <c r="E41" s="416"/>
      <c r="L41" s="415"/>
      <c r="M41" s="68"/>
      <c r="N41" s="64"/>
      <c r="O41" s="64"/>
      <c r="P41" s="64"/>
      <c r="Q41" s="64"/>
      <c r="R41" s="64"/>
      <c r="S41" s="64"/>
      <c r="T41" s="68"/>
      <c r="U41" s="68"/>
      <c r="V41" s="68"/>
      <c r="W41" s="68"/>
      <c r="X41" s="68"/>
      <c r="Y41" s="68"/>
      <c r="AB41" s="415"/>
      <c r="AC41" s="415"/>
      <c r="AD41" s="415" t="s">
        <v>900</v>
      </c>
      <c r="AE41" s="415"/>
      <c r="AF41" s="415"/>
      <c r="AG41" s="415"/>
    </row>
    <row r="42" spans="1:33" ht="15" customHeight="1" x14ac:dyDescent="0.2">
      <c r="A42" s="415">
        <v>28</v>
      </c>
      <c r="B42" s="415"/>
      <c r="D42" s="416"/>
      <c r="E42" s="416"/>
      <c r="F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68"/>
      <c r="W42" s="68"/>
      <c r="X42" s="68"/>
      <c r="Y42" s="68"/>
      <c r="AB42" s="415"/>
      <c r="AC42" s="415"/>
      <c r="AD42" s="415" t="s">
        <v>122</v>
      </c>
      <c r="AE42" s="415"/>
      <c r="AF42" s="415"/>
      <c r="AG42" s="415"/>
    </row>
    <row r="43" spans="1:33" ht="15" customHeight="1" x14ac:dyDescent="0.2">
      <c r="A43" s="415">
        <v>29</v>
      </c>
      <c r="B43" s="415"/>
      <c r="D43" s="416"/>
      <c r="E43" s="416"/>
      <c r="F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68"/>
      <c r="W43" s="68"/>
      <c r="X43" s="68"/>
      <c r="Y43" s="68"/>
      <c r="AB43" s="415"/>
      <c r="AC43" s="415"/>
      <c r="AD43" s="415" t="s">
        <v>123</v>
      </c>
      <c r="AE43" s="415"/>
      <c r="AF43" s="415"/>
      <c r="AG43" s="415"/>
    </row>
    <row r="44" spans="1:33" ht="15" customHeight="1" x14ac:dyDescent="0.2">
      <c r="A44" s="415">
        <v>30</v>
      </c>
      <c r="B44" s="415"/>
      <c r="D44" s="416"/>
      <c r="E44" s="416"/>
      <c r="F44" s="415"/>
      <c r="L44" s="68"/>
      <c r="M44" s="68"/>
      <c r="N44" s="68"/>
      <c r="O44" s="68"/>
      <c r="R44" s="440"/>
      <c r="S44" s="440"/>
      <c r="T44" s="418"/>
      <c r="U44" s="418"/>
      <c r="V44" s="68"/>
      <c r="W44" s="68"/>
      <c r="X44" s="68"/>
      <c r="Y44" s="68"/>
      <c r="AB44" s="415"/>
      <c r="AC44" s="415"/>
      <c r="AD44" s="415" t="s">
        <v>124</v>
      </c>
      <c r="AE44" s="415"/>
      <c r="AF44" s="415"/>
      <c r="AG44" s="415"/>
    </row>
    <row r="45" spans="1:33" ht="15" customHeight="1" x14ac:dyDescent="0.2">
      <c r="A45" s="415">
        <v>31</v>
      </c>
      <c r="B45" s="415"/>
      <c r="D45" s="416"/>
      <c r="E45" s="416"/>
      <c r="F45" s="415"/>
      <c r="M45" s="68"/>
      <c r="N45" s="64"/>
      <c r="O45" s="64"/>
      <c r="P45" s="64"/>
      <c r="Q45" s="64"/>
      <c r="R45" s="64"/>
      <c r="S45" s="64"/>
      <c r="T45" s="68"/>
      <c r="U45" s="68"/>
      <c r="V45" s="68"/>
      <c r="W45" s="68"/>
      <c r="X45" s="68"/>
      <c r="Y45" s="68"/>
      <c r="AB45" s="415"/>
      <c r="AC45" s="415"/>
      <c r="AD45" s="415" t="s">
        <v>179</v>
      </c>
      <c r="AE45" s="415"/>
      <c r="AF45" s="415"/>
      <c r="AG45" s="415"/>
    </row>
    <row r="46" spans="1:33" ht="15" customHeight="1" x14ac:dyDescent="0.2">
      <c r="A46" s="415">
        <v>32</v>
      </c>
      <c r="B46" s="415"/>
      <c r="L46" s="415"/>
      <c r="M46" s="68"/>
      <c r="N46" s="64"/>
      <c r="O46" s="64"/>
      <c r="P46" s="64"/>
      <c r="Q46" s="64"/>
      <c r="R46" s="64"/>
      <c r="S46" s="64"/>
      <c r="T46" s="68"/>
      <c r="U46" s="68"/>
      <c r="V46" s="68"/>
      <c r="W46" s="68"/>
      <c r="X46" s="68"/>
      <c r="Y46" s="68"/>
      <c r="AB46" s="415"/>
      <c r="AC46" s="415"/>
      <c r="AD46" s="415" t="s">
        <v>180</v>
      </c>
      <c r="AE46" s="415"/>
      <c r="AF46" s="415"/>
      <c r="AG46" s="415"/>
    </row>
    <row r="47" spans="1:33" ht="15" customHeight="1" x14ac:dyDescent="0.2">
      <c r="A47" s="415">
        <v>33</v>
      </c>
      <c r="B47" s="415"/>
      <c r="C47" s="65"/>
      <c r="D47" s="65"/>
      <c r="E47" s="65"/>
      <c r="F47" s="415"/>
      <c r="G47" s="415"/>
      <c r="H47" s="415"/>
      <c r="I47" s="415"/>
      <c r="J47" s="415"/>
      <c r="K47" s="415"/>
      <c r="L47" s="415"/>
      <c r="M47" s="68"/>
      <c r="N47" s="64"/>
      <c r="O47" s="64"/>
      <c r="P47" s="64"/>
      <c r="Q47" s="64"/>
      <c r="R47" s="64"/>
      <c r="S47" s="64"/>
      <c r="T47" s="68"/>
      <c r="U47" s="68"/>
      <c r="V47" s="68"/>
      <c r="W47" s="68"/>
      <c r="X47" s="68"/>
      <c r="Y47" s="68"/>
      <c r="AD47" s="415" t="s">
        <v>181</v>
      </c>
    </row>
    <row r="48" spans="1:33" ht="15" customHeight="1" x14ac:dyDescent="0.2">
      <c r="A48" s="415">
        <v>34</v>
      </c>
      <c r="B48" s="415"/>
      <c r="C48" s="65"/>
      <c r="D48" s="65"/>
      <c r="E48" s="65"/>
      <c r="F48" s="415"/>
      <c r="G48" s="415"/>
      <c r="H48" s="415"/>
      <c r="I48" s="415"/>
      <c r="J48" s="415"/>
      <c r="K48" s="415"/>
      <c r="L48" s="415"/>
      <c r="M48" s="68"/>
      <c r="N48" s="64"/>
      <c r="O48" s="64"/>
      <c r="P48" s="64"/>
      <c r="Q48" s="64"/>
      <c r="R48" s="64"/>
      <c r="S48" s="64"/>
      <c r="T48" s="68"/>
      <c r="U48" s="68"/>
      <c r="V48" s="68"/>
      <c r="W48" s="68"/>
      <c r="X48" s="68"/>
      <c r="Y48" s="68"/>
      <c r="AD48" s="415" t="s">
        <v>183</v>
      </c>
    </row>
    <row r="49" spans="1:30" ht="15" customHeight="1" x14ac:dyDescent="0.2">
      <c r="A49" s="415">
        <v>35</v>
      </c>
      <c r="B49" s="415"/>
      <c r="C49" s="65"/>
      <c r="D49" s="65"/>
      <c r="E49" s="65"/>
      <c r="F49" s="415"/>
      <c r="G49" s="415"/>
      <c r="H49" s="415"/>
      <c r="I49" s="415"/>
      <c r="J49" s="415"/>
      <c r="K49" s="415"/>
      <c r="L49" s="415"/>
      <c r="M49" s="68"/>
      <c r="N49" s="64"/>
      <c r="O49" s="64"/>
      <c r="P49" s="64"/>
      <c r="Q49" s="64"/>
      <c r="R49" s="64"/>
      <c r="S49" s="64"/>
      <c r="T49" s="68"/>
      <c r="U49" s="68"/>
      <c r="V49" s="68"/>
      <c r="W49" s="68"/>
      <c r="X49" s="68"/>
      <c r="Y49" s="68"/>
      <c r="AD49" s="415" t="s">
        <v>184</v>
      </c>
    </row>
    <row r="50" spans="1:30" ht="15" customHeight="1" thickBot="1" x14ac:dyDescent="0.25">
      <c r="A50" s="413">
        <v>36</v>
      </c>
      <c r="B50" s="413"/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AD50" s="415" t="s">
        <v>185</v>
      </c>
    </row>
    <row r="51" spans="1:30" ht="15" customHeight="1" x14ac:dyDescent="0.2">
      <c r="A51" s="415" t="s">
        <v>1463</v>
      </c>
      <c r="B51" s="415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 t="s">
        <v>1003</v>
      </c>
      <c r="X51" s="415"/>
      <c r="Y51" s="415"/>
      <c r="AD51" s="415" t="s">
        <v>184</v>
      </c>
    </row>
    <row r="52" spans="1:30" ht="15" customHeight="1" thickBot="1" x14ac:dyDescent="0.25">
      <c r="A52" s="413" t="s">
        <v>1427</v>
      </c>
      <c r="B52" s="413"/>
      <c r="C52" s="413"/>
      <c r="D52" s="413"/>
      <c r="E52" s="413"/>
      <c r="F52" s="413"/>
      <c r="G52" s="413"/>
      <c r="H52" s="413"/>
      <c r="I52" s="413"/>
      <c r="J52" s="413"/>
      <c r="K52" s="413"/>
      <c r="L52" s="413"/>
      <c r="M52" s="413" t="s">
        <v>1428</v>
      </c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 t="str">
        <f>"Page 2 of 2"</f>
        <v>Page 2 of 2</v>
      </c>
      <c r="AD52" s="415" t="s">
        <v>185</v>
      </c>
    </row>
    <row r="53" spans="1:30" ht="15" customHeight="1" x14ac:dyDescent="0.2">
      <c r="A53" s="415" t="s">
        <v>307</v>
      </c>
      <c r="B53" s="415"/>
      <c r="C53" s="415"/>
      <c r="D53" s="415"/>
      <c r="E53" s="415"/>
      <c r="F53" s="415"/>
      <c r="G53" s="415"/>
      <c r="H53" s="416" t="s">
        <v>1429</v>
      </c>
      <c r="I53" s="415" t="s">
        <v>1430</v>
      </c>
      <c r="N53" s="415"/>
      <c r="O53" s="415"/>
      <c r="P53" s="415"/>
      <c r="Q53" s="415"/>
      <c r="R53" s="415"/>
      <c r="S53" s="415"/>
      <c r="T53" s="417"/>
      <c r="U53" s="417"/>
      <c r="V53" s="417" t="s">
        <v>847</v>
      </c>
      <c r="W53" s="415"/>
      <c r="X53" s="415"/>
      <c r="Y53" s="418"/>
      <c r="AD53" s="415" t="s">
        <v>901</v>
      </c>
    </row>
    <row r="54" spans="1:30" ht="15" customHeight="1" x14ac:dyDescent="0.2">
      <c r="A54" s="415"/>
      <c r="B54" s="415"/>
      <c r="C54" s="415"/>
      <c r="D54" s="415"/>
      <c r="E54" s="415"/>
      <c r="F54" s="415"/>
      <c r="G54" s="415"/>
      <c r="H54" s="415"/>
      <c r="I54" s="415" t="s">
        <v>1431</v>
      </c>
      <c r="N54" s="415"/>
      <c r="O54" s="415"/>
      <c r="P54" s="415"/>
      <c r="Q54" s="415"/>
      <c r="R54" s="415"/>
      <c r="S54" s="415"/>
      <c r="T54" s="416"/>
      <c r="U54" s="416"/>
      <c r="V54" s="311" t="s">
        <v>919</v>
      </c>
      <c r="W54" s="310" t="s">
        <v>920</v>
      </c>
      <c r="X54" s="233"/>
      <c r="Y54" s="416"/>
      <c r="AD54" s="415" t="s">
        <v>7</v>
      </c>
    </row>
    <row r="55" spans="1:30" ht="15" customHeight="1" x14ac:dyDescent="0.2">
      <c r="A55" s="415" t="s">
        <v>310</v>
      </c>
      <c r="B55" s="415"/>
      <c r="C55" s="415"/>
      <c r="D55" s="415"/>
      <c r="E55" s="415"/>
      <c r="F55" s="415"/>
      <c r="G55" s="415"/>
      <c r="H55" s="415"/>
      <c r="I55" s="415" t="s">
        <v>1432</v>
      </c>
      <c r="N55" s="415"/>
      <c r="O55" s="415"/>
      <c r="P55" s="415"/>
      <c r="Q55" s="415"/>
      <c r="R55" s="415"/>
      <c r="S55" s="415"/>
      <c r="T55" s="416"/>
      <c r="U55" s="416"/>
      <c r="V55" s="311"/>
      <c r="W55" s="310" t="s">
        <v>937</v>
      </c>
      <c r="X55" s="233"/>
      <c r="Y55" s="416"/>
    </row>
    <row r="56" spans="1:30" ht="15" customHeight="1" x14ac:dyDescent="0.2">
      <c r="A56" s="415"/>
      <c r="B56" s="415"/>
      <c r="C56" s="415"/>
      <c r="D56" s="415"/>
      <c r="E56" s="415"/>
      <c r="F56" s="415"/>
      <c r="G56" s="415"/>
      <c r="H56" s="415"/>
      <c r="I56" s="415"/>
      <c r="J56" s="415"/>
      <c r="K56" s="415"/>
      <c r="L56" s="415"/>
      <c r="M56" s="415"/>
      <c r="N56" s="415"/>
      <c r="O56" s="415"/>
      <c r="P56" s="415"/>
      <c r="Q56" s="415"/>
      <c r="R56" s="415"/>
      <c r="S56" s="415"/>
      <c r="T56" s="416"/>
      <c r="U56" s="416"/>
      <c r="V56" s="311"/>
      <c r="W56" s="310" t="s">
        <v>938</v>
      </c>
      <c r="X56" s="233"/>
      <c r="Y56" s="416"/>
    </row>
    <row r="57" spans="1:30" ht="15" customHeight="1" thickBot="1" x14ac:dyDescent="0.25">
      <c r="A57" s="413" t="str">
        <f>+A6</f>
        <v>DOCKET No. 20240026-EI</v>
      </c>
      <c r="B57" s="413"/>
      <c r="C57" s="413"/>
      <c r="D57" s="413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233"/>
      <c r="W57" s="233" t="s">
        <v>311</v>
      </c>
      <c r="X57" s="233"/>
      <c r="Y57" s="413"/>
    </row>
    <row r="58" spans="1:30" ht="15" customHeight="1" thickBot="1" x14ac:dyDescent="0.25">
      <c r="A58" s="587" t="s">
        <v>1464</v>
      </c>
      <c r="B58" s="587"/>
      <c r="C58" s="587"/>
      <c r="D58" s="587"/>
      <c r="E58" s="587"/>
      <c r="F58" s="587"/>
      <c r="G58" s="587"/>
      <c r="H58" s="587"/>
      <c r="I58" s="587"/>
      <c r="J58" s="587"/>
      <c r="K58" s="587"/>
      <c r="L58" s="587"/>
      <c r="M58" s="587"/>
      <c r="N58" s="587"/>
      <c r="O58" s="587"/>
      <c r="P58" s="587"/>
      <c r="Q58" s="587"/>
      <c r="R58" s="587"/>
      <c r="S58" s="587"/>
      <c r="T58" s="587"/>
      <c r="U58" s="587"/>
      <c r="V58" s="587"/>
      <c r="W58" s="587"/>
      <c r="X58" s="587"/>
      <c r="Y58" s="587"/>
    </row>
    <row r="59" spans="1:30" ht="15" customHeight="1" x14ac:dyDescent="0.2">
      <c r="A59" s="415"/>
      <c r="B59" s="415"/>
      <c r="C59" s="65"/>
      <c r="D59" s="419"/>
      <c r="E59" s="419"/>
      <c r="F59" s="419" t="s">
        <v>848</v>
      </c>
      <c r="G59" s="419"/>
      <c r="H59" s="419" t="s">
        <v>849</v>
      </c>
      <c r="I59" s="419"/>
      <c r="J59" s="419" t="s">
        <v>850</v>
      </c>
      <c r="K59" s="419"/>
      <c r="L59" s="419" t="s">
        <v>851</v>
      </c>
      <c r="M59" s="419"/>
      <c r="N59" s="419" t="s">
        <v>954</v>
      </c>
      <c r="O59" s="419"/>
      <c r="P59" s="419" t="s">
        <v>955</v>
      </c>
      <c r="Q59" s="419"/>
      <c r="R59" s="419" t="s">
        <v>956</v>
      </c>
      <c r="S59" s="419"/>
      <c r="T59" s="419" t="s">
        <v>957</v>
      </c>
      <c r="U59" s="419"/>
      <c r="V59" s="419" t="s">
        <v>958</v>
      </c>
      <c r="W59" s="420" t="s">
        <v>1434</v>
      </c>
      <c r="X59" s="419"/>
      <c r="Y59" s="420" t="s">
        <v>1434</v>
      </c>
    </row>
    <row r="60" spans="1:30" ht="15" customHeight="1" x14ac:dyDescent="0.2">
      <c r="A60" s="415"/>
      <c r="B60" s="415"/>
      <c r="C60" s="65"/>
      <c r="D60" s="419"/>
      <c r="E60" s="419"/>
      <c r="F60" s="420"/>
      <c r="G60" s="419"/>
      <c r="H60" s="421"/>
      <c r="I60" s="421"/>
      <c r="J60" s="421"/>
      <c r="K60" s="421"/>
      <c r="L60" s="421"/>
      <c r="M60" s="421"/>
      <c r="N60" s="420"/>
      <c r="O60" s="420"/>
      <c r="S60" s="419"/>
      <c r="T60" s="419"/>
      <c r="U60" s="419"/>
      <c r="V60" s="420"/>
      <c r="W60" s="68"/>
      <c r="X60" s="68"/>
      <c r="Y60" s="419"/>
    </row>
    <row r="61" spans="1:30" ht="15" customHeight="1" x14ac:dyDescent="0.2">
      <c r="R61" s="419" t="s">
        <v>1435</v>
      </c>
      <c r="W61" s="68"/>
      <c r="X61" s="68"/>
      <c r="Y61" s="415"/>
    </row>
    <row r="62" spans="1:30" ht="15" customHeight="1" x14ac:dyDescent="0.2">
      <c r="A62" s="415"/>
      <c r="B62" s="415"/>
      <c r="C62" s="65"/>
      <c r="D62" s="420"/>
      <c r="E62" s="420"/>
      <c r="G62" s="419"/>
      <c r="M62" s="421"/>
      <c r="N62" s="420"/>
      <c r="O62" s="420"/>
      <c r="R62" s="420" t="s">
        <v>1436</v>
      </c>
      <c r="S62" s="420"/>
      <c r="T62" s="420"/>
      <c r="U62" s="420"/>
      <c r="V62" s="420"/>
      <c r="W62" s="68"/>
      <c r="X62" s="68"/>
    </row>
    <row r="63" spans="1:30" ht="15" customHeight="1" x14ac:dyDescent="0.2">
      <c r="A63" s="415"/>
      <c r="B63" s="415"/>
      <c r="C63" s="420"/>
      <c r="D63" s="420"/>
      <c r="E63" s="420"/>
      <c r="F63" s="420" t="s">
        <v>1437</v>
      </c>
      <c r="G63" s="420"/>
      <c r="H63" s="422"/>
      <c r="I63" s="422"/>
      <c r="J63" s="422"/>
      <c r="K63" s="422"/>
      <c r="L63" s="420" t="s">
        <v>1438</v>
      </c>
      <c r="M63" s="419"/>
      <c r="N63" s="420" t="s">
        <v>1439</v>
      </c>
      <c r="O63" s="420"/>
      <c r="P63" s="420" t="s">
        <v>1440</v>
      </c>
      <c r="Q63" s="420"/>
      <c r="R63" s="420" t="s">
        <v>1441</v>
      </c>
      <c r="S63" s="420"/>
      <c r="T63" s="420"/>
      <c r="U63" s="420"/>
      <c r="V63" s="420" t="s">
        <v>1440</v>
      </c>
      <c r="W63" s="68"/>
      <c r="X63" s="68"/>
      <c r="Y63" s="422"/>
    </row>
    <row r="64" spans="1:30" ht="15" customHeight="1" x14ac:dyDescent="0.2">
      <c r="A64" s="420" t="s">
        <v>314</v>
      </c>
      <c r="B64" s="415"/>
      <c r="C64" s="420"/>
      <c r="D64" s="423" t="s">
        <v>1442</v>
      </c>
      <c r="E64" s="423"/>
      <c r="F64" s="420" t="s">
        <v>1443</v>
      </c>
      <c r="G64" s="420"/>
      <c r="H64" s="419"/>
      <c r="I64" s="419"/>
      <c r="J64" s="419" t="s">
        <v>1444</v>
      </c>
      <c r="K64" s="419"/>
      <c r="L64" s="420" t="s">
        <v>1445</v>
      </c>
      <c r="M64" s="420" t="s">
        <v>1434</v>
      </c>
      <c r="N64" s="420" t="s">
        <v>1446</v>
      </c>
      <c r="O64" s="420"/>
      <c r="P64" s="420" t="s">
        <v>1446</v>
      </c>
      <c r="Q64" s="420"/>
      <c r="R64" s="420" t="s">
        <v>318</v>
      </c>
      <c r="S64" s="420"/>
      <c r="T64" s="420" t="s">
        <v>1440</v>
      </c>
      <c r="U64" s="420"/>
      <c r="V64" s="73" t="s">
        <v>318</v>
      </c>
      <c r="W64" s="68"/>
      <c r="X64" s="68"/>
      <c r="Y64" s="73" t="s">
        <v>1434</v>
      </c>
    </row>
    <row r="65" spans="1:25" ht="15" customHeight="1" thickBot="1" x14ac:dyDescent="0.25">
      <c r="A65" s="424" t="s">
        <v>320</v>
      </c>
      <c r="B65" s="413"/>
      <c r="C65" s="425"/>
      <c r="D65" s="426" t="s">
        <v>1447</v>
      </c>
      <c r="E65" s="426"/>
      <c r="F65" s="427" t="s">
        <v>1448</v>
      </c>
      <c r="G65" s="427"/>
      <c r="H65" s="427" t="s">
        <v>336</v>
      </c>
      <c r="I65" s="427"/>
      <c r="J65" s="427" t="s">
        <v>1173</v>
      </c>
      <c r="K65" s="427"/>
      <c r="L65" s="427" t="s">
        <v>1173</v>
      </c>
      <c r="M65" s="427"/>
      <c r="N65" s="427" t="s">
        <v>1448</v>
      </c>
      <c r="O65" s="427"/>
      <c r="P65" s="427" t="s">
        <v>1448</v>
      </c>
      <c r="Q65" s="427"/>
      <c r="R65" s="428" t="s">
        <v>1449</v>
      </c>
      <c r="S65" s="428"/>
      <c r="T65" s="429" t="s">
        <v>318</v>
      </c>
      <c r="U65" s="429"/>
      <c r="V65" s="429" t="s">
        <v>1465</v>
      </c>
      <c r="W65" s="105"/>
      <c r="X65" s="105"/>
      <c r="Y65" s="428"/>
    </row>
    <row r="66" spans="1:25" ht="15" customHeight="1" x14ac:dyDescent="0.2">
      <c r="A66" s="415">
        <v>1</v>
      </c>
      <c r="B66" s="415"/>
      <c r="C66" s="418"/>
      <c r="D66" s="420"/>
      <c r="E66" s="420"/>
      <c r="F66" s="420"/>
      <c r="G66" s="420"/>
      <c r="H66" s="420"/>
      <c r="I66" s="420"/>
      <c r="J66" s="420"/>
      <c r="K66" s="420"/>
      <c r="L66" s="419"/>
      <c r="M66" s="420"/>
      <c r="N66" s="73"/>
      <c r="O66" s="73"/>
      <c r="P66" s="420" t="s">
        <v>1450</v>
      </c>
      <c r="Q66" s="420"/>
      <c r="R66" s="431" t="s">
        <v>1451</v>
      </c>
      <c r="S66" s="431"/>
      <c r="T66" s="431" t="s">
        <v>1452</v>
      </c>
      <c r="U66" s="431"/>
      <c r="V66" s="441" t="s">
        <v>1466</v>
      </c>
      <c r="W66" s="68"/>
      <c r="X66" s="68"/>
      <c r="Y66" s="73"/>
    </row>
    <row r="67" spans="1:25" ht="15" customHeight="1" x14ac:dyDescent="0.2">
      <c r="A67" s="415">
        <v>2</v>
      </c>
      <c r="B67" s="415"/>
      <c r="C67" s="418"/>
      <c r="D67" s="420"/>
      <c r="E67" s="420"/>
      <c r="F67" s="420"/>
      <c r="G67" s="420"/>
      <c r="H67" s="420"/>
      <c r="I67" s="420"/>
      <c r="J67" s="420"/>
      <c r="K67" s="420"/>
      <c r="L67" s="73"/>
      <c r="M67" s="73"/>
      <c r="N67" s="73"/>
      <c r="O67" s="73"/>
      <c r="R67" s="73"/>
      <c r="S67" s="73"/>
      <c r="T67" s="73"/>
      <c r="U67" s="73"/>
      <c r="V67" s="68"/>
      <c r="W67" s="68"/>
      <c r="X67" s="68"/>
      <c r="Y67" s="73"/>
    </row>
    <row r="68" spans="1:25" ht="15" customHeight="1" x14ac:dyDescent="0.2">
      <c r="A68" s="415">
        <v>3</v>
      </c>
      <c r="B68" s="415"/>
      <c r="C68" s="65" t="s">
        <v>1434</v>
      </c>
      <c r="D68" s="65"/>
      <c r="E68" s="65"/>
      <c r="F68" s="65"/>
      <c r="G68" s="65"/>
      <c r="H68" s="65"/>
      <c r="I68" s="65"/>
      <c r="J68" s="65"/>
      <c r="K68" s="65"/>
      <c r="L68" s="65"/>
      <c r="M68" s="74"/>
      <c r="N68" s="65"/>
      <c r="O68" s="65"/>
      <c r="P68" s="65"/>
      <c r="Q68" s="65"/>
      <c r="R68" s="65"/>
      <c r="S68" s="65"/>
      <c r="T68" s="65"/>
      <c r="U68" s="65"/>
      <c r="V68" s="68"/>
      <c r="W68" s="68"/>
      <c r="X68" s="68"/>
      <c r="Y68" s="65"/>
    </row>
    <row r="69" spans="1:25" ht="15" customHeight="1" x14ac:dyDescent="0.2">
      <c r="A69" s="415">
        <v>4</v>
      </c>
      <c r="B69" s="415"/>
      <c r="C69" s="432" t="s">
        <v>1453</v>
      </c>
      <c r="D69" s="65" t="s">
        <v>815</v>
      </c>
      <c r="E69" s="65"/>
      <c r="F69" s="64">
        <f t="shared" ref="F69:F77" si="6">+F18</f>
        <v>10290068454.380001</v>
      </c>
      <c r="G69" s="415"/>
      <c r="H69" s="64">
        <f>+'2025 RS Rate Class E-13c'!S39-'2025 RS Rate Class E-13c'!S30-'2025 RS Rate Class E-13c'!S37</f>
        <v>1099261151.7643981</v>
      </c>
      <c r="I69" s="64"/>
      <c r="J69" s="64">
        <f>+'2025 RS Rate Class E-13c'!S21</f>
        <v>300376310.68000001</v>
      </c>
      <c r="K69" s="64"/>
      <c r="L69" s="64">
        <f>+H69-J69</f>
        <v>798884841.08439803</v>
      </c>
      <c r="M69" s="74"/>
      <c r="N69" s="64">
        <f t="shared" ref="N69:N71" si="7">+N18</f>
        <v>10287768368.9</v>
      </c>
      <c r="O69" s="64"/>
      <c r="P69" s="64">
        <f>N69-F69</f>
        <v>-2300085.4800014496</v>
      </c>
      <c r="Q69" s="64"/>
      <c r="R69" s="433">
        <f>+L69*1000/F69</f>
        <v>77.636494317426056</v>
      </c>
      <c r="S69" s="138"/>
      <c r="T69" s="64">
        <f>+P69*R69/1000</f>
        <v>-178570.57329772672</v>
      </c>
      <c r="U69" s="64"/>
      <c r="V69" s="68"/>
      <c r="W69" s="68"/>
      <c r="X69" s="68"/>
      <c r="Y69" s="65"/>
    </row>
    <row r="70" spans="1:25" ht="15" customHeight="1" x14ac:dyDescent="0.2">
      <c r="A70" s="415">
        <v>5</v>
      </c>
      <c r="B70" s="415"/>
      <c r="C70" s="432" t="s">
        <v>1454</v>
      </c>
      <c r="D70" s="65" t="s">
        <v>816</v>
      </c>
      <c r="E70" s="65"/>
      <c r="F70" s="75">
        <f t="shared" si="6"/>
        <v>950935900</v>
      </c>
      <c r="G70" s="415"/>
      <c r="H70" s="75">
        <f>+'2025 GS Rate Class E-13c'!S41+'2025 GS Rate Class E-13c'!S82-'2025 GS Rate Class E-13c'!S30-'2025 GS Rate Class E-13c'!S39</f>
        <v>99194930.194470778</v>
      </c>
      <c r="I70" s="68"/>
      <c r="J70" s="75">
        <f>+'2025 GS Rate Class E-13c'!S22+'2025 GS Rate Class E-13c'!S74</f>
        <v>34598485.289999999</v>
      </c>
      <c r="K70" s="68"/>
      <c r="L70" s="75">
        <f>+H70-J70</f>
        <v>64596444.904470779</v>
      </c>
      <c r="M70" s="68"/>
      <c r="N70" s="75">
        <f t="shared" si="7"/>
        <v>950910875.34000003</v>
      </c>
      <c r="O70" s="75"/>
      <c r="P70" s="75">
        <f t="shared" ref="P70:P71" si="8">N70-F70</f>
        <v>-25024.659999966621</v>
      </c>
      <c r="Q70" s="68"/>
      <c r="R70" s="433">
        <f>+L70*1000/F70</f>
        <v>67.92933667187323</v>
      </c>
      <c r="S70" s="138"/>
      <c r="T70" s="75">
        <f>+P70*R70/1000</f>
        <v>-1699.9085542368916</v>
      </c>
      <c r="U70" s="68"/>
      <c r="V70" s="68"/>
      <c r="W70" s="68"/>
      <c r="X70" s="68"/>
      <c r="Y70" s="64"/>
    </row>
    <row r="71" spans="1:25" ht="15" customHeight="1" x14ac:dyDescent="0.2">
      <c r="A71" s="415">
        <v>6</v>
      </c>
      <c r="B71" s="415"/>
      <c r="C71" s="432"/>
      <c r="D71" s="130" t="s">
        <v>1455</v>
      </c>
      <c r="E71" s="130"/>
      <c r="F71" s="64">
        <f t="shared" si="6"/>
        <v>11241004354.380001</v>
      </c>
      <c r="G71" s="415"/>
      <c r="H71" s="64">
        <f>+H69+H70</f>
        <v>1198456081.958869</v>
      </c>
      <c r="I71" s="68"/>
      <c r="J71" s="64">
        <f>+J69+J70</f>
        <v>334974795.97000003</v>
      </c>
      <c r="K71" s="68"/>
      <c r="L71" s="64">
        <f>+L69+L70</f>
        <v>863481285.98886883</v>
      </c>
      <c r="M71" s="74"/>
      <c r="N71" s="64">
        <f t="shared" si="7"/>
        <v>11238679244.24</v>
      </c>
      <c r="O71" s="64"/>
      <c r="P71" s="64">
        <f t="shared" si="8"/>
        <v>-2325110.140001297</v>
      </c>
      <c r="Q71" s="64"/>
      <c r="R71" s="433"/>
      <c r="S71" s="138"/>
      <c r="T71" s="65">
        <f>SUM(T69:T70)</f>
        <v>-180270.48185196362</v>
      </c>
      <c r="U71" s="65"/>
      <c r="V71" s="68">
        <f>+T71-T20</f>
        <v>-17214.570190903789</v>
      </c>
      <c r="W71" s="68"/>
      <c r="X71" s="68"/>
      <c r="Y71" s="74"/>
    </row>
    <row r="72" spans="1:25" ht="15" customHeight="1" x14ac:dyDescent="0.25">
      <c r="A72" s="415">
        <v>7</v>
      </c>
      <c r="B72" s="415"/>
      <c r="F72" s="64"/>
      <c r="H72" s="434"/>
      <c r="I72" s="435"/>
      <c r="J72" s="434"/>
      <c r="K72" s="435"/>
      <c r="L72" s="434"/>
      <c r="M72" s="74"/>
      <c r="N72" s="64"/>
      <c r="O72" s="64"/>
      <c r="P72" s="64"/>
      <c r="Q72" s="64"/>
      <c r="R72" s="433"/>
      <c r="S72" s="65"/>
      <c r="T72" s="65"/>
      <c r="U72" s="65"/>
      <c r="V72" s="68"/>
      <c r="W72" s="68"/>
      <c r="X72" s="68"/>
      <c r="Y72" s="74"/>
    </row>
    <row r="73" spans="1:25" ht="15" customHeight="1" x14ac:dyDescent="0.2">
      <c r="A73" s="415">
        <v>8</v>
      </c>
      <c r="B73" s="415"/>
      <c r="C73" s="432"/>
      <c r="F73" s="64"/>
      <c r="M73" s="74"/>
      <c r="N73" s="65"/>
      <c r="O73" s="65"/>
      <c r="P73" s="65"/>
      <c r="Q73" s="65"/>
      <c r="R73" s="433"/>
      <c r="S73" s="65"/>
      <c r="T73" s="65"/>
      <c r="U73" s="65"/>
      <c r="V73" s="68"/>
      <c r="W73" s="68"/>
      <c r="X73" s="68"/>
      <c r="Y73" s="74"/>
    </row>
    <row r="74" spans="1:25" ht="15" customHeight="1" x14ac:dyDescent="0.2">
      <c r="A74" s="415">
        <v>9</v>
      </c>
      <c r="B74" s="415"/>
      <c r="C74" s="432"/>
      <c r="D74" s="65"/>
      <c r="E74" s="65"/>
      <c r="F74" s="64"/>
      <c r="G74" s="415"/>
      <c r="H74" s="64"/>
      <c r="I74" s="68"/>
      <c r="J74" s="415"/>
      <c r="K74" s="415"/>
      <c r="L74" s="65"/>
      <c r="M74" s="68"/>
      <c r="N74" s="64"/>
      <c r="O74" s="64"/>
      <c r="P74" s="64"/>
      <c r="Q74" s="64"/>
      <c r="R74" s="433"/>
      <c r="S74" s="64"/>
      <c r="T74" s="64"/>
      <c r="U74" s="64"/>
      <c r="V74" s="68"/>
      <c r="W74" s="68"/>
      <c r="X74" s="68"/>
      <c r="Y74" s="68"/>
    </row>
    <row r="75" spans="1:25" ht="15" customHeight="1" x14ac:dyDescent="0.2">
      <c r="A75" s="415">
        <v>10</v>
      </c>
      <c r="B75" s="415"/>
      <c r="F75" s="64"/>
      <c r="M75" s="68"/>
      <c r="N75" s="68"/>
      <c r="O75" s="68"/>
      <c r="P75" s="68"/>
      <c r="Q75" s="68"/>
      <c r="R75" s="84"/>
      <c r="S75" s="68"/>
      <c r="T75" s="68"/>
      <c r="U75" s="68"/>
      <c r="V75" s="68"/>
      <c r="W75" s="68"/>
      <c r="X75" s="68"/>
      <c r="Y75" s="68"/>
    </row>
    <row r="76" spans="1:25" ht="15" customHeight="1" x14ac:dyDescent="0.2">
      <c r="A76" s="415">
        <v>11</v>
      </c>
      <c r="B76" s="415"/>
      <c r="C76" s="432" t="s">
        <v>1456</v>
      </c>
      <c r="D76" s="65" t="s">
        <v>817</v>
      </c>
      <c r="E76" s="65"/>
      <c r="F76" s="64">
        <f t="shared" si="6"/>
        <v>7092236673</v>
      </c>
      <c r="G76" s="415"/>
      <c r="H76" s="64">
        <f>+'2025 GSD Rate Class E-13c'!T107+'2025 GSD Rate Class E-13c'!T162+'2025 GSD Rate Class E-13c'!T361-'2025 GSD Rate Class E-13c'!T39-'2025 GSD Rate Class E-13c'!T100-'2025 GSD Rate Class E-13c'!T104</f>
        <v>410223866.15006322</v>
      </c>
      <c r="I76" s="68"/>
      <c r="J76" s="64">
        <f>+'2025 GSD Rate Class E-13c'!T24+'2025 GSD Rate Class E-13c'!T129+'2025 GSD Rate Class E-13c'!T187</f>
        <v>11873115.926399998</v>
      </c>
      <c r="K76" s="68"/>
      <c r="L76" s="64">
        <f>+H76-J76</f>
        <v>398350750.22366321</v>
      </c>
      <c r="M76" s="68"/>
      <c r="N76" s="64">
        <f t="shared" ref="N76:N77" si="9">+N25</f>
        <v>7093868892</v>
      </c>
      <c r="O76" s="68"/>
      <c r="P76" s="68">
        <f t="shared" ref="P76:P78" si="10">N76-F76</f>
        <v>1632219</v>
      </c>
      <c r="Q76" s="68"/>
      <c r="R76" s="84">
        <f>+L76*1000/F76</f>
        <v>56.167154113761654</v>
      </c>
      <c r="S76" s="68"/>
      <c r="T76" s="68">
        <f>+P76*R76/1000</f>
        <v>91677.096120409929</v>
      </c>
      <c r="U76" s="68"/>
      <c r="V76" s="68"/>
      <c r="W76" s="68"/>
      <c r="X76" s="68"/>
      <c r="Y76" s="68"/>
    </row>
    <row r="77" spans="1:25" ht="15" customHeight="1" x14ac:dyDescent="0.2">
      <c r="A77" s="415">
        <v>12</v>
      </c>
      <c r="B77" s="415"/>
      <c r="C77" s="432" t="s">
        <v>1457</v>
      </c>
      <c r="D77" s="65" t="s">
        <v>818</v>
      </c>
      <c r="E77" s="65"/>
      <c r="F77" s="64">
        <f t="shared" si="6"/>
        <v>1290850149.25</v>
      </c>
      <c r="G77" s="415" t="s">
        <v>1434</v>
      </c>
      <c r="H77" s="64">
        <f>+'2025 GSLDPR Rate Class E-13c'!S54+'2025 GSLDPR Rate Class E-13c'!S144</f>
        <v>47902933.470879942</v>
      </c>
      <c r="I77" s="68"/>
      <c r="J77" s="64">
        <f>+'2025 GSLDPR Rate Class E-13c'!S20+'2025 GSLDPR Rate Class E-13c'!S75</f>
        <v>479128.44939999998</v>
      </c>
      <c r="K77" s="68"/>
      <c r="L77" s="64">
        <f>+H77-J77</f>
        <v>47423805.021479942</v>
      </c>
      <c r="M77" s="68"/>
      <c r="N77" s="64">
        <f t="shared" si="9"/>
        <v>1291467896.3699999</v>
      </c>
      <c r="O77" s="68"/>
      <c r="P77" s="68">
        <f t="shared" si="10"/>
        <v>617747.11999988556</v>
      </c>
      <c r="Q77" s="68"/>
      <c r="R77" s="84">
        <f>+L77*1000/F77</f>
        <v>36.738427809791681</v>
      </c>
      <c r="S77" s="68"/>
      <c r="T77" s="68">
        <f>+P77*R77/1000</f>
        <v>22695.057972822513</v>
      </c>
      <c r="U77" s="68"/>
      <c r="V77" s="68"/>
      <c r="W77" s="68"/>
      <c r="X77" s="68"/>
      <c r="Y77" s="68"/>
    </row>
    <row r="78" spans="1:25" ht="15" customHeight="1" x14ac:dyDescent="0.2">
      <c r="A78" s="415">
        <v>13</v>
      </c>
      <c r="B78" s="415"/>
      <c r="C78" s="432" t="s">
        <v>1459</v>
      </c>
      <c r="D78" s="65" t="s">
        <v>819</v>
      </c>
      <c r="F78" s="75">
        <f>+F27</f>
        <v>734264187.94000006</v>
      </c>
      <c r="G78" s="415"/>
      <c r="H78" s="75">
        <f>+'2025 GSLDSU Rate Class E-13c'!S50+'2025 GSLDSU Rate Class E-13c'!S138</f>
        <v>30000302.999998651</v>
      </c>
      <c r="I78" s="68"/>
      <c r="J78" s="75">
        <f>+'2025 GSLDSU Rate Class E-13c'!S20+'2025 GSLDSU Rate Class E-13c'!S75</f>
        <v>517753.35939999996</v>
      </c>
      <c r="K78" s="68"/>
      <c r="L78" s="75">
        <f>+H78-J78</f>
        <v>29482549.640598651</v>
      </c>
      <c r="M78" s="68"/>
      <c r="N78" s="75">
        <f>+N27</f>
        <v>734339331.80999994</v>
      </c>
      <c r="O78" s="75"/>
      <c r="P78" s="75">
        <f t="shared" si="10"/>
        <v>75143.869999885559</v>
      </c>
      <c r="Q78" s="68"/>
      <c r="R78" s="84">
        <f>+L78*1000/F78</f>
        <v>40.152509307736793</v>
      </c>
      <c r="S78" s="68"/>
      <c r="T78" s="75">
        <f>+P78*R78/1000</f>
        <v>3017.2149395897686</v>
      </c>
      <c r="U78" s="68"/>
      <c r="V78" s="68"/>
      <c r="W78" s="68"/>
      <c r="X78" s="68"/>
      <c r="Y78" s="68"/>
    </row>
    <row r="79" spans="1:25" ht="15" customHeight="1" x14ac:dyDescent="0.2">
      <c r="A79" s="415">
        <v>14</v>
      </c>
      <c r="B79" s="415"/>
      <c r="C79" s="432"/>
      <c r="D79" s="65" t="s">
        <v>1458</v>
      </c>
      <c r="E79" s="65"/>
      <c r="F79" s="64">
        <f>+F28</f>
        <v>9117351010.1900005</v>
      </c>
      <c r="G79" s="415"/>
      <c r="H79" s="64">
        <f>SUM(H76:H78)</f>
        <v>488127102.62094182</v>
      </c>
      <c r="I79" s="68"/>
      <c r="J79" s="64">
        <f>SUM(J76:J78)</f>
        <v>12869997.735199999</v>
      </c>
      <c r="K79" s="68"/>
      <c r="L79" s="64">
        <f>SUM(L76:L78)</f>
        <v>475257104.88574183</v>
      </c>
      <c r="M79" s="68"/>
      <c r="N79" s="64">
        <f>+N28</f>
        <v>9119676120.1800003</v>
      </c>
      <c r="O79" s="68"/>
      <c r="P79" s="64">
        <f>N79-F79</f>
        <v>2325109.9899997711</v>
      </c>
      <c r="Q79" s="68"/>
      <c r="R79" s="84"/>
      <c r="S79" s="68"/>
      <c r="T79" s="64">
        <f>SUM(T76:T78)</f>
        <v>117389.36903282221</v>
      </c>
      <c r="U79" s="68"/>
      <c r="V79" s="68">
        <f>+T79-T28</f>
        <v>24432.586621178358</v>
      </c>
      <c r="W79" s="68"/>
      <c r="X79" s="68"/>
      <c r="Y79" s="68"/>
    </row>
    <row r="80" spans="1:25" ht="15" customHeight="1" x14ac:dyDescent="0.25">
      <c r="A80" s="415">
        <v>15</v>
      </c>
      <c r="B80" s="415"/>
      <c r="C80" s="432"/>
      <c r="F80" s="64"/>
      <c r="H80" s="434"/>
      <c r="I80" s="435"/>
      <c r="J80" s="434"/>
      <c r="K80" s="435"/>
      <c r="L80" s="434"/>
      <c r="M80" s="68"/>
      <c r="N80" s="68"/>
      <c r="O80" s="68"/>
      <c r="P80" s="68"/>
      <c r="Q80" s="68"/>
      <c r="R80" s="84"/>
      <c r="S80" s="68"/>
      <c r="T80" s="65"/>
      <c r="U80" s="65"/>
      <c r="V80" s="68"/>
      <c r="W80" s="68"/>
      <c r="X80" s="68"/>
      <c r="Y80" s="68"/>
    </row>
    <row r="81" spans="1:25" ht="15" customHeight="1" x14ac:dyDescent="0.2">
      <c r="A81" s="415">
        <v>16</v>
      </c>
      <c r="B81" s="415"/>
      <c r="C81" s="432"/>
      <c r="D81" s="65"/>
      <c r="E81" s="65"/>
      <c r="F81" s="64"/>
      <c r="G81" s="415"/>
      <c r="H81" s="64"/>
      <c r="I81" s="68"/>
      <c r="J81" s="64"/>
      <c r="K81" s="68"/>
      <c r="L81" s="64"/>
      <c r="M81" s="68"/>
      <c r="N81" s="68"/>
      <c r="O81" s="68"/>
      <c r="P81" s="68"/>
      <c r="Q81" s="68"/>
      <c r="R81" s="84"/>
      <c r="S81" s="68"/>
      <c r="T81" s="68"/>
      <c r="U81" s="68"/>
      <c r="V81" s="68"/>
      <c r="W81" s="68"/>
      <c r="X81" s="68"/>
      <c r="Y81" s="68"/>
    </row>
    <row r="82" spans="1:25" ht="15" customHeight="1" x14ac:dyDescent="0.2">
      <c r="A82" s="415">
        <v>17</v>
      </c>
      <c r="B82" s="415"/>
      <c r="D82" s="65"/>
      <c r="E82" s="65"/>
      <c r="F82" s="64"/>
      <c r="G82" s="415"/>
      <c r="H82" s="64"/>
      <c r="I82" s="68"/>
      <c r="J82" s="64"/>
      <c r="K82" s="68"/>
      <c r="L82" s="64"/>
      <c r="M82" s="68"/>
      <c r="N82" s="68"/>
      <c r="O82" s="68"/>
      <c r="P82" s="68"/>
      <c r="Q82" s="68"/>
      <c r="R82" s="84"/>
      <c r="S82" s="68"/>
      <c r="T82" s="68"/>
      <c r="U82" s="68"/>
      <c r="V82" s="68"/>
      <c r="W82" s="68"/>
      <c r="X82" s="68"/>
      <c r="Y82" s="68"/>
    </row>
    <row r="83" spans="1:25" ht="15" customHeight="1" x14ac:dyDescent="0.2">
      <c r="A83" s="415">
        <v>18</v>
      </c>
      <c r="B83" s="415"/>
      <c r="C83" s="432" t="s">
        <v>1467</v>
      </c>
      <c r="D83" s="65" t="s">
        <v>1460</v>
      </c>
      <c r="E83" s="65"/>
      <c r="F83" s="64" t="str">
        <f>+F32</f>
        <v xml:space="preserve"> </v>
      </c>
      <c r="G83" s="415"/>
      <c r="H83" s="64"/>
      <c r="I83" s="68"/>
      <c r="J83" s="64"/>
      <c r="K83" s="68"/>
      <c r="L83" s="64" t="s">
        <v>1434</v>
      </c>
      <c r="M83" s="68"/>
      <c r="N83" s="68"/>
      <c r="O83" s="68"/>
      <c r="P83" s="68"/>
      <c r="Q83" s="68"/>
      <c r="R83" s="84"/>
      <c r="S83" s="68"/>
      <c r="T83" s="68"/>
      <c r="U83" s="68"/>
      <c r="V83" s="68"/>
      <c r="W83" s="68"/>
      <c r="X83" s="68"/>
      <c r="Y83" s="68"/>
    </row>
    <row r="84" spans="1:25" ht="15" customHeight="1" x14ac:dyDescent="0.2">
      <c r="A84" s="415">
        <v>19</v>
      </c>
      <c r="B84" s="415"/>
      <c r="C84" s="65"/>
      <c r="D84" s="133" t="s">
        <v>1461</v>
      </c>
      <c r="E84" s="65"/>
      <c r="F84" s="64">
        <f>+F33</f>
        <v>107727525.26003531</v>
      </c>
      <c r="G84" s="415"/>
      <c r="H84" s="64">
        <f>+'2025 LS Rate Class E-13c'!S23</f>
        <v>3573046.9034759998</v>
      </c>
      <c r="I84" s="68"/>
      <c r="J84" s="64">
        <f>+'2025 LS Rate Class E-13c'!S18</f>
        <v>61129.579999999994</v>
      </c>
      <c r="K84" s="68"/>
      <c r="L84" s="64">
        <f>+H84-J84</f>
        <v>3511917.3234759998</v>
      </c>
      <c r="M84" s="68"/>
      <c r="N84" s="64">
        <f>+N33</f>
        <v>107727525.26003532</v>
      </c>
      <c r="O84" s="68"/>
      <c r="P84" s="68">
        <f t="shared" ref="P84:P86" si="11">N84-F84</f>
        <v>0</v>
      </c>
      <c r="Q84" s="68"/>
      <c r="R84" s="84">
        <f>+L84*1000/F84</f>
        <v>32.599999999989315</v>
      </c>
      <c r="S84" s="68"/>
      <c r="T84" s="65">
        <f>+P84*R84/1000</f>
        <v>0</v>
      </c>
      <c r="U84" s="65"/>
      <c r="V84" s="68"/>
      <c r="W84" s="68"/>
      <c r="X84" s="68"/>
      <c r="Y84" s="68"/>
    </row>
    <row r="85" spans="1:25" ht="15" customHeight="1" x14ac:dyDescent="0.2">
      <c r="A85" s="415">
        <v>20</v>
      </c>
      <c r="B85" s="415"/>
      <c r="C85" s="65" t="s">
        <v>1434</v>
      </c>
      <c r="D85" s="133" t="s">
        <v>1462</v>
      </c>
      <c r="E85" s="65"/>
      <c r="F85" s="75">
        <f>+F34</f>
        <v>0</v>
      </c>
      <c r="G85" s="415"/>
      <c r="H85" s="75">
        <f>+'E-13d'!S341</f>
        <v>82707820.715172112</v>
      </c>
      <c r="I85" s="68"/>
      <c r="J85" s="75">
        <f>+'E-13d'!S341</f>
        <v>82707820.715172112</v>
      </c>
      <c r="K85" s="68"/>
      <c r="L85" s="75">
        <f>+H85-J85</f>
        <v>0</v>
      </c>
      <c r="M85" s="68"/>
      <c r="N85" s="75">
        <f>+N34</f>
        <v>0</v>
      </c>
      <c r="O85" s="75"/>
      <c r="P85" s="75">
        <f t="shared" si="11"/>
        <v>0</v>
      </c>
      <c r="Q85" s="68"/>
      <c r="R85" s="84">
        <v>0</v>
      </c>
      <c r="S85" s="68"/>
      <c r="T85" s="437">
        <f>+P85*R85/1000</f>
        <v>0</v>
      </c>
      <c r="U85" s="84"/>
      <c r="V85" s="68"/>
      <c r="W85" s="68"/>
      <c r="X85" s="68"/>
      <c r="Y85" s="68"/>
    </row>
    <row r="86" spans="1:25" ht="15" customHeight="1" x14ac:dyDescent="0.2">
      <c r="A86" s="415">
        <v>21</v>
      </c>
      <c r="B86" s="415"/>
      <c r="C86" s="65" t="s">
        <v>1434</v>
      </c>
      <c r="D86" s="65"/>
      <c r="E86" s="65"/>
      <c r="F86" s="64">
        <f>+F35</f>
        <v>107727525.26003531</v>
      </c>
      <c r="G86" s="415"/>
      <c r="H86" s="64">
        <f t="shared" ref="H86" si="12">+H84+H85</f>
        <v>86280867.618648112</v>
      </c>
      <c r="I86" s="68"/>
      <c r="J86" s="64">
        <f t="shared" ref="J86" si="13">+J84+J85</f>
        <v>82768950.29517211</v>
      </c>
      <c r="K86" s="68"/>
      <c r="L86" s="64">
        <f>+L84+L85</f>
        <v>3511917.3234759998</v>
      </c>
      <c r="M86" s="68"/>
      <c r="N86" s="64">
        <f>+N35</f>
        <v>107727525.26003532</v>
      </c>
      <c r="O86" s="68"/>
      <c r="P86" s="68">
        <f t="shared" si="11"/>
        <v>0</v>
      </c>
      <c r="Q86" s="68"/>
      <c r="R86" s="84"/>
      <c r="S86" s="68"/>
      <c r="T86" s="68">
        <f>SUM(T84:T85)</f>
        <v>0</v>
      </c>
      <c r="U86" s="68"/>
      <c r="V86" s="68">
        <f>+T86-T35</f>
        <v>0</v>
      </c>
      <c r="W86" s="68"/>
      <c r="X86" s="68"/>
      <c r="Y86" s="68"/>
    </row>
    <row r="87" spans="1:25" ht="15" customHeight="1" x14ac:dyDescent="0.2">
      <c r="A87" s="415">
        <v>22</v>
      </c>
      <c r="B87" s="415"/>
      <c r="C87" s="65"/>
      <c r="D87" s="65" t="s">
        <v>1434</v>
      </c>
      <c r="E87" s="65"/>
      <c r="F87" s="415"/>
      <c r="G87" s="415"/>
      <c r="H87" s="68"/>
      <c r="I87" s="68"/>
      <c r="J87" s="68"/>
      <c r="K87" s="68"/>
      <c r="L87" s="68" t="s">
        <v>1434</v>
      </c>
      <c r="M87" s="68"/>
      <c r="N87" s="68"/>
      <c r="O87" s="68"/>
      <c r="P87" s="68"/>
      <c r="Q87" s="68"/>
      <c r="R87" s="84"/>
      <c r="S87" s="68"/>
      <c r="T87" s="68"/>
      <c r="U87" s="68"/>
      <c r="V87" s="68"/>
      <c r="W87" s="68"/>
      <c r="X87" s="68"/>
      <c r="Y87" s="68"/>
    </row>
    <row r="88" spans="1:25" ht="15" customHeight="1" x14ac:dyDescent="0.2">
      <c r="A88" s="415">
        <v>23</v>
      </c>
      <c r="B88" s="415"/>
      <c r="C88" s="65"/>
      <c r="D88" s="65"/>
      <c r="E88" s="65"/>
      <c r="F88" s="415"/>
      <c r="G88" s="415"/>
      <c r="H88" s="64"/>
      <c r="I88" s="64"/>
      <c r="J88" s="64"/>
      <c r="K88" s="64"/>
      <c r="L88" s="64"/>
      <c r="M88" s="68"/>
      <c r="N88" s="68"/>
      <c r="O88" s="68"/>
      <c r="P88" s="68"/>
      <c r="Q88" s="68"/>
      <c r="R88" s="84"/>
      <c r="S88" s="68"/>
      <c r="T88" s="68"/>
      <c r="U88" s="68"/>
      <c r="V88" s="68"/>
      <c r="W88" s="68"/>
      <c r="X88" s="68"/>
      <c r="Y88" s="68"/>
    </row>
    <row r="89" spans="1:25" ht="15" customHeight="1" x14ac:dyDescent="0.2">
      <c r="A89" s="415">
        <v>24</v>
      </c>
      <c r="B89" s="415"/>
      <c r="C89" s="65"/>
      <c r="D89" s="65" t="s">
        <v>331</v>
      </c>
      <c r="E89" s="65"/>
      <c r="F89" s="439">
        <f>+F86+F79+F71</f>
        <v>20466082889.830036</v>
      </c>
      <c r="G89" s="415"/>
      <c r="H89" s="68">
        <f>+H71+H79+H84+H85</f>
        <v>1772864052.1984589</v>
      </c>
      <c r="I89" s="68"/>
      <c r="J89" s="68">
        <f>+J71+J79+J84+J85</f>
        <v>430613744.00037211</v>
      </c>
      <c r="K89" s="68"/>
      <c r="L89" s="68">
        <f>+L71+L79+L86</f>
        <v>1342250308.1980867</v>
      </c>
      <c r="M89" s="73"/>
      <c r="N89" s="439">
        <f>+N86+N79+N71</f>
        <v>20466082889.680035</v>
      </c>
      <c r="O89" s="439"/>
      <c r="P89" s="439">
        <f t="shared" ref="P89" si="14">N89-F89</f>
        <v>-0.15000152587890625</v>
      </c>
      <c r="Q89" s="439"/>
      <c r="R89" s="84"/>
      <c r="S89" s="68"/>
      <c r="T89" s="74">
        <f>+T71+T79+T86</f>
        <v>-62881.112819141403</v>
      </c>
      <c r="U89" s="74"/>
      <c r="V89" s="68">
        <f>SUM(V71:V86)</f>
        <v>7218.0164302745688</v>
      </c>
      <c r="W89" s="68"/>
      <c r="X89" s="68"/>
      <c r="Y89" s="68"/>
    </row>
    <row r="90" spans="1:25" ht="15" customHeight="1" x14ac:dyDescent="0.2">
      <c r="A90" s="415">
        <v>25</v>
      </c>
      <c r="B90" s="415"/>
      <c r="C90" s="65"/>
      <c r="D90" s="65"/>
      <c r="E90" s="65"/>
      <c r="F90" s="415"/>
      <c r="G90" s="415"/>
      <c r="H90" s="415"/>
      <c r="I90" s="415"/>
      <c r="J90" s="439"/>
      <c r="K90" s="415"/>
      <c r="L90" s="415"/>
      <c r="M90" s="68"/>
      <c r="N90" s="64"/>
      <c r="O90" s="64"/>
      <c r="P90" s="64"/>
      <c r="Q90" s="64"/>
      <c r="R90" s="64"/>
      <c r="S90" s="64"/>
      <c r="T90" s="68"/>
      <c r="U90" s="68"/>
      <c r="V90" s="68"/>
      <c r="W90" s="68"/>
      <c r="X90" s="68"/>
      <c r="Y90" s="68"/>
    </row>
    <row r="91" spans="1:25" ht="15" customHeight="1" x14ac:dyDescent="0.2">
      <c r="A91" s="415">
        <v>26</v>
      </c>
      <c r="B91" s="415"/>
      <c r="C91" s="65"/>
      <c r="D91" s="65"/>
      <c r="E91" s="65"/>
      <c r="F91" s="415"/>
      <c r="G91" s="415"/>
      <c r="H91" s="415"/>
      <c r="I91" s="415"/>
      <c r="J91" s="415"/>
      <c r="K91" s="415"/>
      <c r="L91" s="415"/>
      <c r="M91" s="68"/>
      <c r="N91" s="64"/>
      <c r="O91" s="64"/>
      <c r="P91" s="64"/>
      <c r="Q91" s="64"/>
      <c r="R91" s="64"/>
      <c r="S91" s="64"/>
      <c r="T91" s="68"/>
      <c r="U91" s="68"/>
      <c r="V91" s="68"/>
      <c r="W91" s="68"/>
      <c r="X91" s="68"/>
      <c r="Y91" s="68"/>
    </row>
    <row r="92" spans="1:25" ht="15" customHeight="1" x14ac:dyDescent="0.2">
      <c r="A92" s="415">
        <v>27</v>
      </c>
      <c r="B92" s="415"/>
      <c r="D92" s="416"/>
      <c r="E92" s="416"/>
      <c r="L92" s="415"/>
      <c r="M92" s="68"/>
      <c r="N92" s="64"/>
      <c r="O92" s="64"/>
      <c r="P92" s="64"/>
      <c r="Q92" s="64"/>
      <c r="R92" s="64"/>
      <c r="S92" s="64"/>
      <c r="T92" s="68"/>
      <c r="U92" s="68"/>
      <c r="V92" s="68"/>
      <c r="W92" s="68"/>
      <c r="X92" s="68"/>
      <c r="Y92" s="68"/>
    </row>
    <row r="93" spans="1:25" ht="15" customHeight="1" x14ac:dyDescent="0.2">
      <c r="A93" s="415">
        <v>28</v>
      </c>
      <c r="B93" s="415"/>
      <c r="D93" s="416"/>
      <c r="E93" s="416"/>
      <c r="F93" s="415"/>
      <c r="L93" s="415"/>
      <c r="M93" s="415"/>
      <c r="N93" s="415"/>
      <c r="O93" s="415"/>
      <c r="P93" s="415"/>
      <c r="Q93" s="415"/>
      <c r="R93" s="415"/>
      <c r="S93" s="415"/>
      <c r="T93" s="415"/>
      <c r="U93" s="415"/>
      <c r="V93" s="68"/>
      <c r="W93" s="68"/>
      <c r="X93" s="68"/>
      <c r="Y93" s="68"/>
    </row>
    <row r="94" spans="1:25" ht="15" customHeight="1" x14ac:dyDescent="0.2">
      <c r="A94" s="415">
        <v>29</v>
      </c>
      <c r="B94" s="415"/>
      <c r="D94" s="416"/>
      <c r="E94" s="416"/>
      <c r="F94" s="415"/>
      <c r="L94" s="415"/>
      <c r="M94" s="415"/>
      <c r="N94" s="415"/>
      <c r="O94" s="415"/>
      <c r="P94" s="415"/>
      <c r="Q94" s="415"/>
      <c r="R94" s="415"/>
      <c r="S94" s="415"/>
      <c r="T94" s="415"/>
      <c r="U94" s="415"/>
      <c r="V94" s="68"/>
      <c r="W94" s="68"/>
      <c r="X94" s="68"/>
      <c r="Y94" s="68"/>
    </row>
    <row r="95" spans="1:25" ht="15" customHeight="1" x14ac:dyDescent="0.2">
      <c r="A95" s="415">
        <v>30</v>
      </c>
      <c r="B95" s="415"/>
      <c r="D95" s="416"/>
      <c r="E95" s="416"/>
      <c r="F95" s="415"/>
      <c r="L95" s="68"/>
      <c r="M95" s="68"/>
      <c r="N95" s="68"/>
      <c r="O95" s="68"/>
      <c r="R95" s="440"/>
      <c r="S95" s="440"/>
      <c r="T95" s="418"/>
      <c r="U95" s="418"/>
      <c r="V95" s="68"/>
      <c r="W95" s="68"/>
      <c r="X95" s="68"/>
      <c r="Y95" s="68"/>
    </row>
    <row r="96" spans="1:25" ht="15" customHeight="1" x14ac:dyDescent="0.2">
      <c r="A96" s="415">
        <v>31</v>
      </c>
      <c r="B96" s="415"/>
      <c r="D96" s="416"/>
      <c r="E96" s="416"/>
      <c r="F96" s="415"/>
      <c r="M96" s="68"/>
      <c r="N96" s="64"/>
      <c r="O96" s="64"/>
      <c r="P96" s="64"/>
      <c r="Q96" s="64"/>
      <c r="R96" s="64"/>
      <c r="S96" s="64"/>
      <c r="T96" s="68"/>
      <c r="U96" s="68"/>
      <c r="V96" s="68"/>
      <c r="W96" s="68"/>
      <c r="X96" s="68"/>
      <c r="Y96" s="68"/>
    </row>
    <row r="97" spans="1:25" ht="15" customHeight="1" x14ac:dyDescent="0.2">
      <c r="A97" s="415">
        <v>32</v>
      </c>
      <c r="B97" s="415"/>
      <c r="C97" s="65"/>
      <c r="D97" s="65"/>
      <c r="E97" s="65"/>
      <c r="F97" s="415"/>
      <c r="G97" s="415"/>
      <c r="H97" s="415"/>
      <c r="I97" s="415"/>
      <c r="J97" s="415"/>
      <c r="K97" s="415"/>
      <c r="L97" s="415"/>
      <c r="M97" s="68"/>
      <c r="N97" s="64"/>
      <c r="O97" s="64"/>
      <c r="P97" s="64"/>
      <c r="Q97" s="64"/>
      <c r="R97" s="64"/>
      <c r="S97" s="64"/>
      <c r="T97" s="68"/>
      <c r="U97" s="68"/>
      <c r="V97" s="68"/>
      <c r="W97" s="68"/>
      <c r="X97" s="68"/>
      <c r="Y97" s="68"/>
    </row>
    <row r="98" spans="1:25" ht="15" customHeight="1" x14ac:dyDescent="0.2">
      <c r="A98" s="415">
        <v>33</v>
      </c>
      <c r="B98" s="415"/>
      <c r="C98" s="65"/>
      <c r="D98" s="65"/>
      <c r="E98" s="65"/>
      <c r="F98" s="415"/>
      <c r="G98" s="415"/>
      <c r="H98" s="415"/>
      <c r="I98" s="415"/>
      <c r="J98" s="415"/>
      <c r="K98" s="415"/>
      <c r="L98" s="415"/>
      <c r="M98" s="68"/>
      <c r="N98" s="64"/>
      <c r="O98" s="64"/>
      <c r="P98" s="64"/>
      <c r="Q98" s="64"/>
      <c r="R98" s="64"/>
      <c r="S98" s="64"/>
      <c r="T98" s="68"/>
      <c r="U98" s="68"/>
      <c r="V98" s="68"/>
      <c r="W98" s="68"/>
      <c r="X98" s="68"/>
      <c r="Y98" s="68"/>
    </row>
    <row r="99" spans="1:25" ht="15" customHeight="1" x14ac:dyDescent="0.2">
      <c r="A99" s="415">
        <v>34</v>
      </c>
      <c r="B99" s="415"/>
      <c r="C99" s="65"/>
      <c r="D99" s="65"/>
      <c r="E99" s="65"/>
      <c r="F99" s="415"/>
      <c r="G99" s="415"/>
      <c r="H99" s="415"/>
      <c r="I99" s="415"/>
      <c r="J99" s="415"/>
      <c r="K99" s="415"/>
      <c r="L99" s="415"/>
      <c r="M99" s="68"/>
      <c r="N99" s="64"/>
      <c r="O99" s="64"/>
      <c r="P99" s="64"/>
      <c r="Q99" s="64"/>
      <c r="R99" s="64"/>
      <c r="S99" s="64"/>
      <c r="T99" s="68"/>
      <c r="U99" s="68"/>
      <c r="V99" s="68"/>
      <c r="W99" s="68"/>
      <c r="X99" s="68"/>
      <c r="Y99" s="68"/>
    </row>
    <row r="100" spans="1:25" ht="15" customHeight="1" x14ac:dyDescent="0.2">
      <c r="A100" s="415">
        <v>35</v>
      </c>
      <c r="B100" s="415"/>
      <c r="C100" s="65"/>
      <c r="D100" s="65"/>
      <c r="E100" s="65"/>
      <c r="F100" s="415"/>
      <c r="G100" s="415"/>
      <c r="H100" s="415"/>
      <c r="I100" s="415"/>
      <c r="J100" s="415"/>
      <c r="K100" s="415"/>
      <c r="L100" s="415"/>
      <c r="M100" s="68"/>
      <c r="N100" s="64"/>
      <c r="O100" s="64"/>
      <c r="P100" s="64"/>
      <c r="Q100" s="64"/>
      <c r="R100" s="64"/>
      <c r="S100" s="64"/>
      <c r="T100" s="68"/>
      <c r="U100" s="68"/>
      <c r="V100" s="68"/>
      <c r="W100" s="68"/>
      <c r="X100" s="68"/>
      <c r="Y100" s="68"/>
    </row>
    <row r="101" spans="1:25" ht="15" customHeight="1" thickBot="1" x14ac:dyDescent="0.25">
      <c r="A101" s="413">
        <v>36</v>
      </c>
      <c r="B101" s="413"/>
      <c r="C101" s="413"/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</row>
    <row r="102" spans="1:25" ht="15" customHeight="1" x14ac:dyDescent="0.2">
      <c r="A102" s="415" t="s">
        <v>1463</v>
      </c>
      <c r="B102" s="415"/>
      <c r="C102" s="415"/>
      <c r="D102" s="415"/>
      <c r="E102" s="415"/>
      <c r="F102" s="415"/>
      <c r="G102" s="415"/>
      <c r="H102" s="415"/>
      <c r="I102" s="415"/>
      <c r="J102" s="415"/>
      <c r="K102" s="415"/>
      <c r="L102" s="415"/>
      <c r="M102" s="415"/>
      <c r="N102" s="415"/>
      <c r="O102" s="415"/>
      <c r="P102" s="415"/>
      <c r="Q102" s="415"/>
      <c r="R102" s="415"/>
      <c r="S102" s="415"/>
      <c r="T102" s="415"/>
      <c r="U102" s="415"/>
      <c r="V102" s="415"/>
      <c r="W102" s="415" t="s">
        <v>1003</v>
      </c>
      <c r="X102" s="415"/>
      <c r="Y102" s="415"/>
    </row>
  </sheetData>
  <mergeCells count="3">
    <mergeCell ref="A7:Y7"/>
    <mergeCell ref="A58:Y58"/>
    <mergeCell ref="AB13:AG13"/>
  </mergeCells>
  <pageMargins left="1" right="0" top="1" bottom="0" header="0" footer="0"/>
  <pageSetup scale="65" fitToHeight="0" orientation="landscape" r:id="rId1"/>
  <rowBreaks count="1" manualBreakCount="1">
    <brk id="51" max="24" man="1"/>
  </rowBreaks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D3EC-A01A-4EC4-9EBD-9F101D406667}">
  <sheetPr>
    <pageSetUpPr fitToPage="1"/>
  </sheetPr>
  <dimension ref="A1:X69"/>
  <sheetViews>
    <sheetView topLeftCell="A3" zoomScale="140" zoomScaleNormal="140" workbookViewId="0">
      <selection activeCell="A3" sqref="A3"/>
    </sheetView>
  </sheetViews>
  <sheetFormatPr defaultColWidth="9.140625" defaultRowHeight="14.1" customHeight="1" x14ac:dyDescent="0.2"/>
  <cols>
    <col min="1" max="1" width="3.5703125" style="395" customWidth="1"/>
    <col min="2" max="2" width="6.85546875" style="395" bestFit="1" customWidth="1"/>
    <col min="3" max="4" width="9.5703125" style="395" customWidth="1"/>
    <col min="5" max="5" width="13.5703125" style="395" customWidth="1"/>
    <col min="6" max="7" width="12" style="395" bestFit="1" customWidth="1"/>
    <col min="8" max="8" width="7" style="395" customWidth="1"/>
    <col min="9" max="9" width="12" style="395" bestFit="1" customWidth="1"/>
    <col min="10" max="10" width="8.140625" style="395" customWidth="1"/>
    <col min="11" max="11" width="12" style="395" bestFit="1" customWidth="1"/>
    <col min="12" max="12" width="11.7109375" style="395" customWidth="1"/>
    <col min="13" max="13" width="9.85546875" style="395" customWidth="1"/>
    <col min="14" max="14" width="9.42578125" style="395" customWidth="1"/>
    <col min="15" max="15" width="8.85546875" style="395" customWidth="1"/>
    <col min="16" max="16" width="9.5703125" style="395" customWidth="1"/>
    <col min="17" max="17" width="28.28515625" style="395" bestFit="1" customWidth="1"/>
    <col min="18" max="18" width="14.140625" style="395" bestFit="1" customWidth="1"/>
    <col min="19" max="19" width="9.5703125" style="395" customWidth="1"/>
    <col min="20" max="20" width="15" style="395" bestFit="1" customWidth="1"/>
    <col min="21" max="16384" width="9.140625" style="395"/>
  </cols>
  <sheetData>
    <row r="1" spans="1:24" ht="14.1" hidden="1" customHeight="1" x14ac:dyDescent="0.2">
      <c r="C1" s="395">
        <v>2</v>
      </c>
      <c r="F1" s="395">
        <v>3</v>
      </c>
      <c r="G1" s="395">
        <v>4</v>
      </c>
      <c r="H1" s="395">
        <v>5</v>
      </c>
      <c r="I1" s="395">
        <v>6</v>
      </c>
      <c r="L1" s="395">
        <v>7</v>
      </c>
      <c r="M1" s="395">
        <v>9</v>
      </c>
      <c r="N1" s="395">
        <v>10</v>
      </c>
      <c r="O1" s="395">
        <v>13</v>
      </c>
      <c r="P1" s="395">
        <v>14</v>
      </c>
      <c r="Q1" s="395">
        <v>15</v>
      </c>
      <c r="R1" s="395">
        <v>17</v>
      </c>
    </row>
    <row r="2" spans="1:24" ht="14.1" hidden="1" customHeight="1" x14ac:dyDescent="0.2">
      <c r="R2" s="395">
        <v>1</v>
      </c>
    </row>
    <row r="3" spans="1:24" ht="14.1" customHeight="1" x14ac:dyDescent="0.2">
      <c r="H3" s="590"/>
      <c r="I3" s="590"/>
      <c r="J3" s="590"/>
      <c r="K3" s="590"/>
      <c r="L3" s="590"/>
    </row>
    <row r="4" spans="1:24" ht="14.1" customHeight="1" thickBot="1" x14ac:dyDescent="0.25">
      <c r="A4" s="396" t="s">
        <v>845</v>
      </c>
      <c r="B4" s="396"/>
      <c r="C4" s="396"/>
      <c r="D4" s="396"/>
      <c r="E4" s="396"/>
      <c r="F4" s="396"/>
      <c r="G4" s="396"/>
      <c r="H4" s="396" t="s">
        <v>846</v>
      </c>
      <c r="I4" s="396"/>
      <c r="J4" s="396"/>
      <c r="K4" s="396"/>
      <c r="L4" s="396"/>
      <c r="M4" s="396"/>
      <c r="N4" s="396"/>
      <c r="O4" s="396"/>
      <c r="P4" s="396"/>
      <c r="Q4" s="396"/>
      <c r="R4" s="396" t="str">
        <f>"Page 1 of " &amp; R$2</f>
        <v>Page 1 of 1</v>
      </c>
    </row>
    <row r="5" spans="1:24" ht="14.1" customHeight="1" x14ac:dyDescent="0.2">
      <c r="A5" s="395" t="s">
        <v>307</v>
      </c>
      <c r="F5" s="395" t="s">
        <v>308</v>
      </c>
      <c r="H5" s="233" t="s">
        <v>939</v>
      </c>
      <c r="M5" s="397"/>
      <c r="O5" s="397" t="s">
        <v>847</v>
      </c>
      <c r="R5" s="398"/>
      <c r="S5" s="398"/>
    </row>
    <row r="6" spans="1:24" ht="14.1" customHeight="1" x14ac:dyDescent="0.2">
      <c r="H6" s="233" t="s">
        <v>940</v>
      </c>
      <c r="M6" s="398"/>
      <c r="O6" s="399"/>
      <c r="P6" s="311" t="s">
        <v>919</v>
      </c>
      <c r="Q6" s="310" t="s">
        <v>920</v>
      </c>
      <c r="R6" s="233"/>
      <c r="S6" s="398"/>
    </row>
    <row r="7" spans="1:24" ht="14.1" customHeight="1" x14ac:dyDescent="0.2">
      <c r="A7" s="395" t="s">
        <v>310</v>
      </c>
      <c r="H7" s="233" t="s">
        <v>941</v>
      </c>
      <c r="M7" s="398"/>
      <c r="N7" s="399"/>
      <c r="O7" s="399"/>
      <c r="P7" s="311"/>
      <c r="Q7" s="310" t="s">
        <v>937</v>
      </c>
      <c r="R7" s="233"/>
      <c r="S7" s="398"/>
    </row>
    <row r="8" spans="1:24" ht="14.1" customHeight="1" x14ac:dyDescent="0.2">
      <c r="H8" s="233" t="s">
        <v>942</v>
      </c>
      <c r="M8" s="398"/>
      <c r="N8" s="399"/>
      <c r="O8" s="399"/>
      <c r="P8" s="311"/>
      <c r="Q8" s="310" t="s">
        <v>938</v>
      </c>
      <c r="R8" s="233"/>
      <c r="S8" s="398"/>
    </row>
    <row r="9" spans="1:24" ht="14.1" customHeight="1" thickBot="1" x14ac:dyDescent="0.25">
      <c r="A9" s="396" t="s">
        <v>1642</v>
      </c>
      <c r="B9" s="396"/>
      <c r="C9" s="396"/>
      <c r="D9" s="396"/>
      <c r="E9" s="396"/>
      <c r="F9" s="396"/>
      <c r="G9" s="396"/>
      <c r="H9" s="396"/>
      <c r="I9" s="400"/>
      <c r="J9" s="400"/>
      <c r="K9" s="396"/>
      <c r="L9" s="396"/>
      <c r="M9" s="396"/>
      <c r="N9" s="396"/>
      <c r="O9" s="396"/>
      <c r="P9" s="396"/>
      <c r="Q9" s="396" t="s">
        <v>311</v>
      </c>
      <c r="R9" s="396"/>
    </row>
    <row r="10" spans="1:24" ht="14.1" customHeight="1" x14ac:dyDescent="0.2">
      <c r="C10" s="401"/>
      <c r="D10" s="401"/>
      <c r="E10" s="401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</row>
    <row r="11" spans="1:24" ht="14.1" customHeight="1" x14ac:dyDescent="0.2">
      <c r="B11" s="402"/>
      <c r="C11" s="402"/>
      <c r="D11" s="401"/>
      <c r="E11" s="401"/>
      <c r="F11" s="401"/>
      <c r="G11" s="401" t="s">
        <v>848</v>
      </c>
      <c r="I11" s="401" t="s">
        <v>849</v>
      </c>
      <c r="L11" s="401" t="s">
        <v>850</v>
      </c>
      <c r="M11" s="401" t="s">
        <v>851</v>
      </c>
      <c r="O11" s="401"/>
    </row>
    <row r="12" spans="1:24" ht="14.1" customHeight="1" x14ac:dyDescent="0.2">
      <c r="B12" s="402"/>
      <c r="C12" s="402"/>
      <c r="D12" s="401"/>
      <c r="E12" s="401"/>
      <c r="F12" s="401"/>
      <c r="G12" s="401" t="s">
        <v>852</v>
      </c>
      <c r="I12" s="402" t="s">
        <v>852</v>
      </c>
      <c r="L12" s="402"/>
      <c r="M12" s="401"/>
      <c r="N12" s="401"/>
      <c r="O12" s="401"/>
    </row>
    <row r="13" spans="1:24" ht="14.1" customHeight="1" x14ac:dyDescent="0.2">
      <c r="B13" s="402"/>
      <c r="C13" s="402"/>
      <c r="G13" s="402" t="s">
        <v>853</v>
      </c>
      <c r="I13" s="402" t="s">
        <v>853</v>
      </c>
      <c r="L13" s="574"/>
      <c r="M13" s="574"/>
      <c r="O13" s="402"/>
    </row>
    <row r="14" spans="1:24" ht="14.1" customHeight="1" x14ac:dyDescent="0.2">
      <c r="A14" s="395" t="s">
        <v>314</v>
      </c>
      <c r="B14" s="402"/>
      <c r="C14" s="402"/>
      <c r="D14" s="402"/>
      <c r="G14" s="402" t="s">
        <v>854</v>
      </c>
      <c r="I14" s="402" t="s">
        <v>855</v>
      </c>
      <c r="L14" s="401" t="s">
        <v>856</v>
      </c>
      <c r="M14" s="402" t="s">
        <v>857</v>
      </c>
      <c r="O14" s="402"/>
    </row>
    <row r="15" spans="1:24" ht="14.1" customHeight="1" thickBot="1" x14ac:dyDescent="0.25">
      <c r="A15" s="396" t="s">
        <v>320</v>
      </c>
      <c r="B15" s="400"/>
      <c r="C15" s="400" t="s">
        <v>858</v>
      </c>
      <c r="D15" s="400"/>
      <c r="E15" s="396"/>
      <c r="F15" s="396"/>
      <c r="G15" s="400" t="s">
        <v>859</v>
      </c>
      <c r="H15" s="396"/>
      <c r="I15" s="400" t="s">
        <v>859</v>
      </c>
      <c r="J15" s="396"/>
      <c r="K15" s="396"/>
      <c r="L15" s="403" t="s">
        <v>860</v>
      </c>
      <c r="M15" s="400" t="s">
        <v>861</v>
      </c>
      <c r="N15" s="396"/>
      <c r="O15" s="403"/>
      <c r="P15" s="403"/>
      <c r="Q15" s="403"/>
      <c r="R15" s="403"/>
      <c r="S15" s="64"/>
      <c r="T15" s="404"/>
      <c r="U15" s="404"/>
    </row>
    <row r="16" spans="1:24" ht="14.1" customHeight="1" x14ac:dyDescent="0.2">
      <c r="A16" s="395">
        <v>1</v>
      </c>
      <c r="B16" s="65"/>
      <c r="C16" s="134" t="s">
        <v>862</v>
      </c>
      <c r="D16" s="65"/>
      <c r="G16" s="64">
        <f>+'2025 RS Rate Class E-13c'!L39</f>
        <v>920603768.16112351</v>
      </c>
      <c r="H16" s="64"/>
      <c r="I16" s="64">
        <f>+'2025 RS Rate Class E-13c'!S39</f>
        <v>1099875972.000026</v>
      </c>
      <c r="J16" s="64"/>
      <c r="K16" s="404"/>
      <c r="L16" s="64">
        <f>+I16-G16</f>
        <v>179272203.83890247</v>
      </c>
      <c r="M16" s="66">
        <f t="shared" ref="M16:M24" si="0">+L16/G16</f>
        <v>0.19473329356123856</v>
      </c>
      <c r="O16" s="65"/>
      <c r="P16" s="405"/>
      <c r="S16" s="64"/>
      <c r="T16" s="67"/>
      <c r="U16" s="67"/>
      <c r="W16" s="67"/>
      <c r="X16" s="64"/>
    </row>
    <row r="17" spans="1:24" ht="14.1" customHeight="1" x14ac:dyDescent="0.2">
      <c r="A17" s="395">
        <v>2</v>
      </c>
      <c r="B17" s="65"/>
      <c r="C17" s="134" t="s">
        <v>863</v>
      </c>
      <c r="G17" s="64">
        <f>+'2025 GS Rate Class E-13c'!L41</f>
        <v>93102965.761440501</v>
      </c>
      <c r="I17" s="64">
        <f>+'2025 GS Rate Class E-13c'!S41</f>
        <v>96469501.680177778</v>
      </c>
      <c r="K17" s="404"/>
      <c r="L17" s="64">
        <f t="shared" ref="L17:L27" si="1">+I17-G17</f>
        <v>3366535.9187372774</v>
      </c>
      <c r="M17" s="66">
        <f t="shared" si="0"/>
        <v>3.6159276895253972E-2</v>
      </c>
      <c r="O17" s="64"/>
      <c r="P17" s="405"/>
      <c r="S17" s="64"/>
      <c r="T17" s="67"/>
      <c r="U17" s="67"/>
      <c r="W17" s="67"/>
      <c r="X17" s="64"/>
    </row>
    <row r="18" spans="1:24" ht="14.1" customHeight="1" x14ac:dyDescent="0.2">
      <c r="A18" s="395">
        <v>3</v>
      </c>
      <c r="B18" s="65"/>
      <c r="C18" s="134" t="s">
        <v>360</v>
      </c>
      <c r="G18" s="64">
        <f>+'2025 GS Rate Class E-13c'!L82</f>
        <v>2111966.4383999999</v>
      </c>
      <c r="I18" s="64">
        <f>+'2025 GS Rate Class E-13c'!S82</f>
        <v>2745423.8309827889</v>
      </c>
      <c r="K18" s="404"/>
      <c r="L18" s="64">
        <f t="shared" si="1"/>
        <v>633457.39258278906</v>
      </c>
      <c r="M18" s="66">
        <f t="shared" si="0"/>
        <v>0.29993724382414366</v>
      </c>
      <c r="O18" s="64"/>
      <c r="P18" s="405"/>
      <c r="S18" s="64"/>
      <c r="T18" s="67"/>
      <c r="U18" s="67"/>
      <c r="W18" s="67"/>
      <c r="X18" s="64"/>
    </row>
    <row r="19" spans="1:24" ht="14.1" customHeight="1" x14ac:dyDescent="0.2">
      <c r="A19" s="395">
        <v>4</v>
      </c>
      <c r="B19" s="65"/>
      <c r="C19" s="134" t="s">
        <v>719</v>
      </c>
      <c r="G19" s="64">
        <f>+'2025 GSD Rate Class E-13c'!M107</f>
        <v>284150739.0395419</v>
      </c>
      <c r="I19" s="64">
        <f>+'2025 GSD Rate Class E-13c'!T107</f>
        <v>379683305.68412602</v>
      </c>
      <c r="K19" s="404"/>
      <c r="L19" s="64">
        <f t="shared" si="1"/>
        <v>95532566.644584119</v>
      </c>
      <c r="M19" s="66">
        <f t="shared" si="0"/>
        <v>0.33620382958528916</v>
      </c>
      <c r="O19" s="68"/>
      <c r="P19" s="405"/>
      <c r="S19" s="64"/>
      <c r="T19" s="67"/>
      <c r="U19" s="67"/>
      <c r="W19" s="67"/>
      <c r="X19" s="64"/>
    </row>
    <row r="20" spans="1:24" ht="14.1" customHeight="1" x14ac:dyDescent="0.2">
      <c r="A20" s="395">
        <v>5</v>
      </c>
      <c r="B20" s="65"/>
      <c r="C20" s="134" t="s">
        <v>717</v>
      </c>
      <c r="G20" s="64">
        <f>+'2025 GSD Rate Class E-13c'!M162</f>
        <v>26331651.9118324</v>
      </c>
      <c r="H20" s="405"/>
      <c r="I20" s="64">
        <f>+'2025 GSD Rate Class E-13c'!T162</f>
        <v>31393957.315866973</v>
      </c>
      <c r="J20" s="405"/>
      <c r="K20" s="404"/>
      <c r="L20" s="64">
        <f t="shared" si="1"/>
        <v>5062305.4040345736</v>
      </c>
      <c r="M20" s="66">
        <f t="shared" si="0"/>
        <v>0.19225172127388537</v>
      </c>
      <c r="O20" s="68"/>
      <c r="P20" s="405"/>
      <c r="S20" s="64"/>
      <c r="T20" s="67"/>
      <c r="U20" s="67"/>
      <c r="W20" s="67"/>
      <c r="X20" s="64"/>
    </row>
    <row r="21" spans="1:24" ht="14.1" customHeight="1" x14ac:dyDescent="0.2">
      <c r="A21" s="395">
        <v>6</v>
      </c>
      <c r="B21" s="65"/>
      <c r="C21" s="134" t="s">
        <v>864</v>
      </c>
      <c r="G21" s="64">
        <f>+'2025 GSLDPR Rate Class E-13c'!L54</f>
        <v>43471400.1163681</v>
      </c>
      <c r="I21" s="64">
        <f>+'2025 GSLDPR Rate Class E-13c'!S54</f>
        <v>46922798.120486401</v>
      </c>
      <c r="K21" s="404"/>
      <c r="L21" s="64">
        <f t="shared" si="1"/>
        <v>3451398.004118301</v>
      </c>
      <c r="M21" s="66">
        <f t="shared" si="0"/>
        <v>7.9394682363100627E-2</v>
      </c>
      <c r="O21" s="68"/>
      <c r="P21" s="405"/>
      <c r="Q21" s="405"/>
      <c r="S21" s="64"/>
      <c r="T21" s="67"/>
      <c r="U21" s="67"/>
      <c r="W21" s="67"/>
      <c r="X21" s="64"/>
    </row>
    <row r="22" spans="1:24" ht="14.1" customHeight="1" x14ac:dyDescent="0.2">
      <c r="A22" s="395">
        <v>7</v>
      </c>
      <c r="B22" s="65"/>
      <c r="C22" s="134" t="s">
        <v>865</v>
      </c>
      <c r="G22" s="64">
        <f>+'2025 GSLDSU Rate Class E-13c'!L50</f>
        <v>7728166.3573518004</v>
      </c>
      <c r="I22" s="64">
        <f>+'2025 GSLDSU Rate Class E-13c'!S50</f>
        <v>9682339.4317928161</v>
      </c>
      <c r="K22" s="404"/>
      <c r="L22" s="64">
        <f t="shared" si="1"/>
        <v>1954173.0744410157</v>
      </c>
      <c r="M22" s="66">
        <f t="shared" si="0"/>
        <v>0.25286374336158174</v>
      </c>
      <c r="O22" s="68"/>
      <c r="P22" s="405"/>
      <c r="S22" s="64"/>
      <c r="T22" s="67"/>
      <c r="U22" s="67"/>
      <c r="W22" s="67"/>
      <c r="X22" s="64"/>
    </row>
    <row r="23" spans="1:24" ht="14.1" customHeight="1" x14ac:dyDescent="0.2">
      <c r="A23" s="395">
        <v>8</v>
      </c>
      <c r="B23" s="65"/>
      <c r="C23" s="134" t="s">
        <v>866</v>
      </c>
      <c r="G23" s="64">
        <f>+'2025 GSD Rate Class E-13c'!M361</f>
        <v>0</v>
      </c>
      <c r="I23" s="64">
        <f>+'2025 GSD Rate Class E-13c'!T361</f>
        <v>0</v>
      </c>
      <c r="L23" s="64">
        <f t="shared" si="1"/>
        <v>0</v>
      </c>
      <c r="M23" s="66">
        <v>0</v>
      </c>
      <c r="O23" s="68"/>
      <c r="P23" s="405"/>
      <c r="Q23" s="405"/>
      <c r="S23" s="64"/>
      <c r="T23" s="67"/>
      <c r="U23" s="67"/>
      <c r="W23" s="67"/>
      <c r="X23" s="64"/>
    </row>
    <row r="24" spans="1:24" ht="14.1" customHeight="1" x14ac:dyDescent="0.2">
      <c r="A24" s="395">
        <v>9</v>
      </c>
      <c r="B24" s="65"/>
      <c r="C24" s="395" t="s">
        <v>745</v>
      </c>
      <c r="G24" s="64">
        <f>+'2025 GSLDPR Rate Class E-13c'!L144</f>
        <v>878409.37235999992</v>
      </c>
      <c r="I24" s="64">
        <f>+'2025 GSLDPR Rate Class E-13c'!S144</f>
        <v>980135.35039354255</v>
      </c>
      <c r="L24" s="64">
        <f t="shared" si="1"/>
        <v>101725.97803354263</v>
      </c>
      <c r="M24" s="66">
        <f t="shared" si="0"/>
        <v>0.11580702714981064</v>
      </c>
      <c r="O24" s="68"/>
      <c r="P24" s="405"/>
      <c r="S24" s="64"/>
      <c r="T24" s="67"/>
      <c r="U24" s="67"/>
      <c r="W24" s="67"/>
      <c r="X24" s="64"/>
    </row>
    <row r="25" spans="1:24" ht="14.1" customHeight="1" x14ac:dyDescent="0.2">
      <c r="A25" s="395">
        <v>10</v>
      </c>
      <c r="B25" s="65"/>
      <c r="C25" s="395" t="s">
        <v>768</v>
      </c>
      <c r="G25" s="64">
        <f>+'2025 GSLDSU Rate Class E-13c'!L138</f>
        <v>16066599.458980002</v>
      </c>
      <c r="I25" s="64">
        <f>+'2025 GSLDSU Rate Class E-13c'!S138</f>
        <v>20317963.568205833</v>
      </c>
      <c r="L25" s="64">
        <f t="shared" si="1"/>
        <v>4251364.1092258319</v>
      </c>
      <c r="M25" s="66">
        <f>+L25/G25</f>
        <v>0.26460883151285908</v>
      </c>
      <c r="O25" s="68"/>
      <c r="P25" s="405"/>
      <c r="Q25" s="405"/>
      <c r="S25" s="64"/>
      <c r="T25" s="67"/>
      <c r="U25" s="67"/>
      <c r="W25" s="67"/>
      <c r="X25" s="64"/>
    </row>
    <row r="26" spans="1:24" ht="14.1" customHeight="1" x14ac:dyDescent="0.2">
      <c r="A26" s="395">
        <v>11</v>
      </c>
      <c r="B26" s="65"/>
      <c r="C26" s="395" t="s">
        <v>867</v>
      </c>
      <c r="G26" s="64">
        <f>+'2025 LS Rate Class E-13c'!L23</f>
        <v>3573046.9034771509</v>
      </c>
      <c r="I26" s="64">
        <f>+'2025 LS Rate Class E-13c'!S23</f>
        <v>3573046.9034759998</v>
      </c>
      <c r="L26" s="64">
        <f t="shared" si="1"/>
        <v>-1.1511147022247314E-6</v>
      </c>
      <c r="M26" s="66">
        <f>+L26/G26</f>
        <v>-3.2216613252529967E-13</v>
      </c>
      <c r="O26" s="68"/>
      <c r="S26" s="64"/>
      <c r="T26" s="67"/>
      <c r="U26" s="67"/>
      <c r="W26" s="67"/>
      <c r="X26" s="64"/>
    </row>
    <row r="27" spans="1:24" ht="14.1" customHeight="1" thickBot="1" x14ac:dyDescent="0.25">
      <c r="A27" s="395">
        <v>12</v>
      </c>
      <c r="B27" s="65"/>
      <c r="C27" s="395" t="s">
        <v>1604</v>
      </c>
      <c r="G27" s="406">
        <f>+'E-13d'!N341</f>
        <v>82707820.715172112</v>
      </c>
      <c r="I27" s="406">
        <f>+'E-13d'!S341</f>
        <v>82707820.715172112</v>
      </c>
      <c r="L27" s="64">
        <f t="shared" si="1"/>
        <v>0</v>
      </c>
      <c r="M27" s="66">
        <f>+L27/G27</f>
        <v>0</v>
      </c>
      <c r="N27" s="396"/>
      <c r="O27" s="403"/>
      <c r="P27" s="403"/>
      <c r="Q27" s="403"/>
      <c r="R27" s="403"/>
      <c r="S27" s="64"/>
      <c r="T27" s="67"/>
      <c r="U27" s="67"/>
      <c r="W27" s="67"/>
      <c r="X27" s="64"/>
    </row>
    <row r="28" spans="1:24" ht="14.1" customHeight="1" x14ac:dyDescent="0.2">
      <c r="A28" s="395">
        <v>13</v>
      </c>
      <c r="B28" s="65"/>
      <c r="C28" s="407" t="s">
        <v>336</v>
      </c>
      <c r="D28" s="407"/>
      <c r="E28" s="407"/>
      <c r="F28" s="407"/>
      <c r="G28" s="69">
        <f>+SUM(G16:G27)</f>
        <v>1480726534.2360475</v>
      </c>
      <c r="H28" s="407"/>
      <c r="I28" s="69">
        <f>+SUM(I16:I27)</f>
        <v>1774352264.6007061</v>
      </c>
      <c r="J28" s="407"/>
      <c r="K28" s="407"/>
      <c r="L28" s="69">
        <f>SUM(L16:L27)</f>
        <v>293625730.36465877</v>
      </c>
      <c r="M28" s="70">
        <f>+L28/G28</f>
        <v>0.19829841876653431</v>
      </c>
      <c r="O28" s="68"/>
      <c r="S28" s="64"/>
      <c r="T28" s="67"/>
      <c r="U28" s="67"/>
      <c r="W28" s="67"/>
      <c r="X28" s="64"/>
    </row>
    <row r="29" spans="1:24" ht="14.1" customHeight="1" x14ac:dyDescent="0.2">
      <c r="A29" s="395">
        <v>14</v>
      </c>
      <c r="B29" s="65"/>
      <c r="O29" s="68"/>
      <c r="P29" s="405"/>
      <c r="Q29" s="405"/>
      <c r="R29" s="405"/>
      <c r="S29" s="64"/>
      <c r="T29" s="67"/>
      <c r="U29" s="67"/>
      <c r="W29" s="67"/>
      <c r="X29" s="64"/>
    </row>
    <row r="30" spans="1:24" ht="14.1" customHeight="1" x14ac:dyDescent="0.2">
      <c r="A30" s="395">
        <v>15</v>
      </c>
      <c r="B30" s="65"/>
      <c r="O30" s="68"/>
      <c r="S30" s="64"/>
      <c r="T30" s="67"/>
      <c r="U30" s="67"/>
      <c r="W30" s="67"/>
      <c r="X30" s="64"/>
    </row>
    <row r="31" spans="1:24" ht="14.1" customHeight="1" x14ac:dyDescent="0.2">
      <c r="A31" s="395">
        <v>16</v>
      </c>
      <c r="B31" s="65"/>
      <c r="F31" s="64"/>
      <c r="I31" s="405"/>
      <c r="O31" s="68"/>
      <c r="S31" s="64"/>
      <c r="T31" s="67"/>
      <c r="U31" s="67"/>
      <c r="W31" s="67"/>
      <c r="X31" s="64"/>
    </row>
    <row r="32" spans="1:24" ht="14.1" customHeight="1" x14ac:dyDescent="0.2">
      <c r="A32" s="395">
        <v>17</v>
      </c>
      <c r="B32" s="65"/>
      <c r="G32" s="408"/>
      <c r="O32" s="68"/>
      <c r="Q32" s="405"/>
      <c r="S32" s="64"/>
      <c r="T32" s="67"/>
      <c r="U32" s="67"/>
      <c r="W32" s="67"/>
      <c r="X32" s="64"/>
    </row>
    <row r="33" spans="1:24" ht="14.1" customHeight="1" x14ac:dyDescent="0.2">
      <c r="A33" s="395">
        <v>18</v>
      </c>
      <c r="B33" s="65"/>
      <c r="O33" s="68"/>
      <c r="S33" s="64"/>
      <c r="T33" s="67"/>
      <c r="U33" s="67"/>
      <c r="W33" s="67"/>
      <c r="X33" s="64"/>
    </row>
    <row r="34" spans="1:24" ht="14.1" customHeight="1" x14ac:dyDescent="0.2">
      <c r="A34" s="395">
        <v>19</v>
      </c>
      <c r="B34" s="65"/>
      <c r="O34" s="68"/>
      <c r="Q34" s="405"/>
      <c r="S34" s="64"/>
    </row>
    <row r="35" spans="1:24" ht="14.1" customHeight="1" x14ac:dyDescent="0.2">
      <c r="A35" s="395">
        <v>20</v>
      </c>
      <c r="B35" s="65"/>
      <c r="O35" s="68"/>
      <c r="Q35" s="405"/>
      <c r="R35" s="405"/>
      <c r="S35" s="405"/>
      <c r="T35" s="409"/>
      <c r="U35" s="404"/>
      <c r="X35" s="405">
        <f>+SUM(X16:X33)</f>
        <v>0</v>
      </c>
    </row>
    <row r="36" spans="1:24" ht="14.1" customHeight="1" x14ac:dyDescent="0.2">
      <c r="A36" s="395">
        <v>21</v>
      </c>
      <c r="B36" s="65"/>
      <c r="G36" s="405"/>
      <c r="J36" s="405"/>
      <c r="L36" s="64"/>
      <c r="O36" s="68"/>
    </row>
    <row r="37" spans="1:24" ht="14.1" customHeight="1" x14ac:dyDescent="0.2">
      <c r="A37" s="395">
        <v>22</v>
      </c>
      <c r="B37" s="65"/>
      <c r="O37" s="68"/>
    </row>
    <row r="38" spans="1:24" ht="14.1" customHeight="1" x14ac:dyDescent="0.2">
      <c r="A38" s="395">
        <v>23</v>
      </c>
      <c r="B38" s="65"/>
      <c r="C38" s="395" t="s">
        <v>868</v>
      </c>
      <c r="I38" s="410">
        <f>L28</f>
        <v>293625730.36465877</v>
      </c>
      <c r="K38" s="65"/>
      <c r="O38" s="68"/>
    </row>
    <row r="39" spans="1:24" ht="14.1" customHeight="1" x14ac:dyDescent="0.35">
      <c r="A39" s="395">
        <v>24</v>
      </c>
      <c r="B39" s="65"/>
      <c r="I39" s="71"/>
      <c r="O39" s="68"/>
      <c r="P39" s="405"/>
      <c r="Q39" s="405"/>
      <c r="R39" s="405"/>
      <c r="S39" s="410"/>
      <c r="T39" s="405"/>
    </row>
    <row r="40" spans="1:24" ht="14.1" customHeight="1" x14ac:dyDescent="0.2">
      <c r="A40" s="395">
        <v>25</v>
      </c>
      <c r="B40" s="65"/>
      <c r="I40" s="410"/>
      <c r="J40" s="410"/>
      <c r="K40" s="410"/>
      <c r="O40" s="68"/>
    </row>
    <row r="41" spans="1:24" ht="14.1" customHeight="1" x14ac:dyDescent="0.2">
      <c r="A41" s="395">
        <v>26</v>
      </c>
      <c r="B41" s="65"/>
      <c r="O41" s="68"/>
    </row>
    <row r="42" spans="1:24" ht="14.1" customHeight="1" x14ac:dyDescent="0.2">
      <c r="A42" s="395">
        <v>27</v>
      </c>
      <c r="B42" s="65"/>
      <c r="C42" s="72"/>
      <c r="F42" s="73"/>
      <c r="G42" s="73"/>
      <c r="H42" s="73"/>
      <c r="I42" s="73"/>
      <c r="J42" s="73"/>
      <c r="L42" s="68"/>
      <c r="O42" s="68"/>
    </row>
    <row r="43" spans="1:24" ht="14.1" customHeight="1" x14ac:dyDescent="0.2">
      <c r="A43" s="395">
        <v>28</v>
      </c>
      <c r="B43" s="65"/>
      <c r="C43" s="72"/>
      <c r="F43" s="73"/>
      <c r="G43" s="73"/>
      <c r="H43" s="73"/>
      <c r="I43" s="73"/>
      <c r="J43" s="73"/>
      <c r="L43" s="68"/>
      <c r="O43" s="68"/>
    </row>
    <row r="44" spans="1:24" ht="14.1" customHeight="1" x14ac:dyDescent="0.2">
      <c r="A44" s="395">
        <v>29</v>
      </c>
      <c r="B44" s="74"/>
      <c r="F44" s="68"/>
      <c r="G44" s="68"/>
      <c r="H44" s="68"/>
      <c r="I44" s="68"/>
      <c r="J44" s="68"/>
      <c r="L44" s="68"/>
      <c r="O44" s="68"/>
    </row>
    <row r="45" spans="1:24" ht="14.1" customHeight="1" x14ac:dyDescent="0.2">
      <c r="A45" s="395">
        <v>30</v>
      </c>
      <c r="B45" s="65"/>
      <c r="G45" s="405"/>
      <c r="H45" s="405"/>
      <c r="I45" s="405"/>
      <c r="J45" s="405"/>
      <c r="L45" s="68"/>
      <c r="O45" s="68"/>
    </row>
    <row r="46" spans="1:24" ht="14.1" customHeight="1" x14ac:dyDescent="0.2">
      <c r="A46" s="395">
        <v>31</v>
      </c>
      <c r="B46" s="65"/>
      <c r="C46" s="395" t="s">
        <v>869</v>
      </c>
      <c r="F46" s="68"/>
      <c r="G46" s="68"/>
      <c r="H46" s="68"/>
      <c r="I46" s="68"/>
      <c r="J46" s="68"/>
      <c r="L46" s="405"/>
      <c r="M46" s="405"/>
      <c r="O46" s="68"/>
    </row>
    <row r="47" spans="1:24" ht="14.1" customHeight="1" x14ac:dyDescent="0.2">
      <c r="A47" s="395">
        <v>32</v>
      </c>
      <c r="B47" s="65"/>
      <c r="C47" s="395" t="s">
        <v>815</v>
      </c>
      <c r="F47" s="68"/>
      <c r="G47" s="68">
        <f>+G16</f>
        <v>920603768.16112351</v>
      </c>
      <c r="H47" s="68"/>
      <c r="I47" s="68">
        <f>+I16</f>
        <v>1099875972.000026</v>
      </c>
      <c r="J47" s="68"/>
      <c r="L47" s="68">
        <f>+L16</f>
        <v>179272203.83890247</v>
      </c>
      <c r="O47" s="68"/>
    </row>
    <row r="48" spans="1:24" ht="14.1" customHeight="1" x14ac:dyDescent="0.2">
      <c r="A48" s="395">
        <v>33</v>
      </c>
      <c r="B48" s="65"/>
      <c r="C48" s="395" t="s">
        <v>816</v>
      </c>
      <c r="F48" s="68"/>
      <c r="G48" s="75">
        <f>+G17+G18</f>
        <v>95214932.199840501</v>
      </c>
      <c r="H48" s="68"/>
      <c r="I48" s="75">
        <f>+I17+I18</f>
        <v>99214925.511160567</v>
      </c>
      <c r="J48" s="68"/>
      <c r="L48" s="75">
        <f>+L17+L18</f>
        <v>3999993.3113200665</v>
      </c>
      <c r="O48" s="68"/>
    </row>
    <row r="49" spans="1:18" ht="14.1" customHeight="1" x14ac:dyDescent="0.2">
      <c r="A49" s="395">
        <v>34</v>
      </c>
      <c r="B49" s="65"/>
      <c r="F49" s="68"/>
      <c r="G49" s="68">
        <f>SUM(G47:G48)</f>
        <v>1015818700.3609641</v>
      </c>
      <c r="H49" s="68"/>
      <c r="I49" s="68">
        <f>SUM(I47:I48)</f>
        <v>1199090897.5111866</v>
      </c>
      <c r="J49" s="68"/>
      <c r="L49" s="68">
        <f>SUM(L47:L48)</f>
        <v>183272197.15022254</v>
      </c>
      <c r="M49" s="66">
        <f>+L49/G49</f>
        <v>0.18041821546019782</v>
      </c>
      <c r="O49" s="68"/>
    </row>
    <row r="50" spans="1:18" ht="14.1" customHeight="1" x14ac:dyDescent="0.2">
      <c r="A50" s="395">
        <v>35</v>
      </c>
      <c r="B50" s="65"/>
      <c r="G50" s="76"/>
      <c r="H50" s="405"/>
      <c r="I50" s="76"/>
      <c r="J50" s="405"/>
      <c r="L50" s="76"/>
      <c r="M50" s="66"/>
      <c r="O50" s="68"/>
    </row>
    <row r="51" spans="1:18" ht="14.1" customHeight="1" x14ac:dyDescent="0.2">
      <c r="A51" s="395">
        <v>36</v>
      </c>
      <c r="B51" s="65"/>
      <c r="C51" s="395" t="s">
        <v>817</v>
      </c>
      <c r="G51" s="405">
        <f>+G20+G19+G23</f>
        <v>310482390.95137429</v>
      </c>
      <c r="H51" s="405"/>
      <c r="I51" s="405">
        <f>+I20+I19+I23</f>
        <v>411077262.99999297</v>
      </c>
      <c r="J51" s="405"/>
      <c r="L51" s="405">
        <f>+L20+L19+L23</f>
        <v>100594872.04861869</v>
      </c>
      <c r="M51" s="66">
        <f>+L51/G51</f>
        <v>0.32399541803442627</v>
      </c>
      <c r="O51" s="68"/>
    </row>
    <row r="52" spans="1:18" ht="14.1" customHeight="1" x14ac:dyDescent="0.2">
      <c r="A52" s="395">
        <v>37</v>
      </c>
      <c r="B52" s="65"/>
      <c r="G52" s="405"/>
      <c r="H52" s="405"/>
      <c r="I52" s="405"/>
      <c r="J52" s="405"/>
      <c r="L52" s="405"/>
      <c r="M52" s="66"/>
      <c r="O52" s="68"/>
    </row>
    <row r="53" spans="1:18" ht="14.1" customHeight="1" x14ac:dyDescent="0.2">
      <c r="A53" s="395">
        <v>38</v>
      </c>
      <c r="B53" s="65"/>
      <c r="C53" s="395" t="s">
        <v>818</v>
      </c>
      <c r="G53" s="405">
        <f>+G21+G24</f>
        <v>44349809.488728099</v>
      </c>
      <c r="I53" s="405">
        <f>+I21+I24</f>
        <v>47902933.470879942</v>
      </c>
      <c r="L53" s="405">
        <f>+L21+L24</f>
        <v>3553123.9821518436</v>
      </c>
      <c r="M53" s="66">
        <f>+L53/G53</f>
        <v>8.0115879258847819E-2</v>
      </c>
      <c r="O53" s="68"/>
    </row>
    <row r="54" spans="1:18" ht="14.1" customHeight="1" x14ac:dyDescent="0.35">
      <c r="A54" s="395">
        <v>39</v>
      </c>
      <c r="B54" s="65"/>
      <c r="C54" s="395" t="s">
        <v>819</v>
      </c>
      <c r="G54" s="411">
        <f>+G22+G25</f>
        <v>23794765.816331804</v>
      </c>
      <c r="I54" s="411">
        <f>+I22+I25</f>
        <v>30000302.999998651</v>
      </c>
      <c r="L54" s="411">
        <f>+L22+L25</f>
        <v>6205537.1836668476</v>
      </c>
      <c r="M54" s="66">
        <f>+L54/G54</f>
        <v>0.26079421128018027</v>
      </c>
      <c r="O54" s="68"/>
    </row>
    <row r="55" spans="1:18" ht="14.1" customHeight="1" x14ac:dyDescent="0.2">
      <c r="A55" s="395">
        <v>40</v>
      </c>
      <c r="B55" s="65"/>
      <c r="G55" s="405">
        <f>SUM(G53:G54)</f>
        <v>68144575.30505991</v>
      </c>
      <c r="I55" s="405">
        <f>SUM(I53:I54)</f>
        <v>77903236.470878601</v>
      </c>
      <c r="L55" s="405">
        <f>SUM(L53:L54)</f>
        <v>9758661.1658186913</v>
      </c>
      <c r="M55" s="66"/>
      <c r="O55" s="68"/>
    </row>
    <row r="56" spans="1:18" ht="14.1" customHeight="1" x14ac:dyDescent="0.2">
      <c r="A56" s="395">
        <v>41</v>
      </c>
      <c r="B56" s="65"/>
      <c r="M56" s="412"/>
      <c r="O56" s="68"/>
    </row>
    <row r="57" spans="1:18" ht="14.1" customHeight="1" x14ac:dyDescent="0.2">
      <c r="A57" s="395">
        <v>42</v>
      </c>
      <c r="B57" s="65"/>
      <c r="C57" s="395" t="s">
        <v>870</v>
      </c>
      <c r="G57" s="405">
        <f>+G26</f>
        <v>3573046.9034771509</v>
      </c>
      <c r="I57" s="405">
        <f>+I26</f>
        <v>3573046.9034759998</v>
      </c>
      <c r="L57" s="405">
        <f>+L26</f>
        <v>-1.1511147022247314E-6</v>
      </c>
      <c r="M57" s="77">
        <f>+L57/G57</f>
        <v>-3.2216613252529967E-13</v>
      </c>
      <c r="O57" s="68"/>
    </row>
    <row r="58" spans="1:18" ht="14.1" customHeight="1" x14ac:dyDescent="0.2">
      <c r="A58" s="395">
        <v>43</v>
      </c>
      <c r="B58" s="65"/>
      <c r="C58" s="395" t="s">
        <v>871</v>
      </c>
      <c r="G58" s="405">
        <f>+G27</f>
        <v>82707820.715172112</v>
      </c>
      <c r="I58" s="405">
        <f>+I27</f>
        <v>82707820.715172112</v>
      </c>
      <c r="L58" s="405">
        <f>+L27</f>
        <v>0</v>
      </c>
      <c r="M58" s="77">
        <f>+L58/G58</f>
        <v>0</v>
      </c>
      <c r="O58" s="68"/>
    </row>
    <row r="59" spans="1:18" ht="14.1" customHeight="1" x14ac:dyDescent="0.2">
      <c r="A59" s="395">
        <v>44</v>
      </c>
      <c r="B59" s="65"/>
      <c r="L59" s="405"/>
      <c r="M59" s="412"/>
      <c r="O59" s="68"/>
    </row>
    <row r="60" spans="1:18" ht="14.1" customHeight="1" x14ac:dyDescent="0.2">
      <c r="A60" s="395">
        <v>45</v>
      </c>
      <c r="B60" s="65"/>
      <c r="C60" s="395" t="s">
        <v>718</v>
      </c>
      <c r="G60" s="405">
        <f>+G49+G54+G57+G58+G51+G53</f>
        <v>1480726534.2360475</v>
      </c>
      <c r="I60" s="64">
        <f>+I49+I54+I57+I58+I51+I53</f>
        <v>1774352264.6007061</v>
      </c>
      <c r="L60" s="405">
        <f>+L49+L55+L51+L57+L58</f>
        <v>293625730.36465877</v>
      </c>
      <c r="M60" s="66">
        <f>+L60/G60</f>
        <v>0.19829841876653431</v>
      </c>
      <c r="O60" s="68"/>
    </row>
    <row r="61" spans="1:18" ht="14.1" customHeight="1" x14ac:dyDescent="0.2">
      <c r="A61" s="395">
        <v>46</v>
      </c>
      <c r="B61" s="65"/>
      <c r="O61" s="68"/>
      <c r="P61" s="68"/>
      <c r="Q61" s="68"/>
    </row>
    <row r="62" spans="1:18" ht="14.1" customHeight="1" thickBot="1" x14ac:dyDescent="0.25">
      <c r="A62" s="396">
        <v>47</v>
      </c>
      <c r="B62" s="396"/>
      <c r="C62" s="396"/>
      <c r="D62" s="396"/>
      <c r="E62" s="396"/>
      <c r="F62" s="396"/>
      <c r="G62" s="396"/>
      <c r="H62" s="396"/>
      <c r="I62" s="396"/>
      <c r="J62" s="396"/>
      <c r="K62" s="396"/>
      <c r="L62" s="396"/>
      <c r="M62" s="396"/>
      <c r="N62" s="396"/>
      <c r="O62" s="396"/>
      <c r="P62" s="396"/>
      <c r="Q62" s="396"/>
      <c r="R62" s="403"/>
    </row>
    <row r="63" spans="1:18" ht="14.1" customHeight="1" x14ac:dyDescent="0.2">
      <c r="A63" s="395" t="s">
        <v>872</v>
      </c>
    </row>
    <row r="64" spans="1:18" ht="14.1" customHeight="1" x14ac:dyDescent="0.2">
      <c r="L64" s="74"/>
    </row>
    <row r="65" spans="8:14" ht="14.1" customHeight="1" x14ac:dyDescent="0.2">
      <c r="H65" s="405"/>
      <c r="L65" s="405"/>
      <c r="N65" s="405"/>
    </row>
    <row r="66" spans="8:14" ht="14.1" customHeight="1" x14ac:dyDescent="0.2">
      <c r="H66" s="405"/>
      <c r="L66" s="405"/>
      <c r="N66" s="405"/>
    </row>
    <row r="67" spans="8:14" ht="14.1" customHeight="1" x14ac:dyDescent="0.2">
      <c r="H67" s="405"/>
      <c r="L67" s="405"/>
      <c r="N67" s="405"/>
    </row>
    <row r="68" spans="8:14" ht="14.1" customHeight="1" x14ac:dyDescent="0.2">
      <c r="H68" s="405"/>
      <c r="L68" s="405"/>
      <c r="N68" s="405"/>
    </row>
    <row r="69" spans="8:14" ht="14.1" customHeight="1" x14ac:dyDescent="0.2">
      <c r="H69" s="405"/>
      <c r="L69" s="405"/>
      <c r="N69" s="405"/>
    </row>
  </sheetData>
  <mergeCells count="2">
    <mergeCell ref="H3:L3"/>
    <mergeCell ref="L13:M13"/>
  </mergeCells>
  <printOptions horizontalCentered="1" verticalCentered="1"/>
  <pageMargins left="0.5" right="0.5" top="1.25" bottom="0.35000000000000003" header="0.5" footer="0.25"/>
  <pageSetup scale="59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702B-4F38-4B43-8ADC-7100F70081CC}">
  <dimension ref="A1:CV366"/>
  <sheetViews>
    <sheetView workbookViewId="0"/>
  </sheetViews>
  <sheetFormatPr defaultRowHeight="15" x14ac:dyDescent="0.25"/>
  <cols>
    <col min="1" max="1" width="50.140625" bestFit="1" customWidth="1"/>
    <col min="2" max="2" width="17.85546875" bestFit="1" customWidth="1"/>
    <col min="3" max="3" width="13" bestFit="1" customWidth="1"/>
    <col min="4" max="4" width="39.85546875" customWidth="1"/>
    <col min="5" max="5" width="37.7109375" customWidth="1"/>
    <col min="6" max="6" width="35.7109375" customWidth="1"/>
    <col min="7" max="7" width="30.5703125" customWidth="1"/>
    <col min="8" max="8" width="34.5703125" customWidth="1"/>
    <col min="9" max="9" width="37.28515625" customWidth="1"/>
    <col min="10" max="10" width="43.7109375" customWidth="1"/>
    <col min="11" max="11" width="33.5703125" customWidth="1"/>
    <col min="12" max="12" width="33.140625" customWidth="1"/>
    <col min="13" max="13" width="33.42578125" customWidth="1"/>
    <col min="14" max="14" width="39.85546875" customWidth="1"/>
    <col min="15" max="15" width="34.140625" customWidth="1"/>
    <col min="16" max="16" width="39.42578125" customWidth="1"/>
    <col min="17" max="17" width="30" customWidth="1"/>
    <col min="18" max="18" width="33" customWidth="1"/>
    <col min="19" max="19" width="31.42578125" customWidth="1"/>
    <col min="20" max="20" width="35.5703125" customWidth="1"/>
    <col min="21" max="21" width="35.140625" customWidth="1"/>
    <col min="22" max="22" width="29.5703125" customWidth="1"/>
    <col min="23" max="23" width="33.85546875" customWidth="1"/>
    <col min="24" max="24" width="39.85546875" customWidth="1"/>
    <col min="25" max="25" width="40" customWidth="1"/>
    <col min="26" max="26" width="37.85546875" customWidth="1"/>
    <col min="27" max="27" width="35.85546875" customWidth="1"/>
    <col min="28" max="28" width="30.140625" customWidth="1"/>
    <col min="29" max="29" width="33.140625" customWidth="1"/>
    <col min="30" max="30" width="37.42578125" customWidth="1"/>
    <col min="31" max="31" width="37.7109375" customWidth="1"/>
    <col min="32" max="32" width="35.28515625" customWidth="1"/>
    <col min="33" max="33" width="33.42578125" customWidth="1"/>
    <col min="34" max="34" width="33.5703125" customWidth="1"/>
    <col min="35" max="35" width="31" customWidth="1"/>
    <col min="36" max="36" width="31.7109375" customWidth="1"/>
    <col min="37" max="37" width="40.28515625" customWidth="1"/>
    <col min="38" max="38" width="31.5703125" customWidth="1"/>
    <col min="39" max="39" width="33" customWidth="1"/>
    <col min="40" max="40" width="40.28515625" customWidth="1"/>
    <col min="41" max="41" width="41.28515625" customWidth="1"/>
    <col min="42" max="42" width="19.42578125" customWidth="1"/>
    <col min="43" max="43" width="35" customWidth="1"/>
    <col min="44" max="44" width="30.7109375" customWidth="1"/>
    <col min="45" max="45" width="30.5703125" customWidth="1"/>
    <col min="46" max="46" width="31.28515625" customWidth="1"/>
    <col min="47" max="47" width="17.85546875" customWidth="1"/>
    <col min="48" max="48" width="22.28515625" customWidth="1"/>
    <col min="49" max="49" width="22.140625" customWidth="1"/>
    <col min="50" max="50" width="23.42578125" customWidth="1"/>
    <col min="51" max="51" width="27.85546875" customWidth="1"/>
    <col min="52" max="52" width="27.7109375" customWidth="1"/>
    <col min="53" max="53" width="28.42578125" customWidth="1"/>
    <col min="54" max="54" width="29.42578125" customWidth="1"/>
    <col min="55" max="55" width="31.5703125" customWidth="1"/>
    <col min="56" max="56" width="31.42578125" customWidth="1"/>
    <col min="57" max="57" width="32.28515625" customWidth="1"/>
    <col min="58" max="58" width="29.5703125" customWidth="1"/>
    <col min="59" max="59" width="31.7109375" customWidth="1"/>
    <col min="60" max="60" width="31.5703125" customWidth="1"/>
    <col min="61" max="61" width="32.42578125" customWidth="1"/>
    <col min="62" max="62" width="27.28515625" customWidth="1"/>
    <col min="63" max="63" width="31.7109375" customWidth="1"/>
    <col min="64" max="64" width="31.5703125" customWidth="1"/>
    <col min="65" max="65" width="32.42578125" customWidth="1"/>
    <col min="66" max="66" width="25.5703125" customWidth="1"/>
    <col min="67" max="67" width="30" customWidth="1"/>
    <col min="68" max="68" width="29.85546875" customWidth="1"/>
    <col min="69" max="69" width="30.5703125" customWidth="1"/>
    <col min="70" max="70" width="27.140625" customWidth="1"/>
    <col min="71" max="71" width="31.42578125" customWidth="1"/>
    <col min="72" max="72" width="32.28515625" customWidth="1"/>
    <col min="73" max="73" width="28.5703125" customWidth="1"/>
    <col min="74" max="74" width="33" customWidth="1"/>
    <col min="75" max="75" width="32.85546875" customWidth="1"/>
    <col min="76" max="76" width="33.5703125" customWidth="1"/>
    <col min="77" max="77" width="41.5703125" customWidth="1"/>
    <col min="78" max="78" width="42.28515625" customWidth="1"/>
    <col min="79" max="79" width="6.42578125" customWidth="1"/>
    <col min="80" max="80" width="42" customWidth="1"/>
    <col min="81" max="81" width="37.7109375" customWidth="1"/>
    <col min="82" max="82" width="37.42578125" customWidth="1"/>
    <col min="83" max="83" width="38.140625" customWidth="1"/>
    <col min="84" max="84" width="38" customWidth="1"/>
    <col min="85" max="85" width="34.5703125" customWidth="1"/>
    <col min="86" max="86" width="34.42578125" customWidth="1"/>
    <col min="87" max="87" width="35.140625" customWidth="1"/>
    <col min="88" max="88" width="35.28515625" customWidth="1"/>
    <col min="89" max="89" width="39.5703125" customWidth="1"/>
    <col min="90" max="90" width="40.28515625" customWidth="1"/>
    <col min="91" max="91" width="35.28515625" customWidth="1"/>
    <col min="92" max="92" width="39.85546875" customWidth="1"/>
    <col min="93" max="93" width="39.5703125" customWidth="1"/>
    <col min="94" max="94" width="40.28515625" customWidth="1"/>
    <col min="95" max="95" width="34.28515625" customWidth="1"/>
    <col min="96" max="96" width="38.7109375" customWidth="1"/>
    <col min="97" max="97" width="38.5703125" customWidth="1"/>
    <col min="98" max="98" width="39.28515625" customWidth="1"/>
    <col min="99" max="99" width="48.42578125" customWidth="1"/>
    <col min="100" max="100" width="49.140625" customWidth="1"/>
    <col min="101" max="101" width="10.5703125" customWidth="1"/>
  </cols>
  <sheetData>
    <row r="1" spans="1:2" ht="18.75" x14ac:dyDescent="0.25">
      <c r="A1" s="215" t="s">
        <v>912</v>
      </c>
      <c r="B1" s="215"/>
    </row>
    <row r="2" spans="1:2" x14ac:dyDescent="0.25">
      <c r="B2" s="216">
        <v>2025</v>
      </c>
    </row>
    <row r="3" spans="1:2" x14ac:dyDescent="0.25">
      <c r="A3" t="s">
        <v>0</v>
      </c>
      <c r="B3" s="1">
        <v>279108556</v>
      </c>
    </row>
    <row r="4" spans="1:2" x14ac:dyDescent="0.25">
      <c r="A4" t="s">
        <v>1</v>
      </c>
      <c r="B4" s="1">
        <v>1616968</v>
      </c>
    </row>
    <row r="5" spans="1:2" x14ac:dyDescent="0.25">
      <c r="A5" t="s">
        <v>2</v>
      </c>
      <c r="B5" s="1">
        <v>10209657234</v>
      </c>
    </row>
    <row r="6" spans="1:2" x14ac:dyDescent="0.25">
      <c r="A6" t="s">
        <v>3</v>
      </c>
      <c r="B6" s="1">
        <v>7076568254.1000004</v>
      </c>
    </row>
    <row r="7" spans="1:2" x14ac:dyDescent="0.25">
      <c r="A7" t="s">
        <v>4</v>
      </c>
      <c r="B7" s="1">
        <v>3133088980.2800002</v>
      </c>
    </row>
    <row r="8" spans="1:2" x14ac:dyDescent="0.25">
      <c r="A8" t="s">
        <v>5</v>
      </c>
      <c r="B8" s="1">
        <v>80411220</v>
      </c>
    </row>
    <row r="9" spans="1:2" x14ac:dyDescent="0.25">
      <c r="B9" s="216">
        <f>+B2</f>
        <v>2025</v>
      </c>
    </row>
    <row r="10" spans="1:2" x14ac:dyDescent="0.25">
      <c r="A10" t="s">
        <v>6</v>
      </c>
      <c r="B10" s="1">
        <v>9365.11</v>
      </c>
    </row>
    <row r="11" spans="1:2" x14ac:dyDescent="0.25">
      <c r="A11" t="s">
        <v>7</v>
      </c>
      <c r="B11" s="1">
        <v>2916930</v>
      </c>
    </row>
    <row r="12" spans="1:2" x14ac:dyDescent="0.25">
      <c r="A12" t="s">
        <v>8</v>
      </c>
      <c r="B12" s="1">
        <v>9501.06</v>
      </c>
    </row>
    <row r="13" spans="1:2" x14ac:dyDescent="0.25">
      <c r="B13" s="216">
        <f>+B9</f>
        <v>2025</v>
      </c>
    </row>
    <row r="14" spans="1:2" x14ac:dyDescent="0.25">
      <c r="A14" t="s">
        <v>9</v>
      </c>
      <c r="B14" s="1">
        <v>1477390</v>
      </c>
    </row>
    <row r="15" spans="1:2" x14ac:dyDescent="0.25">
      <c r="A15" t="s">
        <v>10</v>
      </c>
      <c r="B15" s="1">
        <v>12769320</v>
      </c>
    </row>
    <row r="16" spans="1:2" x14ac:dyDescent="0.25">
      <c r="B16" s="216">
        <f>+B13</f>
        <v>2025</v>
      </c>
    </row>
    <row r="17" spans="1:2" x14ac:dyDescent="0.25">
      <c r="A17" t="s">
        <v>11</v>
      </c>
      <c r="B17" s="1">
        <v>24905825</v>
      </c>
    </row>
    <row r="18" spans="1:2" x14ac:dyDescent="0.25">
      <c r="A18" t="s">
        <v>12</v>
      </c>
      <c r="B18" s="1">
        <v>35156</v>
      </c>
    </row>
    <row r="19" spans="1:2" x14ac:dyDescent="0.25">
      <c r="A19" t="s">
        <v>13</v>
      </c>
      <c r="B19" s="1">
        <v>830344</v>
      </c>
    </row>
    <row r="20" spans="1:2" x14ac:dyDescent="0.25">
      <c r="A20" t="s">
        <v>14</v>
      </c>
      <c r="B20" s="1">
        <v>910365971</v>
      </c>
    </row>
    <row r="21" spans="1:2" x14ac:dyDescent="0.25">
      <c r="A21" t="s">
        <v>15</v>
      </c>
      <c r="B21" s="1">
        <v>1036577</v>
      </c>
    </row>
    <row r="22" spans="1:2" x14ac:dyDescent="0.25">
      <c r="A22" t="s">
        <v>16</v>
      </c>
      <c r="B22" s="1">
        <v>26764032</v>
      </c>
    </row>
    <row r="23" spans="1:2" x14ac:dyDescent="0.25">
      <c r="A23" t="s">
        <v>17</v>
      </c>
      <c r="B23" s="1">
        <v>6385234</v>
      </c>
    </row>
    <row r="24" spans="1:2" x14ac:dyDescent="0.25">
      <c r="A24" t="s">
        <v>18</v>
      </c>
      <c r="B24" s="1">
        <v>11254304</v>
      </c>
    </row>
    <row r="25" spans="1:2" x14ac:dyDescent="0.25">
      <c r="A25" t="s">
        <v>892</v>
      </c>
      <c r="B25" s="1">
        <v>9124494.0999999996</v>
      </c>
    </row>
    <row r="26" spans="1:2" x14ac:dyDescent="0.25">
      <c r="A26" t="s">
        <v>19</v>
      </c>
      <c r="B26" s="1">
        <v>278292.17</v>
      </c>
    </row>
    <row r="27" spans="1:2" x14ac:dyDescent="0.25">
      <c r="A27" t="s">
        <v>20</v>
      </c>
      <c r="B27" s="1">
        <v>0</v>
      </c>
    </row>
    <row r="28" spans="1:2" x14ac:dyDescent="0.25">
      <c r="B28" s="216">
        <f>+B16</f>
        <v>2025</v>
      </c>
    </row>
    <row r="29" spans="1:2" x14ac:dyDescent="0.25">
      <c r="A29" t="s">
        <v>21</v>
      </c>
      <c r="B29" s="1">
        <v>5518651</v>
      </c>
    </row>
    <row r="30" spans="1:2" x14ac:dyDescent="0.25">
      <c r="A30" t="s">
        <v>22</v>
      </c>
      <c r="B30" s="1">
        <v>5498214.3099999996</v>
      </c>
    </row>
    <row r="31" spans="1:2" x14ac:dyDescent="0.25">
      <c r="A31" t="s">
        <v>23</v>
      </c>
      <c r="B31" s="1">
        <v>20436.89</v>
      </c>
    </row>
    <row r="32" spans="1:2" x14ac:dyDescent="0.25">
      <c r="A32" t="s">
        <v>24</v>
      </c>
      <c r="B32" s="1">
        <v>0</v>
      </c>
    </row>
    <row r="33" spans="1:2" x14ac:dyDescent="0.25">
      <c r="A33" t="s">
        <v>25</v>
      </c>
      <c r="B33" s="1">
        <v>4597287893</v>
      </c>
    </row>
    <row r="34" spans="1:2" x14ac:dyDescent="0.25">
      <c r="A34" t="s">
        <v>26</v>
      </c>
      <c r="B34" s="1">
        <v>4524224832</v>
      </c>
    </row>
    <row r="35" spans="1:2" x14ac:dyDescent="0.25">
      <c r="A35" t="s">
        <v>27</v>
      </c>
      <c r="B35" s="1">
        <v>73063062</v>
      </c>
    </row>
    <row r="36" spans="1:2" x14ac:dyDescent="0.25">
      <c r="A36" t="s">
        <v>28</v>
      </c>
      <c r="B36" s="1">
        <v>0</v>
      </c>
    </row>
    <row r="37" spans="1:2" x14ac:dyDescent="0.25">
      <c r="A37" t="s">
        <v>29</v>
      </c>
      <c r="B37" s="1">
        <v>12121164</v>
      </c>
    </row>
    <row r="38" spans="1:2" x14ac:dyDescent="0.25">
      <c r="A38" t="s">
        <v>30</v>
      </c>
      <c r="B38" s="1">
        <v>11934861</v>
      </c>
    </row>
    <row r="39" spans="1:2" x14ac:dyDescent="0.25">
      <c r="A39" s="217" t="s">
        <v>31</v>
      </c>
      <c r="B39" s="1">
        <v>186303</v>
      </c>
    </row>
    <row r="40" spans="1:2" x14ac:dyDescent="0.25">
      <c r="A40" t="s">
        <v>32</v>
      </c>
      <c r="B40" s="1">
        <v>0</v>
      </c>
    </row>
    <row r="41" spans="1:2" x14ac:dyDescent="0.25">
      <c r="A41" t="s">
        <v>33</v>
      </c>
      <c r="B41" s="1">
        <v>128245</v>
      </c>
    </row>
    <row r="42" spans="1:2" x14ac:dyDescent="0.25">
      <c r="A42" t="s">
        <v>34</v>
      </c>
      <c r="B42" s="1">
        <v>128245</v>
      </c>
    </row>
    <row r="43" spans="1:2" x14ac:dyDescent="0.25">
      <c r="A43" t="s">
        <v>35</v>
      </c>
      <c r="B43" s="1">
        <v>0</v>
      </c>
    </row>
    <row r="44" spans="1:2" x14ac:dyDescent="0.25">
      <c r="A44" t="s">
        <v>36</v>
      </c>
      <c r="B44" s="1">
        <v>655328</v>
      </c>
    </row>
    <row r="45" spans="1:2" x14ac:dyDescent="0.25">
      <c r="A45" t="s">
        <v>37</v>
      </c>
      <c r="B45" s="1">
        <v>631383</v>
      </c>
    </row>
    <row r="46" spans="1:2" x14ac:dyDescent="0.25">
      <c r="A46" t="s">
        <v>38</v>
      </c>
      <c r="B46" s="1">
        <v>23944</v>
      </c>
    </row>
    <row r="47" spans="1:2" x14ac:dyDescent="0.25">
      <c r="A47" t="s">
        <v>39</v>
      </c>
      <c r="B47" s="1">
        <v>0</v>
      </c>
    </row>
    <row r="48" spans="1:2" x14ac:dyDescent="0.25">
      <c r="A48" t="s">
        <v>40</v>
      </c>
      <c r="B48" s="1">
        <v>-3136688</v>
      </c>
    </row>
    <row r="49" spans="1:2" x14ac:dyDescent="0.25">
      <c r="A49" t="s">
        <v>41</v>
      </c>
      <c r="B49" s="1">
        <v>0</v>
      </c>
    </row>
    <row r="50" spans="1:2" x14ac:dyDescent="0.25">
      <c r="B50" s="216">
        <f>+B28</f>
        <v>2025</v>
      </c>
    </row>
    <row r="51" spans="1:2" x14ac:dyDescent="0.25">
      <c r="A51" t="s">
        <v>42</v>
      </c>
      <c r="B51" s="1">
        <v>561526</v>
      </c>
    </row>
    <row r="52" spans="1:2" x14ac:dyDescent="0.25">
      <c r="A52" t="s">
        <v>43</v>
      </c>
      <c r="B52" s="1">
        <v>547000.02</v>
      </c>
    </row>
    <row r="53" spans="1:2" x14ac:dyDescent="0.25">
      <c r="A53" s="217" t="s">
        <v>44</v>
      </c>
      <c r="B53" s="1">
        <v>14149.85</v>
      </c>
    </row>
    <row r="54" spans="1:2" x14ac:dyDescent="0.25">
      <c r="A54" t="s">
        <v>45</v>
      </c>
      <c r="B54" s="1">
        <v>753.01</v>
      </c>
    </row>
    <row r="55" spans="1:2" x14ac:dyDescent="0.25">
      <c r="A55" t="s">
        <v>46</v>
      </c>
      <c r="B55" s="1">
        <v>240</v>
      </c>
    </row>
    <row r="56" spans="1:2" x14ac:dyDescent="0.25">
      <c r="A56" t="s">
        <v>47</v>
      </c>
      <c r="B56" s="1">
        <v>0</v>
      </c>
    </row>
    <row r="57" spans="1:2" x14ac:dyDescent="0.25">
      <c r="A57" t="s">
        <v>48</v>
      </c>
      <c r="B57" s="1">
        <v>240</v>
      </c>
    </row>
    <row r="58" spans="1:2" x14ac:dyDescent="0.25">
      <c r="A58" t="s">
        <v>49</v>
      </c>
      <c r="B58" s="1">
        <v>2132093261</v>
      </c>
    </row>
    <row r="59" spans="1:2" x14ac:dyDescent="0.25">
      <c r="A59" t="s">
        <v>50</v>
      </c>
      <c r="B59" s="1">
        <v>1908997404</v>
      </c>
    </row>
    <row r="60" spans="1:2" x14ac:dyDescent="0.25">
      <c r="A60" t="s">
        <v>51</v>
      </c>
      <c r="B60" s="1">
        <v>221476494</v>
      </c>
    </row>
    <row r="61" spans="1:2" x14ac:dyDescent="0.25">
      <c r="A61" t="s">
        <v>52</v>
      </c>
      <c r="B61" s="1">
        <v>1619362</v>
      </c>
    </row>
    <row r="62" spans="1:2" x14ac:dyDescent="0.25">
      <c r="A62" t="s">
        <v>53</v>
      </c>
      <c r="B62" s="1">
        <v>514712538</v>
      </c>
    </row>
    <row r="63" spans="1:2" x14ac:dyDescent="0.25">
      <c r="A63" t="s">
        <v>54</v>
      </c>
      <c r="B63" s="1">
        <v>461128885</v>
      </c>
    </row>
    <row r="64" spans="1:2" x14ac:dyDescent="0.25">
      <c r="A64" t="s">
        <v>55</v>
      </c>
      <c r="B64" s="1">
        <v>53192843</v>
      </c>
    </row>
    <row r="65" spans="1:2" x14ac:dyDescent="0.25">
      <c r="A65" t="s">
        <v>56</v>
      </c>
      <c r="B65" s="1">
        <v>390809</v>
      </c>
    </row>
    <row r="66" spans="1:2" x14ac:dyDescent="0.25">
      <c r="A66" t="s">
        <v>57</v>
      </c>
      <c r="B66" s="1">
        <v>863577390</v>
      </c>
    </row>
    <row r="67" spans="1:2" x14ac:dyDescent="0.25">
      <c r="A67" t="s">
        <v>58</v>
      </c>
      <c r="B67" s="1">
        <v>773068763</v>
      </c>
    </row>
    <row r="68" spans="1:2" x14ac:dyDescent="0.25">
      <c r="A68" t="s">
        <v>59</v>
      </c>
      <c r="B68" s="1">
        <v>89852657</v>
      </c>
    </row>
    <row r="69" spans="1:2" x14ac:dyDescent="0.25">
      <c r="A69" t="s">
        <v>60</v>
      </c>
      <c r="B69" s="1">
        <v>655969</v>
      </c>
    </row>
    <row r="70" spans="1:2" x14ac:dyDescent="0.25">
      <c r="A70" t="s">
        <v>893</v>
      </c>
      <c r="B70" s="1">
        <v>753803334</v>
      </c>
    </row>
    <row r="71" spans="1:2" x14ac:dyDescent="0.25">
      <c r="A71" t="s">
        <v>894</v>
      </c>
      <c r="B71" s="1">
        <v>674799755</v>
      </c>
    </row>
    <row r="72" spans="1:2" x14ac:dyDescent="0.25">
      <c r="A72" t="s">
        <v>895</v>
      </c>
      <c r="B72" s="1">
        <v>78430994</v>
      </c>
    </row>
    <row r="73" spans="1:2" x14ac:dyDescent="0.25">
      <c r="A73" t="s">
        <v>896</v>
      </c>
      <c r="B73" s="1">
        <f>572585+2</f>
        <v>572587</v>
      </c>
    </row>
    <row r="74" spans="1:2" x14ac:dyDescent="0.25">
      <c r="A74" t="s">
        <v>61</v>
      </c>
      <c r="B74" s="1">
        <v>3998580</v>
      </c>
    </row>
    <row r="75" spans="1:2" x14ac:dyDescent="0.25">
      <c r="A75" t="s">
        <v>62</v>
      </c>
      <c r="B75" s="1">
        <v>3559503</v>
      </c>
    </row>
    <row r="76" spans="1:2" x14ac:dyDescent="0.25">
      <c r="A76" t="s">
        <v>63</v>
      </c>
      <c r="B76" s="1">
        <v>434239</v>
      </c>
    </row>
    <row r="77" spans="1:2" x14ac:dyDescent="0.25">
      <c r="A77" t="s">
        <v>64</v>
      </c>
      <c r="B77" s="1">
        <v>4837</v>
      </c>
    </row>
    <row r="78" spans="1:2" x14ac:dyDescent="0.25">
      <c r="A78" t="s">
        <v>65</v>
      </c>
      <c r="B78" s="1">
        <v>3858279</v>
      </c>
    </row>
    <row r="79" spans="1:2" x14ac:dyDescent="0.25">
      <c r="A79" t="s">
        <v>66</v>
      </c>
      <c r="B79" s="1">
        <v>3433354</v>
      </c>
    </row>
    <row r="80" spans="1:2" x14ac:dyDescent="0.25">
      <c r="A80" t="s">
        <v>67</v>
      </c>
      <c r="B80" s="1">
        <v>420406</v>
      </c>
    </row>
    <row r="81" spans="1:2" x14ac:dyDescent="0.25">
      <c r="A81" t="s">
        <v>68</v>
      </c>
      <c r="B81" s="1">
        <v>4519</v>
      </c>
    </row>
    <row r="82" spans="1:2" x14ac:dyDescent="0.25">
      <c r="A82" t="s">
        <v>69</v>
      </c>
      <c r="B82" s="1">
        <v>71224</v>
      </c>
    </row>
    <row r="83" spans="1:2" x14ac:dyDescent="0.25">
      <c r="A83" t="s">
        <v>70</v>
      </c>
      <c r="B83" s="1">
        <v>68661</v>
      </c>
    </row>
    <row r="84" spans="1:2" x14ac:dyDescent="0.25">
      <c r="A84" t="s">
        <v>71</v>
      </c>
      <c r="B84" s="1">
        <v>2562</v>
      </c>
    </row>
    <row r="85" spans="1:2" x14ac:dyDescent="0.25">
      <c r="A85" t="s">
        <v>72</v>
      </c>
      <c r="B85" s="1">
        <v>759513</v>
      </c>
    </row>
    <row r="86" spans="1:2" x14ac:dyDescent="0.25">
      <c r="A86" t="s">
        <v>73</v>
      </c>
      <c r="B86" s="1">
        <v>713288</v>
      </c>
    </row>
    <row r="87" spans="1:2" x14ac:dyDescent="0.25">
      <c r="A87" t="s">
        <v>74</v>
      </c>
      <c r="B87" s="1">
        <v>46225</v>
      </c>
    </row>
    <row r="88" spans="1:2" x14ac:dyDescent="0.25">
      <c r="A88" t="s">
        <v>75</v>
      </c>
      <c r="B88" s="1">
        <v>0</v>
      </c>
    </row>
    <row r="89" spans="1:2" x14ac:dyDescent="0.25">
      <c r="A89" t="s">
        <v>76</v>
      </c>
      <c r="B89" s="1">
        <v>-7501540</v>
      </c>
    </row>
    <row r="90" spans="1:2" x14ac:dyDescent="0.25">
      <c r="A90" t="s">
        <v>77</v>
      </c>
      <c r="B90" s="1">
        <v>-70573</v>
      </c>
    </row>
    <row r="91" spans="1:2" x14ac:dyDescent="0.25">
      <c r="B91" s="216">
        <f>+B50</f>
        <v>2025</v>
      </c>
    </row>
    <row r="92" spans="1:2" x14ac:dyDescent="0.25">
      <c r="A92" t="s">
        <v>78</v>
      </c>
      <c r="B92" s="1">
        <v>616892</v>
      </c>
    </row>
    <row r="93" spans="1:2" x14ac:dyDescent="0.25">
      <c r="A93" t="s">
        <v>79</v>
      </c>
      <c r="B93" s="1">
        <v>609685.46</v>
      </c>
    </row>
    <row r="94" spans="1:2" x14ac:dyDescent="0.25">
      <c r="A94" t="s">
        <v>80</v>
      </c>
      <c r="B94" s="1">
        <v>7206.29</v>
      </c>
    </row>
    <row r="95" spans="1:2" x14ac:dyDescent="0.25">
      <c r="A95" t="s">
        <v>81</v>
      </c>
      <c r="B95" s="1">
        <v>0</v>
      </c>
    </row>
    <row r="96" spans="1:2" x14ac:dyDescent="0.25">
      <c r="A96" t="s">
        <v>82</v>
      </c>
      <c r="B96" s="1">
        <v>359938587</v>
      </c>
    </row>
    <row r="97" spans="1:2" x14ac:dyDescent="0.25">
      <c r="A97" t="s">
        <v>83</v>
      </c>
      <c r="B97" s="1">
        <v>353684044</v>
      </c>
    </row>
    <row r="98" spans="1:2" x14ac:dyDescent="0.25">
      <c r="A98" t="s">
        <v>84</v>
      </c>
      <c r="B98" s="1">
        <v>6254543</v>
      </c>
    </row>
    <row r="99" spans="1:2" x14ac:dyDescent="0.25">
      <c r="A99" t="s">
        <v>85</v>
      </c>
      <c r="B99" s="1">
        <v>0</v>
      </c>
    </row>
    <row r="100" spans="1:2" x14ac:dyDescent="0.25">
      <c r="A100" t="s">
        <v>86</v>
      </c>
      <c r="B100" s="1">
        <v>2471303</v>
      </c>
    </row>
    <row r="101" spans="1:2" x14ac:dyDescent="0.25">
      <c r="A101" t="s">
        <v>87</v>
      </c>
      <c r="B101" s="1">
        <v>2471303</v>
      </c>
    </row>
    <row r="102" spans="1:2" x14ac:dyDescent="0.25">
      <c r="A102" t="s">
        <v>88</v>
      </c>
      <c r="B102" s="1">
        <v>0</v>
      </c>
    </row>
    <row r="103" spans="1:2" x14ac:dyDescent="0.25">
      <c r="A103" t="s">
        <v>89</v>
      </c>
      <c r="B103" s="1">
        <v>16331549</v>
      </c>
    </row>
    <row r="104" spans="1:2" x14ac:dyDescent="0.25">
      <c r="A104" t="s">
        <v>90</v>
      </c>
      <c r="B104" s="1">
        <v>16331549</v>
      </c>
    </row>
    <row r="105" spans="1:2" x14ac:dyDescent="0.25">
      <c r="A105" t="s">
        <v>91</v>
      </c>
      <c r="B105" s="1">
        <v>0</v>
      </c>
    </row>
    <row r="106" spans="1:2" x14ac:dyDescent="0.25">
      <c r="A106" t="s">
        <v>92</v>
      </c>
      <c r="B106" s="1">
        <v>0</v>
      </c>
    </row>
    <row r="107" spans="1:2" x14ac:dyDescent="0.25">
      <c r="A107" t="s">
        <v>93</v>
      </c>
      <c r="B107" s="1">
        <v>2046453</v>
      </c>
    </row>
    <row r="108" spans="1:2" x14ac:dyDescent="0.25">
      <c r="A108" s="218" t="s">
        <v>94</v>
      </c>
      <c r="B108" s="1">
        <v>1992622</v>
      </c>
    </row>
    <row r="109" spans="1:2" x14ac:dyDescent="0.25">
      <c r="A109" t="s">
        <v>95</v>
      </c>
      <c r="B109" s="1">
        <v>53831</v>
      </c>
    </row>
    <row r="110" spans="1:2" x14ac:dyDescent="0.25">
      <c r="A110" t="s">
        <v>96</v>
      </c>
      <c r="B110" s="1">
        <v>0</v>
      </c>
    </row>
    <row r="111" spans="1:2" x14ac:dyDescent="0.25">
      <c r="A111" t="s">
        <v>97</v>
      </c>
      <c r="B111" s="1">
        <v>-441971</v>
      </c>
    </row>
    <row r="112" spans="1:2" x14ac:dyDescent="0.25">
      <c r="A112" t="s">
        <v>98</v>
      </c>
      <c r="B112" s="1">
        <v>0</v>
      </c>
    </row>
    <row r="113" spans="1:2" x14ac:dyDescent="0.25">
      <c r="B113" s="216">
        <f>+B91</f>
        <v>2025</v>
      </c>
    </row>
    <row r="114" spans="1:2" x14ac:dyDescent="0.25">
      <c r="A114" t="s">
        <v>99</v>
      </c>
      <c r="B114" s="1">
        <v>0</v>
      </c>
    </row>
    <row r="115" spans="1:2" x14ac:dyDescent="0.25">
      <c r="A115" t="s">
        <v>100</v>
      </c>
      <c r="B115" s="1">
        <v>0</v>
      </c>
    </row>
    <row r="116" spans="1:2" x14ac:dyDescent="0.25">
      <c r="A116" t="s">
        <v>101</v>
      </c>
      <c r="B116" s="1">
        <v>0</v>
      </c>
    </row>
    <row r="117" spans="1:2" x14ac:dyDescent="0.25">
      <c r="A117" t="s">
        <v>102</v>
      </c>
      <c r="B117" s="1">
        <v>0</v>
      </c>
    </row>
    <row r="118" spans="1:2" x14ac:dyDescent="0.25">
      <c r="A118" t="s">
        <v>103</v>
      </c>
      <c r="B118" s="1">
        <v>0</v>
      </c>
    </row>
    <row r="119" spans="1:2" x14ac:dyDescent="0.25">
      <c r="A119" t="s">
        <v>104</v>
      </c>
      <c r="B119" s="1">
        <v>0</v>
      </c>
    </row>
    <row r="120" spans="1:2" x14ac:dyDescent="0.25">
      <c r="A120" t="s">
        <v>105</v>
      </c>
      <c r="B120" s="1">
        <v>0</v>
      </c>
    </row>
    <row r="121" spans="1:2" x14ac:dyDescent="0.25">
      <c r="A121" t="s">
        <v>106</v>
      </c>
      <c r="B121" s="1">
        <v>0</v>
      </c>
    </row>
    <row r="122" spans="1:2" x14ac:dyDescent="0.25">
      <c r="A122" t="s">
        <v>107</v>
      </c>
      <c r="B122" s="1">
        <v>0</v>
      </c>
    </row>
    <row r="123" spans="1:2" x14ac:dyDescent="0.25">
      <c r="A123" t="s">
        <v>108</v>
      </c>
      <c r="B123" s="1">
        <v>0</v>
      </c>
    </row>
    <row r="124" spans="1:2" x14ac:dyDescent="0.25">
      <c r="A124" t="s">
        <v>109</v>
      </c>
      <c r="B124" s="1">
        <v>0</v>
      </c>
    </row>
    <row r="125" spans="1:2" x14ac:dyDescent="0.25">
      <c r="B125" s="216">
        <f>+B113</f>
        <v>2025</v>
      </c>
    </row>
    <row r="126" spans="1:2" x14ac:dyDescent="0.25">
      <c r="A126" t="s">
        <v>110</v>
      </c>
      <c r="B126" s="1">
        <v>0</v>
      </c>
    </row>
    <row r="127" spans="1:2" x14ac:dyDescent="0.25">
      <c r="A127" t="s">
        <v>111</v>
      </c>
      <c r="B127" s="1">
        <v>0</v>
      </c>
    </row>
    <row r="128" spans="1:2" x14ac:dyDescent="0.25">
      <c r="A128" t="s">
        <v>112</v>
      </c>
      <c r="B128" s="1">
        <v>0</v>
      </c>
    </row>
    <row r="129" spans="1:2" x14ac:dyDescent="0.25">
      <c r="A129" t="s">
        <v>113</v>
      </c>
      <c r="B129" s="1">
        <v>0</v>
      </c>
    </row>
    <row r="130" spans="1:2" x14ac:dyDescent="0.25">
      <c r="A130" t="s">
        <v>114</v>
      </c>
      <c r="B130" s="1">
        <v>0</v>
      </c>
    </row>
    <row r="131" spans="1:2" x14ac:dyDescent="0.25">
      <c r="A131" t="s">
        <v>115</v>
      </c>
      <c r="B131" s="1">
        <v>0</v>
      </c>
    </row>
    <row r="132" spans="1:2" x14ac:dyDescent="0.25">
      <c r="A132" t="s">
        <v>116</v>
      </c>
      <c r="B132" s="1">
        <v>0</v>
      </c>
    </row>
    <row r="133" spans="1:2" x14ac:dyDescent="0.25">
      <c r="A133" t="s">
        <v>117</v>
      </c>
      <c r="B133" s="1">
        <v>0</v>
      </c>
    </row>
    <row r="134" spans="1:2" x14ac:dyDescent="0.25">
      <c r="A134" t="s">
        <v>118</v>
      </c>
      <c r="B134" s="1">
        <v>0</v>
      </c>
    </row>
    <row r="135" spans="1:2" x14ac:dyDescent="0.25">
      <c r="A135" t="s">
        <v>119</v>
      </c>
      <c r="B135" s="1">
        <v>0</v>
      </c>
    </row>
    <row r="136" spans="1:2" x14ac:dyDescent="0.25">
      <c r="A136" t="s">
        <v>120</v>
      </c>
      <c r="B136" s="1">
        <v>0</v>
      </c>
    </row>
    <row r="137" spans="1:2" x14ac:dyDescent="0.25">
      <c r="B137" s="216">
        <f>+B125</f>
        <v>2025</v>
      </c>
    </row>
    <row r="138" spans="1:2" x14ac:dyDescent="0.25">
      <c r="A138" t="s">
        <v>121</v>
      </c>
      <c r="B138" s="1">
        <v>0</v>
      </c>
    </row>
    <row r="139" spans="1:2" x14ac:dyDescent="0.25">
      <c r="A139" t="s">
        <v>122</v>
      </c>
      <c r="B139" s="1">
        <v>0</v>
      </c>
    </row>
    <row r="140" spans="1:2" x14ac:dyDescent="0.25">
      <c r="A140" t="s">
        <v>123</v>
      </c>
      <c r="B140" s="1">
        <v>0</v>
      </c>
    </row>
    <row r="141" spans="1:2" x14ac:dyDescent="0.25">
      <c r="A141" t="s">
        <v>124</v>
      </c>
      <c r="B141" s="1">
        <v>0</v>
      </c>
    </row>
    <row r="142" spans="1:2" x14ac:dyDescent="0.25">
      <c r="A142" t="s">
        <v>125</v>
      </c>
      <c r="B142" s="1">
        <v>0</v>
      </c>
    </row>
    <row r="143" spans="1:2" x14ac:dyDescent="0.25">
      <c r="A143" t="s">
        <v>126</v>
      </c>
      <c r="B143" s="1">
        <v>0</v>
      </c>
    </row>
    <row r="144" spans="1:2" x14ac:dyDescent="0.25">
      <c r="A144" t="s">
        <v>127</v>
      </c>
      <c r="B144" s="1">
        <v>0</v>
      </c>
    </row>
    <row r="145" spans="1:2" x14ac:dyDescent="0.25">
      <c r="A145" t="s">
        <v>128</v>
      </c>
      <c r="B145" s="1">
        <v>0</v>
      </c>
    </row>
    <row r="146" spans="1:2" x14ac:dyDescent="0.25">
      <c r="A146" t="s">
        <v>129</v>
      </c>
      <c r="B146" s="1">
        <v>0</v>
      </c>
    </row>
    <row r="147" spans="1:2" x14ac:dyDescent="0.25">
      <c r="A147" t="s">
        <v>130</v>
      </c>
      <c r="B147" s="1">
        <v>0</v>
      </c>
    </row>
    <row r="148" spans="1:2" x14ac:dyDescent="0.25">
      <c r="A148" t="s">
        <v>131</v>
      </c>
      <c r="B148" s="1">
        <v>0</v>
      </c>
    </row>
    <row r="149" spans="1:2" x14ac:dyDescent="0.25">
      <c r="A149" t="s">
        <v>132</v>
      </c>
      <c r="B149" s="1">
        <v>0</v>
      </c>
    </row>
    <row r="150" spans="1:2" x14ac:dyDescent="0.25">
      <c r="A150" t="s">
        <v>133</v>
      </c>
      <c r="B150" s="1">
        <v>0</v>
      </c>
    </row>
    <row r="151" spans="1:2" x14ac:dyDescent="0.25">
      <c r="A151" t="s">
        <v>134</v>
      </c>
      <c r="B151" s="1">
        <v>0</v>
      </c>
    </row>
    <row r="152" spans="1:2" x14ac:dyDescent="0.25">
      <c r="A152" t="s">
        <v>135</v>
      </c>
      <c r="B152" s="1">
        <v>0</v>
      </c>
    </row>
    <row r="153" spans="1:2" x14ac:dyDescent="0.25">
      <c r="A153" t="s">
        <v>136</v>
      </c>
      <c r="B153" s="1">
        <v>0</v>
      </c>
    </row>
    <row r="154" spans="1:2" x14ac:dyDescent="0.25">
      <c r="A154" t="s">
        <v>137</v>
      </c>
      <c r="B154" s="1">
        <v>0</v>
      </c>
    </row>
    <row r="155" spans="1:2" x14ac:dyDescent="0.25">
      <c r="A155" t="s">
        <v>138</v>
      </c>
      <c r="B155" s="1">
        <v>0</v>
      </c>
    </row>
    <row r="156" spans="1:2" x14ac:dyDescent="0.25">
      <c r="A156" t="s">
        <v>139</v>
      </c>
      <c r="B156" s="1">
        <v>0</v>
      </c>
    </row>
    <row r="157" spans="1:2" x14ac:dyDescent="0.25">
      <c r="B157" s="216">
        <f>+B137</f>
        <v>2025</v>
      </c>
    </row>
    <row r="158" spans="1:2" x14ac:dyDescent="0.25">
      <c r="A158" t="s">
        <v>140</v>
      </c>
      <c r="B158" s="1">
        <v>0</v>
      </c>
    </row>
    <row r="159" spans="1:2" x14ac:dyDescent="0.25">
      <c r="A159" t="s">
        <v>141</v>
      </c>
      <c r="B159" s="1">
        <v>0</v>
      </c>
    </row>
    <row r="160" spans="1:2" x14ac:dyDescent="0.25">
      <c r="A160" t="s">
        <v>142</v>
      </c>
      <c r="B160" s="1">
        <v>0</v>
      </c>
    </row>
    <row r="161" spans="1:2" x14ac:dyDescent="0.25">
      <c r="A161" t="s">
        <v>143</v>
      </c>
      <c r="B161" s="1">
        <v>0</v>
      </c>
    </row>
    <row r="162" spans="1:2" x14ac:dyDescent="0.25">
      <c r="A162" t="s">
        <v>144</v>
      </c>
      <c r="B162" s="1">
        <v>0</v>
      </c>
    </row>
    <row r="163" spans="1:2" x14ac:dyDescent="0.25">
      <c r="A163" t="s">
        <v>145</v>
      </c>
      <c r="B163" s="1">
        <v>0</v>
      </c>
    </row>
    <row r="164" spans="1:2" x14ac:dyDescent="0.25">
      <c r="A164" t="s">
        <v>146</v>
      </c>
      <c r="B164" s="1">
        <v>0</v>
      </c>
    </row>
    <row r="165" spans="1:2" x14ac:dyDescent="0.25">
      <c r="A165" t="s">
        <v>147</v>
      </c>
      <c r="B165" s="1">
        <v>0</v>
      </c>
    </row>
    <row r="166" spans="1:2" x14ac:dyDescent="0.25">
      <c r="A166" t="s">
        <v>148</v>
      </c>
      <c r="B166" s="1">
        <v>0</v>
      </c>
    </row>
    <row r="167" spans="1:2" x14ac:dyDescent="0.25">
      <c r="A167" t="s">
        <v>149</v>
      </c>
      <c r="B167" s="1">
        <v>0</v>
      </c>
    </row>
    <row r="168" spans="1:2" x14ac:dyDescent="0.25">
      <c r="A168" t="s">
        <v>150</v>
      </c>
      <c r="B168" s="1">
        <v>0</v>
      </c>
    </row>
    <row r="169" spans="1:2" x14ac:dyDescent="0.25">
      <c r="B169" s="216">
        <f>+B157</f>
        <v>2025</v>
      </c>
    </row>
    <row r="170" spans="1:2" x14ac:dyDescent="0.25">
      <c r="A170" t="s">
        <v>151</v>
      </c>
      <c r="B170" s="1">
        <v>0</v>
      </c>
    </row>
    <row r="171" spans="1:2" x14ac:dyDescent="0.25">
      <c r="A171" t="s">
        <v>152</v>
      </c>
      <c r="B171" s="1">
        <v>0</v>
      </c>
    </row>
    <row r="172" spans="1:2" x14ac:dyDescent="0.25">
      <c r="A172" t="s">
        <v>153</v>
      </c>
      <c r="B172" s="1">
        <v>0</v>
      </c>
    </row>
    <row r="173" spans="1:2" x14ac:dyDescent="0.25">
      <c r="A173" t="s">
        <v>154</v>
      </c>
      <c r="B173" s="1">
        <v>0</v>
      </c>
    </row>
    <row r="174" spans="1:2" x14ac:dyDescent="0.25">
      <c r="A174" t="s">
        <v>155</v>
      </c>
      <c r="B174" s="1">
        <v>0</v>
      </c>
    </row>
    <row r="175" spans="1:2" x14ac:dyDescent="0.25">
      <c r="A175" t="s">
        <v>156</v>
      </c>
      <c r="B175" s="1">
        <v>0</v>
      </c>
    </row>
    <row r="176" spans="1:2" x14ac:dyDescent="0.25">
      <c r="A176" t="s">
        <v>157</v>
      </c>
      <c r="B176" s="1">
        <v>0</v>
      </c>
    </row>
    <row r="177" spans="1:2" x14ac:dyDescent="0.25">
      <c r="A177" t="s">
        <v>158</v>
      </c>
      <c r="B177" s="1">
        <v>0</v>
      </c>
    </row>
    <row r="178" spans="1:2" x14ac:dyDescent="0.25">
      <c r="A178" t="s">
        <v>159</v>
      </c>
      <c r="B178" s="1">
        <v>0</v>
      </c>
    </row>
    <row r="179" spans="1:2" x14ac:dyDescent="0.25">
      <c r="A179" t="s">
        <v>160</v>
      </c>
      <c r="B179" s="1">
        <v>0</v>
      </c>
    </row>
    <row r="180" spans="1:2" x14ac:dyDescent="0.25">
      <c r="A180" t="s">
        <v>161</v>
      </c>
      <c r="B180" s="1">
        <v>0</v>
      </c>
    </row>
    <row r="181" spans="1:2" x14ac:dyDescent="0.25">
      <c r="A181" t="s">
        <v>162</v>
      </c>
      <c r="B181" s="1">
        <v>0</v>
      </c>
    </row>
    <row r="182" spans="1:2" x14ac:dyDescent="0.25">
      <c r="A182" t="s">
        <v>897</v>
      </c>
      <c r="B182" s="1">
        <v>0</v>
      </c>
    </row>
    <row r="183" spans="1:2" x14ac:dyDescent="0.25">
      <c r="A183" t="s">
        <v>898</v>
      </c>
      <c r="B183" s="1">
        <v>0</v>
      </c>
    </row>
    <row r="184" spans="1:2" x14ac:dyDescent="0.25">
      <c r="A184" t="s">
        <v>899</v>
      </c>
      <c r="B184" s="1">
        <v>0</v>
      </c>
    </row>
    <row r="185" spans="1:2" x14ac:dyDescent="0.25">
      <c r="A185" t="s">
        <v>900</v>
      </c>
      <c r="B185" s="1">
        <v>0</v>
      </c>
    </row>
    <row r="186" spans="1:2" x14ac:dyDescent="0.25">
      <c r="A186" t="s">
        <v>163</v>
      </c>
      <c r="B186" s="1">
        <v>0</v>
      </c>
    </row>
    <row r="187" spans="1:2" x14ac:dyDescent="0.25">
      <c r="A187" t="s">
        <v>164</v>
      </c>
      <c r="B187" s="1">
        <v>0</v>
      </c>
    </row>
    <row r="188" spans="1:2" x14ac:dyDescent="0.25">
      <c r="A188" t="s">
        <v>165</v>
      </c>
      <c r="B188" s="1">
        <v>0</v>
      </c>
    </row>
    <row r="189" spans="1:2" x14ac:dyDescent="0.25">
      <c r="A189" t="s">
        <v>166</v>
      </c>
      <c r="B189" s="1">
        <v>0</v>
      </c>
    </row>
    <row r="190" spans="1:2" x14ac:dyDescent="0.25">
      <c r="A190" t="s">
        <v>167</v>
      </c>
      <c r="B190" s="1">
        <v>0</v>
      </c>
    </row>
    <row r="191" spans="1:2" x14ac:dyDescent="0.25">
      <c r="A191" t="s">
        <v>168</v>
      </c>
      <c r="B191" s="1">
        <v>0</v>
      </c>
    </row>
    <row r="192" spans="1:2" x14ac:dyDescent="0.25">
      <c r="A192" t="s">
        <v>169</v>
      </c>
      <c r="B192" s="1">
        <v>0</v>
      </c>
    </row>
    <row r="193" spans="1:2" x14ac:dyDescent="0.25">
      <c r="A193" t="s">
        <v>170</v>
      </c>
      <c r="B193" s="1">
        <v>0</v>
      </c>
    </row>
    <row r="194" spans="1:2" x14ac:dyDescent="0.25">
      <c r="A194" t="s">
        <v>171</v>
      </c>
      <c r="B194" s="1">
        <v>0</v>
      </c>
    </row>
    <row r="195" spans="1:2" x14ac:dyDescent="0.25">
      <c r="A195" t="s">
        <v>172</v>
      </c>
      <c r="B195" s="1">
        <v>0</v>
      </c>
    </row>
    <row r="196" spans="1:2" x14ac:dyDescent="0.25">
      <c r="A196" t="s">
        <v>173</v>
      </c>
      <c r="B196" s="1">
        <v>0</v>
      </c>
    </row>
    <row r="197" spans="1:2" x14ac:dyDescent="0.25">
      <c r="B197" s="216">
        <f>+B169</f>
        <v>2025</v>
      </c>
    </row>
    <row r="198" spans="1:2" x14ac:dyDescent="0.25">
      <c r="A198" t="s">
        <v>174</v>
      </c>
      <c r="B198" s="1">
        <v>0</v>
      </c>
    </row>
    <row r="199" spans="1:2" x14ac:dyDescent="0.25">
      <c r="A199" t="s">
        <v>175</v>
      </c>
      <c r="B199" s="1">
        <v>0</v>
      </c>
    </row>
    <row r="200" spans="1:2" x14ac:dyDescent="0.25">
      <c r="A200" t="s">
        <v>176</v>
      </c>
      <c r="B200" s="1">
        <v>0</v>
      </c>
    </row>
    <row r="201" spans="1:2" x14ac:dyDescent="0.25">
      <c r="A201" t="s">
        <v>177</v>
      </c>
      <c r="B201" s="1">
        <v>0</v>
      </c>
    </row>
    <row r="202" spans="1:2" x14ac:dyDescent="0.25">
      <c r="A202" t="s">
        <v>178</v>
      </c>
      <c r="B202" s="1">
        <v>0</v>
      </c>
    </row>
    <row r="203" spans="1:2" x14ac:dyDescent="0.25">
      <c r="A203" t="s">
        <v>179</v>
      </c>
      <c r="B203" s="1">
        <v>0</v>
      </c>
    </row>
    <row r="204" spans="1:2" x14ac:dyDescent="0.25">
      <c r="A204" t="s">
        <v>180</v>
      </c>
      <c r="B204" s="1">
        <v>0</v>
      </c>
    </row>
    <row r="205" spans="1:2" x14ac:dyDescent="0.25">
      <c r="A205" t="s">
        <v>181</v>
      </c>
      <c r="B205" s="1">
        <v>0</v>
      </c>
    </row>
    <row r="206" spans="1:2" x14ac:dyDescent="0.25">
      <c r="A206" t="s">
        <v>182</v>
      </c>
      <c r="B206" s="1">
        <v>0</v>
      </c>
    </row>
    <row r="207" spans="1:2" x14ac:dyDescent="0.25">
      <c r="A207" t="s">
        <v>183</v>
      </c>
      <c r="B207" s="1">
        <v>0</v>
      </c>
    </row>
    <row r="208" spans="1:2" x14ac:dyDescent="0.25">
      <c r="A208" t="s">
        <v>184</v>
      </c>
      <c r="B208" s="1">
        <v>0</v>
      </c>
    </row>
    <row r="209" spans="1:2" x14ac:dyDescent="0.25">
      <c r="A209" t="s">
        <v>185</v>
      </c>
      <c r="B209" s="1">
        <v>0</v>
      </c>
    </row>
    <row r="210" spans="1:2" x14ac:dyDescent="0.25">
      <c r="A210" t="s">
        <v>901</v>
      </c>
      <c r="B210" s="1">
        <v>0</v>
      </c>
    </row>
    <row r="211" spans="1:2" x14ac:dyDescent="0.25">
      <c r="A211" t="s">
        <v>902</v>
      </c>
      <c r="B211" s="1">
        <v>0</v>
      </c>
    </row>
    <row r="212" spans="1:2" x14ac:dyDescent="0.25">
      <c r="A212" t="s">
        <v>903</v>
      </c>
      <c r="B212" s="1">
        <v>0</v>
      </c>
    </row>
    <row r="213" spans="1:2" x14ac:dyDescent="0.25">
      <c r="A213" t="s">
        <v>904</v>
      </c>
      <c r="B213" s="1">
        <v>0</v>
      </c>
    </row>
    <row r="214" spans="1:2" x14ac:dyDescent="0.25">
      <c r="A214" t="s">
        <v>186</v>
      </c>
      <c r="B214" s="1">
        <v>0</v>
      </c>
    </row>
    <row r="215" spans="1:2" x14ac:dyDescent="0.25">
      <c r="A215" t="s">
        <v>187</v>
      </c>
      <c r="B215" s="1">
        <v>0</v>
      </c>
    </row>
    <row r="216" spans="1:2" x14ac:dyDescent="0.25">
      <c r="A216" t="s">
        <v>188</v>
      </c>
      <c r="B216" s="1">
        <v>0</v>
      </c>
    </row>
    <row r="217" spans="1:2" x14ac:dyDescent="0.25">
      <c r="A217" t="s">
        <v>189</v>
      </c>
      <c r="B217" s="1">
        <v>0</v>
      </c>
    </row>
    <row r="218" spans="1:2" x14ac:dyDescent="0.25">
      <c r="A218" t="s">
        <v>190</v>
      </c>
      <c r="B218" s="1">
        <v>0</v>
      </c>
    </row>
    <row r="219" spans="1:2" x14ac:dyDescent="0.25">
      <c r="A219" t="s">
        <v>191</v>
      </c>
      <c r="B219" s="1">
        <v>0</v>
      </c>
    </row>
    <row r="220" spans="1:2" x14ac:dyDescent="0.25">
      <c r="A220" t="s">
        <v>192</v>
      </c>
      <c r="B220" s="1">
        <v>0</v>
      </c>
    </row>
    <row r="221" spans="1:2" x14ac:dyDescent="0.25">
      <c r="A221" t="s">
        <v>193</v>
      </c>
      <c r="B221" s="1">
        <v>0</v>
      </c>
    </row>
    <row r="222" spans="1:2" x14ac:dyDescent="0.25">
      <c r="A222" t="s">
        <v>194</v>
      </c>
      <c r="B222" s="1">
        <v>0</v>
      </c>
    </row>
    <row r="223" spans="1:2" x14ac:dyDescent="0.25">
      <c r="A223" t="s">
        <v>195</v>
      </c>
      <c r="B223" s="1">
        <v>0</v>
      </c>
    </row>
    <row r="224" spans="1:2" x14ac:dyDescent="0.25">
      <c r="A224" t="s">
        <v>196</v>
      </c>
      <c r="B224" s="1">
        <v>0</v>
      </c>
    </row>
    <row r="225" spans="1:100" x14ac:dyDescent="0.25">
      <c r="A225" t="s">
        <v>197</v>
      </c>
      <c r="B225" s="1">
        <v>0</v>
      </c>
    </row>
    <row r="226" spans="1:100" x14ac:dyDescent="0.25">
      <c r="A226" t="s">
        <v>198</v>
      </c>
      <c r="B226" s="1">
        <v>0</v>
      </c>
    </row>
    <row r="227" spans="1:100" x14ac:dyDescent="0.25">
      <c r="A227" t="s">
        <v>199</v>
      </c>
      <c r="B227" s="1">
        <v>0</v>
      </c>
    </row>
    <row r="228" spans="1:100" x14ac:dyDescent="0.25">
      <c r="A228" t="s">
        <v>200</v>
      </c>
      <c r="B228" s="1">
        <v>0</v>
      </c>
    </row>
    <row r="229" spans="1:100" x14ac:dyDescent="0.25">
      <c r="B229" s="216">
        <f>+B197</f>
        <v>2025</v>
      </c>
    </row>
    <row r="230" spans="1:100" x14ac:dyDescent="0.25">
      <c r="A230" t="s">
        <v>201</v>
      </c>
      <c r="B230" s="1">
        <v>8585.9699999999993</v>
      </c>
    </row>
    <row r="231" spans="1:100" x14ac:dyDescent="0.25">
      <c r="A231" t="s">
        <v>202</v>
      </c>
      <c r="B231" s="1">
        <v>257957869.19</v>
      </c>
    </row>
    <row r="232" spans="1:100" x14ac:dyDescent="0.25">
      <c r="A232" t="s">
        <v>203</v>
      </c>
      <c r="B232" s="1">
        <v>643312.37</v>
      </c>
    </row>
    <row r="233" spans="1:100" x14ac:dyDescent="0.25">
      <c r="A233" t="s">
        <v>204</v>
      </c>
      <c r="B233" s="1">
        <v>119000.51</v>
      </c>
    </row>
    <row r="234" spans="1:100" x14ac:dyDescent="0.25">
      <c r="A234" t="s">
        <v>205</v>
      </c>
      <c r="B234" s="1">
        <v>0</v>
      </c>
    </row>
    <row r="235" spans="1:100" x14ac:dyDescent="0.25">
      <c r="A235" t="s">
        <v>206</v>
      </c>
      <c r="B235" s="1">
        <v>8645931.6999999993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</row>
    <row r="236" spans="1:100" x14ac:dyDescent="0.25">
      <c r="A236" t="s">
        <v>207</v>
      </c>
      <c r="B236" s="1">
        <v>36511132.229999997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</row>
    <row r="237" spans="1:100" x14ac:dyDescent="0.25">
      <c r="B237" s="216">
        <f>+B229</f>
        <v>2025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</row>
    <row r="238" spans="1:100" x14ac:dyDescent="0.25">
      <c r="A238" t="s">
        <v>208</v>
      </c>
      <c r="B238" s="1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</row>
    <row r="239" spans="1:100" x14ac:dyDescent="0.25">
      <c r="A239" t="s">
        <v>209</v>
      </c>
      <c r="B239" s="1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</row>
    <row r="240" spans="1:100" x14ac:dyDescent="0.25">
      <c r="A240" t="s">
        <v>210</v>
      </c>
      <c r="B240" s="1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</row>
    <row r="241" spans="1:100" x14ac:dyDescent="0.25">
      <c r="A241" t="s">
        <v>211</v>
      </c>
      <c r="B241" s="1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</row>
    <row r="242" spans="1:100" x14ac:dyDescent="0.25">
      <c r="A242" t="s">
        <v>212</v>
      </c>
      <c r="B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</row>
    <row r="243" spans="1:100" x14ac:dyDescent="0.25">
      <c r="A243" t="s">
        <v>213</v>
      </c>
      <c r="B243" s="1">
        <v>0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</row>
    <row r="244" spans="1:100" x14ac:dyDescent="0.25">
      <c r="A244" t="s">
        <v>214</v>
      </c>
      <c r="B244" s="1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</row>
    <row r="245" spans="1:100" x14ac:dyDescent="0.25">
      <c r="B245" s="216">
        <f>+B237</f>
        <v>2025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</row>
    <row r="246" spans="1:100" x14ac:dyDescent="0.25">
      <c r="A246" t="s">
        <v>215</v>
      </c>
      <c r="B246" s="1">
        <v>13410.6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</row>
    <row r="247" spans="1:100" x14ac:dyDescent="0.25">
      <c r="A247" t="s">
        <v>216</v>
      </c>
      <c r="B247" s="1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</row>
    <row r="248" spans="1:100" x14ac:dyDescent="0.25">
      <c r="A248" t="s">
        <v>217</v>
      </c>
      <c r="B248" s="1">
        <v>1016146134.0599999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</row>
    <row r="249" spans="1:100" x14ac:dyDescent="0.25">
      <c r="A249" t="s">
        <v>218</v>
      </c>
      <c r="B249" s="1">
        <v>248665475.38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</row>
    <row r="250" spans="1:100" x14ac:dyDescent="0.25">
      <c r="A250" t="s">
        <v>219</v>
      </c>
      <c r="B250" s="1">
        <v>415280779.51999998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</row>
    <row r="251" spans="1:100" x14ac:dyDescent="0.25">
      <c r="A251" t="s">
        <v>905</v>
      </c>
      <c r="B251" s="1">
        <v>352199879.16000003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</row>
    <row r="252" spans="1:100" x14ac:dyDescent="0.25">
      <c r="A252" t="s">
        <v>220</v>
      </c>
      <c r="B252" s="1">
        <v>1888584.92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</row>
    <row r="253" spans="1:100" x14ac:dyDescent="0.25">
      <c r="A253" t="s">
        <v>221</v>
      </c>
      <c r="B253" s="1">
        <v>1780840.11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</row>
    <row r="254" spans="1:100" x14ac:dyDescent="0.25">
      <c r="A254" t="s">
        <v>222</v>
      </c>
      <c r="B254" s="1">
        <v>888138.23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</row>
    <row r="255" spans="1:100" x14ac:dyDescent="0.25">
      <c r="A255" t="s">
        <v>223</v>
      </c>
      <c r="B255" s="1">
        <v>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</row>
    <row r="256" spans="1:100" x14ac:dyDescent="0.25">
      <c r="A256" t="s">
        <v>224</v>
      </c>
      <c r="B256" s="1">
        <v>27333710.02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</row>
    <row r="257" spans="1:100" x14ac:dyDescent="0.25">
      <c r="A257" t="s">
        <v>225</v>
      </c>
      <c r="B257" s="1">
        <v>109235089.39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</row>
    <row r="258" spans="1:100" x14ac:dyDescent="0.25">
      <c r="B258" s="216">
        <f>+B245</f>
        <v>2025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</row>
    <row r="259" spans="1:100" x14ac:dyDescent="0.25">
      <c r="A259" t="s">
        <v>226</v>
      </c>
      <c r="B259" s="1">
        <v>1453.37</v>
      </c>
    </row>
    <row r="260" spans="1:100" x14ac:dyDescent="0.25">
      <c r="A260" t="s">
        <v>227</v>
      </c>
      <c r="B260" s="1">
        <v>206310952.94</v>
      </c>
    </row>
    <row r="261" spans="1:100" x14ac:dyDescent="0.25">
      <c r="A261" t="s">
        <v>228</v>
      </c>
      <c r="B261" s="1">
        <v>48592993.530000001</v>
      </c>
    </row>
    <row r="262" spans="1:100" x14ac:dyDescent="0.25">
      <c r="A262" t="s">
        <v>229</v>
      </c>
      <c r="B262" s="1">
        <v>90266980.709999993</v>
      </c>
    </row>
    <row r="263" spans="1:100" x14ac:dyDescent="0.25">
      <c r="A263" t="s">
        <v>906</v>
      </c>
      <c r="B263" s="1">
        <v>67450978.700000003</v>
      </c>
    </row>
    <row r="264" spans="1:100" x14ac:dyDescent="0.25">
      <c r="A264" t="s">
        <v>230</v>
      </c>
      <c r="B264" s="1">
        <v>592305.27</v>
      </c>
    </row>
    <row r="265" spans="1:100" x14ac:dyDescent="0.25">
      <c r="A265" t="s">
        <v>231</v>
      </c>
      <c r="B265" s="1">
        <v>544685.55000000005</v>
      </c>
    </row>
    <row r="266" spans="1:100" x14ac:dyDescent="0.25">
      <c r="A266" t="s">
        <v>232</v>
      </c>
      <c r="B266" s="1">
        <v>0</v>
      </c>
    </row>
    <row r="267" spans="1:100" x14ac:dyDescent="0.25">
      <c r="A267" t="s">
        <v>233</v>
      </c>
      <c r="B267" s="1"/>
    </row>
    <row r="268" spans="1:100" x14ac:dyDescent="0.25">
      <c r="A268" t="s">
        <v>234</v>
      </c>
      <c r="B268" s="1">
        <v>21354005.66</v>
      </c>
    </row>
    <row r="269" spans="1:100" x14ac:dyDescent="0.25">
      <c r="A269" t="s">
        <v>235</v>
      </c>
      <c r="B269" s="1">
        <v>2680704.4</v>
      </c>
    </row>
    <row r="270" spans="1:100" x14ac:dyDescent="0.25">
      <c r="B270" s="216">
        <f>+B258</f>
        <v>2025</v>
      </c>
    </row>
    <row r="271" spans="1:100" x14ac:dyDescent="0.25">
      <c r="A271" t="s">
        <v>236</v>
      </c>
      <c r="B271" s="1">
        <v>0</v>
      </c>
    </row>
    <row r="272" spans="1:100" x14ac:dyDescent="0.25">
      <c r="A272" t="s">
        <v>237</v>
      </c>
      <c r="B272" s="1">
        <v>0</v>
      </c>
    </row>
    <row r="273" spans="1:2" x14ac:dyDescent="0.25">
      <c r="A273" t="s">
        <v>238</v>
      </c>
      <c r="B273" s="1">
        <v>0</v>
      </c>
    </row>
    <row r="274" spans="1:2" x14ac:dyDescent="0.25">
      <c r="A274" t="s">
        <v>239</v>
      </c>
      <c r="B274" s="1">
        <v>0</v>
      </c>
    </row>
    <row r="275" spans="1:2" x14ac:dyDescent="0.25">
      <c r="A275" t="s">
        <v>240</v>
      </c>
      <c r="B275" s="1">
        <v>0</v>
      </c>
    </row>
    <row r="276" spans="1:2" x14ac:dyDescent="0.25">
      <c r="A276" t="s">
        <v>241</v>
      </c>
      <c r="B276" s="1">
        <v>0</v>
      </c>
    </row>
    <row r="277" spans="1:2" x14ac:dyDescent="0.25">
      <c r="A277" t="s">
        <v>242</v>
      </c>
      <c r="B277" s="1">
        <v>0</v>
      </c>
    </row>
    <row r="278" spans="1:2" x14ac:dyDescent="0.25">
      <c r="A278" t="s">
        <v>243</v>
      </c>
      <c r="B278" s="1">
        <v>0</v>
      </c>
    </row>
    <row r="279" spans="1:2" x14ac:dyDescent="0.25">
      <c r="A279" t="s">
        <v>244</v>
      </c>
      <c r="B279" s="1">
        <v>0</v>
      </c>
    </row>
    <row r="280" spans="1:2" x14ac:dyDescent="0.25">
      <c r="A280" t="s">
        <v>245</v>
      </c>
      <c r="B280" s="1">
        <v>0</v>
      </c>
    </row>
    <row r="281" spans="1:2" x14ac:dyDescent="0.25">
      <c r="A281" t="s">
        <v>246</v>
      </c>
      <c r="B281" s="1">
        <v>0</v>
      </c>
    </row>
    <row r="282" spans="1:2" x14ac:dyDescent="0.25">
      <c r="A282" t="s">
        <v>247</v>
      </c>
      <c r="B282" s="1">
        <v>0</v>
      </c>
    </row>
    <row r="283" spans="1:2" x14ac:dyDescent="0.25">
      <c r="B283" s="216">
        <f>+B270</f>
        <v>2025</v>
      </c>
    </row>
    <row r="284" spans="1:2" x14ac:dyDescent="0.25">
      <c r="A284" t="s">
        <v>248</v>
      </c>
      <c r="B284" s="1">
        <v>0</v>
      </c>
    </row>
    <row r="285" spans="1:2" x14ac:dyDescent="0.25">
      <c r="A285" t="s">
        <v>249</v>
      </c>
      <c r="B285" s="1">
        <v>0</v>
      </c>
    </row>
    <row r="286" spans="1:2" x14ac:dyDescent="0.25">
      <c r="A286" t="s">
        <v>250</v>
      </c>
      <c r="B286" s="1">
        <v>0</v>
      </c>
    </row>
    <row r="287" spans="1:2" x14ac:dyDescent="0.25">
      <c r="A287" t="s">
        <v>251</v>
      </c>
      <c r="B287" s="1">
        <v>0</v>
      </c>
    </row>
    <row r="288" spans="1:2" x14ac:dyDescent="0.25">
      <c r="A288" t="s">
        <v>252</v>
      </c>
      <c r="B288" s="1">
        <v>0</v>
      </c>
    </row>
    <row r="289" spans="1:2" x14ac:dyDescent="0.25">
      <c r="A289" t="s">
        <v>253</v>
      </c>
      <c r="B289" s="1">
        <v>0</v>
      </c>
    </row>
    <row r="290" spans="1:2" x14ac:dyDescent="0.25">
      <c r="A290" t="s">
        <v>254</v>
      </c>
      <c r="B290" s="1">
        <v>0</v>
      </c>
    </row>
    <row r="291" spans="1:2" x14ac:dyDescent="0.25">
      <c r="A291" t="s">
        <v>255</v>
      </c>
      <c r="B291" s="1">
        <v>0</v>
      </c>
    </row>
    <row r="292" spans="1:2" x14ac:dyDescent="0.25">
      <c r="A292" t="s">
        <v>256</v>
      </c>
      <c r="B292" s="1">
        <v>0</v>
      </c>
    </row>
    <row r="293" spans="1:2" x14ac:dyDescent="0.25">
      <c r="A293" t="s">
        <v>257</v>
      </c>
      <c r="B293" s="1">
        <v>0</v>
      </c>
    </row>
    <row r="294" spans="1:2" x14ac:dyDescent="0.25">
      <c r="A294" t="s">
        <v>258</v>
      </c>
      <c r="B294" s="1">
        <v>0</v>
      </c>
    </row>
    <row r="295" spans="1:2" x14ac:dyDescent="0.25">
      <c r="A295" t="s">
        <v>259</v>
      </c>
      <c r="B295" s="1">
        <v>0</v>
      </c>
    </row>
    <row r="296" spans="1:2" x14ac:dyDescent="0.25">
      <c r="B296" s="216">
        <f>+B283</f>
        <v>2025</v>
      </c>
    </row>
    <row r="297" spans="1:2" x14ac:dyDescent="0.25">
      <c r="A297" t="s">
        <v>260</v>
      </c>
      <c r="B297" s="1">
        <v>358</v>
      </c>
    </row>
    <row r="298" spans="1:2" x14ac:dyDescent="0.25">
      <c r="A298" t="s">
        <v>261</v>
      </c>
      <c r="B298" s="1">
        <v>16746144.810000001</v>
      </c>
    </row>
    <row r="299" spans="1:2" x14ac:dyDescent="0.25">
      <c r="A299" t="s">
        <v>262</v>
      </c>
      <c r="B299" s="1">
        <v>0</v>
      </c>
    </row>
    <row r="300" spans="1:2" x14ac:dyDescent="0.25">
      <c r="A300" t="s">
        <v>263</v>
      </c>
      <c r="B300" s="1">
        <v>0</v>
      </c>
    </row>
    <row r="301" spans="1:2" x14ac:dyDescent="0.25">
      <c r="A301" t="s">
        <v>264</v>
      </c>
      <c r="B301" s="1">
        <v>13506304</v>
      </c>
    </row>
    <row r="302" spans="1:2" x14ac:dyDescent="0.25">
      <c r="A302" t="s">
        <v>265</v>
      </c>
      <c r="B302" s="1">
        <v>0</v>
      </c>
    </row>
    <row r="303" spans="1:2" x14ac:dyDescent="0.25">
      <c r="B303" s="216">
        <f>+B296</f>
        <v>2025</v>
      </c>
    </row>
    <row r="304" spans="1:2" x14ac:dyDescent="0.25">
      <c r="A304" t="s">
        <v>266</v>
      </c>
      <c r="B304" s="1">
        <v>11496402</v>
      </c>
    </row>
    <row r="305" spans="1:2" x14ac:dyDescent="0.25">
      <c r="A305" t="s">
        <v>267</v>
      </c>
      <c r="B305" s="1">
        <v>2809721</v>
      </c>
    </row>
    <row r="306" spans="1:2" x14ac:dyDescent="0.25">
      <c r="A306" t="s">
        <v>268</v>
      </c>
      <c r="B306" s="1">
        <v>4768707</v>
      </c>
    </row>
    <row r="307" spans="1:2" x14ac:dyDescent="0.25">
      <c r="A307" t="s">
        <v>908</v>
      </c>
      <c r="B307" s="1">
        <v>3917974</v>
      </c>
    </row>
    <row r="308" spans="1:2" x14ac:dyDescent="0.25">
      <c r="A308" t="s">
        <v>269</v>
      </c>
      <c r="B308" s="1">
        <v>30267</v>
      </c>
    </row>
    <row r="309" spans="1:2" x14ac:dyDescent="0.25">
      <c r="A309" t="s">
        <v>270</v>
      </c>
      <c r="B309" s="1">
        <v>37120</v>
      </c>
    </row>
    <row r="310" spans="1:2" x14ac:dyDescent="0.25">
      <c r="B310" s="216">
        <f>+B303</f>
        <v>2025</v>
      </c>
    </row>
    <row r="311" spans="1:2" x14ac:dyDescent="0.25">
      <c r="A311" t="s">
        <v>271</v>
      </c>
      <c r="B311" s="1">
        <v>5249743</v>
      </c>
    </row>
    <row r="312" spans="1:2" x14ac:dyDescent="0.25">
      <c r="A312" t="s">
        <v>272</v>
      </c>
      <c r="B312" s="1">
        <v>1283037</v>
      </c>
    </row>
    <row r="313" spans="1:2" x14ac:dyDescent="0.25">
      <c r="A313" t="s">
        <v>273</v>
      </c>
      <c r="B313" s="1">
        <v>2177593</v>
      </c>
    </row>
    <row r="314" spans="1:2" x14ac:dyDescent="0.25">
      <c r="A314" t="s">
        <v>907</v>
      </c>
      <c r="B314" s="1">
        <v>1789114</v>
      </c>
    </row>
    <row r="315" spans="1:2" x14ac:dyDescent="0.25">
      <c r="A315" t="s">
        <v>274</v>
      </c>
      <c r="B315" s="1">
        <v>86588.24</v>
      </c>
    </row>
    <row r="316" spans="1:2" x14ac:dyDescent="0.25">
      <c r="A316" t="s">
        <v>275</v>
      </c>
      <c r="B316" s="1">
        <v>38043.1</v>
      </c>
    </row>
    <row r="317" spans="1:2" x14ac:dyDescent="0.25">
      <c r="A317" t="s">
        <v>276</v>
      </c>
      <c r="B317" s="1">
        <v>171208.81</v>
      </c>
    </row>
    <row r="318" spans="1:2" x14ac:dyDescent="0.25">
      <c r="B318" s="216">
        <f>+B310</f>
        <v>2025</v>
      </c>
    </row>
    <row r="319" spans="1:2" x14ac:dyDescent="0.25">
      <c r="A319" t="s">
        <v>277</v>
      </c>
      <c r="B319" s="1">
        <v>2587</v>
      </c>
    </row>
    <row r="320" spans="1:2" x14ac:dyDescent="0.25">
      <c r="A320" t="s">
        <v>278</v>
      </c>
      <c r="B320" s="1">
        <v>527953235.63</v>
      </c>
    </row>
    <row r="321" spans="1:2" x14ac:dyDescent="0.25">
      <c r="A321" t="s">
        <v>279</v>
      </c>
      <c r="B321" s="1">
        <v>0</v>
      </c>
    </row>
    <row r="322" spans="1:2" x14ac:dyDescent="0.25">
      <c r="A322" t="s">
        <v>280</v>
      </c>
      <c r="B322" s="1">
        <v>0</v>
      </c>
    </row>
    <row r="323" spans="1:2" x14ac:dyDescent="0.25">
      <c r="A323" t="s">
        <v>281</v>
      </c>
      <c r="B323" s="1">
        <v>32205802</v>
      </c>
    </row>
    <row r="324" spans="1:2" x14ac:dyDescent="0.25">
      <c r="A324" t="s">
        <v>282</v>
      </c>
      <c r="B324" s="1">
        <v>117949</v>
      </c>
    </row>
    <row r="325" spans="1:2" x14ac:dyDescent="0.25">
      <c r="B325" s="216">
        <f>+B318</f>
        <v>2025</v>
      </c>
    </row>
    <row r="326" spans="1:2" x14ac:dyDescent="0.25">
      <c r="A326" t="s">
        <v>283</v>
      </c>
      <c r="B326" s="1">
        <v>320971051</v>
      </c>
    </row>
    <row r="327" spans="1:2" x14ac:dyDescent="0.25">
      <c r="A327" t="s">
        <v>284</v>
      </c>
      <c r="B327" s="1">
        <v>78130773</v>
      </c>
    </row>
    <row r="328" spans="1:2" x14ac:dyDescent="0.25">
      <c r="A328" t="s">
        <v>285</v>
      </c>
      <c r="B328" s="1">
        <v>126481852</v>
      </c>
    </row>
    <row r="329" spans="1:2" x14ac:dyDescent="0.25">
      <c r="A329" t="s">
        <v>909</v>
      </c>
      <c r="B329" s="1">
        <v>116358426</v>
      </c>
    </row>
    <row r="330" spans="1:2" x14ac:dyDescent="0.25">
      <c r="A330" t="s">
        <v>286</v>
      </c>
      <c r="B330" s="1">
        <v>516200</v>
      </c>
    </row>
    <row r="331" spans="1:2" x14ac:dyDescent="0.25">
      <c r="A331" t="s">
        <v>287</v>
      </c>
      <c r="B331" s="1">
        <v>482200</v>
      </c>
    </row>
    <row r="332" spans="1:2" x14ac:dyDescent="0.25">
      <c r="B332" s="216">
        <f>+B325</f>
        <v>2025</v>
      </c>
    </row>
    <row r="333" spans="1:2" x14ac:dyDescent="0.25">
      <c r="A333" t="s">
        <v>288</v>
      </c>
      <c r="B333" s="1">
        <v>206982184</v>
      </c>
    </row>
    <row r="334" spans="1:2" x14ac:dyDescent="0.25">
      <c r="A334" t="s">
        <v>289</v>
      </c>
      <c r="B334" s="1">
        <v>50383603</v>
      </c>
    </row>
    <row r="335" spans="1:2" x14ac:dyDescent="0.25">
      <c r="A335" t="s">
        <v>290</v>
      </c>
      <c r="B335" s="1">
        <v>81563400</v>
      </c>
    </row>
    <row r="336" spans="1:2" x14ac:dyDescent="0.25">
      <c r="A336" t="s">
        <v>910</v>
      </c>
      <c r="B336" s="1">
        <v>75035181</v>
      </c>
    </row>
    <row r="337" spans="1:3" x14ac:dyDescent="0.25">
      <c r="A337" t="s">
        <v>291</v>
      </c>
      <c r="B337" s="1">
        <v>1691241.73</v>
      </c>
    </row>
    <row r="338" spans="1:3" x14ac:dyDescent="0.25">
      <c r="A338" t="s">
        <v>292</v>
      </c>
      <c r="B338" s="1">
        <v>355048.34</v>
      </c>
    </row>
    <row r="339" spans="1:3" x14ac:dyDescent="0.25">
      <c r="A339" t="s">
        <v>293</v>
      </c>
      <c r="B339" s="1">
        <v>8856414.7300000004</v>
      </c>
    </row>
    <row r="340" spans="1:3" x14ac:dyDescent="0.25">
      <c r="B340" s="216">
        <f>+B332</f>
        <v>2025</v>
      </c>
    </row>
    <row r="341" spans="1:3" x14ac:dyDescent="0.25">
      <c r="A341" t="s">
        <v>294</v>
      </c>
      <c r="B341" s="1">
        <v>0</v>
      </c>
    </row>
    <row r="342" spans="1:3" x14ac:dyDescent="0.25">
      <c r="A342" t="s">
        <v>295</v>
      </c>
      <c r="B342" s="1">
        <v>86098</v>
      </c>
    </row>
    <row r="343" spans="1:3" x14ac:dyDescent="0.25">
      <c r="A343" t="s">
        <v>296</v>
      </c>
      <c r="B343" s="1">
        <v>90971810.510000005</v>
      </c>
    </row>
    <row r="344" spans="1:3" x14ac:dyDescent="0.25">
      <c r="A344" t="s">
        <v>297</v>
      </c>
      <c r="B344" s="1">
        <v>16099788</v>
      </c>
      <c r="C344" s="385"/>
    </row>
    <row r="345" spans="1:3" x14ac:dyDescent="0.25">
      <c r="A345" t="s">
        <v>298</v>
      </c>
      <c r="B345" s="1">
        <v>654726.75</v>
      </c>
      <c r="C345" s="385"/>
    </row>
    <row r="346" spans="1:3" x14ac:dyDescent="0.25">
      <c r="A346" t="s">
        <v>299</v>
      </c>
      <c r="B346" s="1">
        <v>1200</v>
      </c>
      <c r="C346" s="385"/>
    </row>
    <row r="347" spans="1:3" x14ac:dyDescent="0.25">
      <c r="B347" s="216">
        <f>+B340</f>
        <v>2025</v>
      </c>
    </row>
    <row r="348" spans="1:3" x14ac:dyDescent="0.25">
      <c r="A348" t="s">
        <v>300</v>
      </c>
      <c r="B348" s="1">
        <v>7490717.6144992188</v>
      </c>
    </row>
    <row r="349" spans="1:3" x14ac:dyDescent="0.25">
      <c r="A349" t="s">
        <v>301</v>
      </c>
      <c r="B349" s="1">
        <v>271425.18464868463</v>
      </c>
    </row>
    <row r="350" spans="1:3" x14ac:dyDescent="0.25">
      <c r="A350" t="s">
        <v>302</v>
      </c>
      <c r="B350" s="1">
        <v>14948840</v>
      </c>
    </row>
    <row r="351" spans="1:3" x14ac:dyDescent="0.25">
      <c r="B351" s="216">
        <f>+B347</f>
        <v>2025</v>
      </c>
    </row>
    <row r="352" spans="1:3" x14ac:dyDescent="0.25">
      <c r="A352" t="s">
        <v>303</v>
      </c>
      <c r="B352" s="1">
        <v>0</v>
      </c>
    </row>
    <row r="353" spans="1:2" x14ac:dyDescent="0.25">
      <c r="B353" s="1"/>
    </row>
    <row r="354" spans="1:2" x14ac:dyDescent="0.25">
      <c r="B354" s="216">
        <f>+B351</f>
        <v>2025</v>
      </c>
    </row>
    <row r="355" spans="1:2" x14ac:dyDescent="0.25">
      <c r="A355" t="s">
        <v>828</v>
      </c>
      <c r="B355" s="1">
        <v>0</v>
      </c>
    </row>
    <row r="356" spans="1:2" x14ac:dyDescent="0.25">
      <c r="A356" t="s">
        <v>829</v>
      </c>
      <c r="B356" s="1">
        <v>0</v>
      </c>
    </row>
    <row r="357" spans="1:2" x14ac:dyDescent="0.25">
      <c r="A357" t="s">
        <v>830</v>
      </c>
      <c r="B357" s="1">
        <v>0</v>
      </c>
    </row>
    <row r="358" spans="1:2" x14ac:dyDescent="0.25">
      <c r="A358" t="s">
        <v>834</v>
      </c>
      <c r="B358" s="1">
        <v>0</v>
      </c>
    </row>
    <row r="359" spans="1:2" x14ac:dyDescent="0.25">
      <c r="A359" t="s">
        <v>835</v>
      </c>
      <c r="B359" s="1">
        <v>0</v>
      </c>
    </row>
    <row r="360" spans="1:2" x14ac:dyDescent="0.25">
      <c r="A360" t="s">
        <v>836</v>
      </c>
      <c r="B360" s="1">
        <v>0</v>
      </c>
    </row>
    <row r="361" spans="1:2" x14ac:dyDescent="0.25">
      <c r="A361" t="s">
        <v>831</v>
      </c>
      <c r="B361" s="1">
        <v>0</v>
      </c>
    </row>
    <row r="362" spans="1:2" x14ac:dyDescent="0.25">
      <c r="A362" t="s">
        <v>832</v>
      </c>
      <c r="B362" s="1">
        <v>0</v>
      </c>
    </row>
    <row r="363" spans="1:2" x14ac:dyDescent="0.25">
      <c r="A363" t="s">
        <v>833</v>
      </c>
      <c r="B363" s="1">
        <v>0</v>
      </c>
    </row>
    <row r="364" spans="1:2" x14ac:dyDescent="0.25">
      <c r="A364" t="s">
        <v>837</v>
      </c>
      <c r="B364" s="1">
        <v>0</v>
      </c>
    </row>
    <row r="365" spans="1:2" x14ac:dyDescent="0.25">
      <c r="A365" t="s">
        <v>838</v>
      </c>
      <c r="B365" s="1">
        <v>0</v>
      </c>
    </row>
    <row r="366" spans="1:2" x14ac:dyDescent="0.25">
      <c r="A366" t="s">
        <v>839</v>
      </c>
      <c r="B366" s="1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C94F-0716-475D-81F9-C68994B49273}">
  <sheetPr>
    <pageSetUpPr fitToPage="1"/>
  </sheetPr>
  <dimension ref="A1:V55"/>
  <sheetViews>
    <sheetView workbookViewId="0"/>
  </sheetViews>
  <sheetFormatPr defaultColWidth="9.140625" defaultRowHeight="11.25" x14ac:dyDescent="0.2"/>
  <cols>
    <col min="1" max="1" width="3.5703125" style="233" customWidth="1"/>
    <col min="2" max="2" width="6.85546875" style="233" bestFit="1" customWidth="1"/>
    <col min="3" max="3" width="9.5703125" style="233" customWidth="1"/>
    <col min="4" max="4" width="17.5703125" style="233" customWidth="1"/>
    <col min="5" max="5" width="12.5703125" style="233" customWidth="1"/>
    <col min="6" max="6" width="9" style="233" bestFit="1" customWidth="1"/>
    <col min="7" max="7" width="9.5703125" style="233" customWidth="1"/>
    <col min="8" max="8" width="16" style="233" bestFit="1" customWidth="1"/>
    <col min="9" max="9" width="19" style="233" bestFit="1" customWidth="1"/>
    <col min="10" max="10" width="5.5703125" style="233" customWidth="1"/>
    <col min="11" max="11" width="6.42578125" style="226" customWidth="1"/>
    <col min="12" max="12" width="13.5703125" style="233" customWidth="1"/>
    <col min="13" max="13" width="8.5703125" style="233" customWidth="1"/>
    <col min="14" max="14" width="10.140625" style="233" customWidth="1"/>
    <col min="15" max="15" width="11.140625" style="233" customWidth="1"/>
    <col min="16" max="16" width="17" style="233" customWidth="1"/>
    <col min="17" max="17" width="11.28515625" style="233" customWidth="1"/>
    <col min="18" max="18" width="16.140625" style="233" bestFit="1" customWidth="1"/>
    <col min="19" max="19" width="18.7109375" style="233" bestFit="1" customWidth="1"/>
    <col min="20" max="20" width="9.5703125" style="233" customWidth="1"/>
    <col min="21" max="21" width="15" style="233" bestFit="1" customWidth="1"/>
    <col min="22" max="22" width="14.5703125" style="233" bestFit="1" customWidth="1"/>
    <col min="23" max="23" width="18.28515625" style="233" bestFit="1" customWidth="1"/>
    <col min="24" max="24" width="18.28515625" style="233" customWidth="1"/>
    <col min="25" max="25" width="13.140625" style="233" bestFit="1" customWidth="1"/>
    <col min="26" max="27" width="9.140625" style="233"/>
    <col min="28" max="28" width="14.5703125" style="233" bestFit="1" customWidth="1"/>
    <col min="29" max="29" width="18.28515625" style="233" bestFit="1" customWidth="1"/>
    <col min="30" max="30" width="15" style="233" bestFit="1" customWidth="1"/>
    <col min="31" max="31" width="13.140625" style="233" bestFit="1" customWidth="1"/>
    <col min="32" max="16384" width="9.140625" style="233"/>
  </cols>
  <sheetData>
    <row r="1" spans="1:22" ht="15.75" customHeight="1" x14ac:dyDescent="0.2"/>
    <row r="2" spans="1:22" ht="14.1" customHeight="1" x14ac:dyDescent="0.2">
      <c r="H2" s="590"/>
      <c r="I2" s="590"/>
      <c r="J2" s="590"/>
      <c r="K2" s="590"/>
      <c r="L2" s="590"/>
    </row>
    <row r="3" spans="1:22" ht="14.1" customHeight="1" thickBot="1" x14ac:dyDescent="0.25">
      <c r="A3" s="306" t="s">
        <v>305</v>
      </c>
      <c r="B3" s="306"/>
      <c r="C3" s="306"/>
      <c r="D3" s="306"/>
      <c r="E3" s="306"/>
      <c r="F3" s="306"/>
      <c r="G3" s="306"/>
      <c r="H3" s="591" t="s">
        <v>306</v>
      </c>
      <c r="I3" s="591"/>
      <c r="J3" s="591"/>
      <c r="K3" s="591"/>
      <c r="L3" s="591"/>
      <c r="M3" s="306"/>
      <c r="N3" s="306"/>
      <c r="O3" s="306"/>
      <c r="P3" s="306"/>
      <c r="Q3" s="306"/>
      <c r="R3" s="306"/>
      <c r="S3" s="306" t="s">
        <v>874</v>
      </c>
    </row>
    <row r="4" spans="1:22" ht="14.1" customHeight="1" x14ac:dyDescent="0.2">
      <c r="A4" s="233" t="s">
        <v>307</v>
      </c>
      <c r="E4" s="233" t="s">
        <v>308</v>
      </c>
      <c r="G4" s="233" t="s">
        <v>913</v>
      </c>
      <c r="K4" s="316"/>
      <c r="L4" s="309"/>
      <c r="N4" s="309"/>
      <c r="O4" s="309"/>
      <c r="P4" s="309" t="s">
        <v>309</v>
      </c>
      <c r="S4" s="310"/>
    </row>
    <row r="5" spans="1:22" ht="14.1" customHeight="1" x14ac:dyDescent="0.2">
      <c r="G5" s="233" t="s">
        <v>914</v>
      </c>
      <c r="L5" s="310"/>
      <c r="O5" s="311"/>
      <c r="P5" s="311"/>
      <c r="Q5" s="311" t="s">
        <v>919</v>
      </c>
      <c r="R5" s="310" t="s">
        <v>920</v>
      </c>
      <c r="V5" s="393"/>
    </row>
    <row r="6" spans="1:22" ht="14.1" customHeight="1" x14ac:dyDescent="0.2">
      <c r="A6" s="233" t="s">
        <v>310</v>
      </c>
      <c r="G6" s="233" t="s">
        <v>915</v>
      </c>
      <c r="L6" s="310"/>
      <c r="M6" s="311"/>
      <c r="P6" s="311"/>
      <c r="Q6" s="311"/>
      <c r="R6" s="310" t="s">
        <v>937</v>
      </c>
    </row>
    <row r="7" spans="1:22" ht="14.1" customHeight="1" x14ac:dyDescent="0.2">
      <c r="G7" s="233" t="s">
        <v>916</v>
      </c>
      <c r="L7" s="310"/>
      <c r="M7" s="311"/>
      <c r="P7" s="311"/>
      <c r="Q7" s="311"/>
      <c r="R7" s="310" t="s">
        <v>938</v>
      </c>
    </row>
    <row r="8" spans="1:22" ht="14.1" customHeight="1" x14ac:dyDescent="0.2">
      <c r="C8" s="311"/>
      <c r="G8" s="233" t="s">
        <v>917</v>
      </c>
      <c r="H8" s="317"/>
      <c r="I8" s="317"/>
      <c r="J8" s="317"/>
      <c r="R8" s="233" t="s">
        <v>311</v>
      </c>
    </row>
    <row r="9" spans="1:22" ht="14.1" customHeight="1" thickBot="1" x14ac:dyDescent="0.25">
      <c r="A9" s="306" t="s">
        <v>1642</v>
      </c>
      <c r="B9" s="306"/>
      <c r="C9" s="326"/>
      <c r="D9" s="319"/>
      <c r="E9" s="319"/>
      <c r="F9" s="319"/>
      <c r="G9" s="361" t="s">
        <v>918</v>
      </c>
      <c r="H9" s="319"/>
      <c r="I9" s="319"/>
      <c r="J9" s="319"/>
      <c r="K9" s="319"/>
      <c r="L9" s="319"/>
      <c r="M9" s="319"/>
      <c r="N9" s="319"/>
      <c r="O9" s="319"/>
      <c r="P9" s="319"/>
      <c r="Q9" s="319"/>
      <c r="R9" s="319"/>
      <c r="S9" s="319"/>
    </row>
    <row r="10" spans="1:22" ht="14.1" customHeight="1" x14ac:dyDescent="0.2">
      <c r="B10" s="226"/>
      <c r="C10" s="226"/>
      <c r="D10" s="317"/>
      <c r="E10" s="317"/>
      <c r="F10" s="317"/>
      <c r="G10" s="310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</row>
    <row r="11" spans="1:22" ht="14.1" customHeight="1" x14ac:dyDescent="0.2">
      <c r="E11" s="317"/>
      <c r="G11" s="317"/>
      <c r="H11" s="362"/>
      <c r="I11" s="317"/>
      <c r="K11" s="317"/>
      <c r="M11" s="362"/>
    </row>
    <row r="12" spans="1:22" ht="14.1" customHeight="1" x14ac:dyDescent="0.2">
      <c r="F12" s="362"/>
      <c r="G12" s="362"/>
      <c r="H12" s="363"/>
      <c r="I12" s="363"/>
      <c r="J12" s="317"/>
      <c r="K12" s="364"/>
      <c r="L12" s="362"/>
      <c r="N12" s="362"/>
      <c r="O12" s="362"/>
      <c r="P12" s="362"/>
      <c r="Q12" s="362"/>
      <c r="R12" s="362"/>
    </row>
    <row r="13" spans="1:22" ht="14.1" customHeight="1" x14ac:dyDescent="0.2">
      <c r="E13" s="317"/>
      <c r="F13" s="362"/>
      <c r="G13" s="317"/>
      <c r="H13" s="362"/>
      <c r="I13" s="362"/>
      <c r="J13" s="362"/>
      <c r="K13" s="317"/>
      <c r="L13" s="362"/>
      <c r="M13" s="362"/>
      <c r="N13" s="362"/>
      <c r="O13" s="362"/>
      <c r="P13" s="362"/>
      <c r="Q13" s="362"/>
      <c r="R13" s="362"/>
      <c r="S13" s="362"/>
    </row>
    <row r="14" spans="1:22" ht="14.1" customHeight="1" x14ac:dyDescent="0.2">
      <c r="A14" s="226" t="s">
        <v>314</v>
      </c>
      <c r="B14" s="366"/>
      <c r="C14" s="2"/>
      <c r="D14" s="3"/>
      <c r="E14" s="3"/>
      <c r="F14" s="3"/>
      <c r="G14" s="6"/>
      <c r="H14" s="3"/>
      <c r="I14" s="3"/>
      <c r="J14" s="3"/>
      <c r="K14" s="6"/>
      <c r="L14" s="3"/>
      <c r="M14" s="6"/>
      <c r="N14" s="6"/>
      <c r="O14" s="3"/>
      <c r="P14" s="3"/>
      <c r="Q14" s="2"/>
      <c r="R14" s="16"/>
      <c r="S14" s="16"/>
    </row>
    <row r="15" spans="1:22" ht="14.1" customHeight="1" thickBot="1" x14ac:dyDescent="0.25">
      <c r="A15" s="306" t="s">
        <v>320</v>
      </c>
      <c r="B15" s="394"/>
      <c r="C15" s="8"/>
      <c r="D15" s="306"/>
      <c r="E15" s="314"/>
      <c r="F15" s="8"/>
      <c r="G15" s="8"/>
      <c r="H15" s="8"/>
      <c r="I15" s="9"/>
      <c r="J15" s="8"/>
      <c r="K15" s="9"/>
      <c r="L15" s="9"/>
      <c r="M15" s="8"/>
      <c r="N15" s="8"/>
      <c r="O15" s="8"/>
      <c r="P15" s="9"/>
      <c r="Q15" s="8"/>
      <c r="R15" s="9"/>
      <c r="S15" s="9"/>
    </row>
    <row r="16" spans="1:22" ht="14.1" customHeight="1" x14ac:dyDescent="0.2">
      <c r="A16" s="311">
        <v>1</v>
      </c>
      <c r="B16" s="353"/>
      <c r="C16" s="11"/>
      <c r="F16" s="12"/>
      <c r="G16" s="12"/>
      <c r="H16" s="12"/>
      <c r="I16" s="12"/>
      <c r="J16" s="13"/>
      <c r="K16" s="14"/>
      <c r="L16" s="13"/>
      <c r="M16" s="13"/>
      <c r="N16" s="13"/>
      <c r="O16" s="13"/>
      <c r="P16" s="13"/>
      <c r="Q16" s="13"/>
      <c r="R16" s="13"/>
      <c r="S16" s="13"/>
    </row>
    <row r="17" spans="1:19" ht="14.1" customHeight="1" x14ac:dyDescent="0.2">
      <c r="A17" s="233">
        <v>2</v>
      </c>
      <c r="B17" s="15"/>
      <c r="C17" s="15"/>
      <c r="D17" s="226"/>
      <c r="M17" s="15"/>
      <c r="N17" s="15"/>
      <c r="O17" s="15"/>
      <c r="P17" s="15"/>
      <c r="Q17" s="15"/>
      <c r="R17" s="15"/>
      <c r="S17" s="15"/>
    </row>
    <row r="18" spans="1:19" ht="14.1" customHeight="1" x14ac:dyDescent="0.2">
      <c r="A18" s="311">
        <v>3</v>
      </c>
      <c r="B18" s="34"/>
      <c r="C18" s="15"/>
      <c r="D18" s="226"/>
      <c r="E18" s="12"/>
      <c r="M18" s="12"/>
      <c r="N18" s="19"/>
      <c r="O18" s="12"/>
      <c r="P18" s="12"/>
      <c r="Q18" s="12"/>
      <c r="R18" s="12"/>
      <c r="S18" s="23"/>
    </row>
    <row r="19" spans="1:19" ht="14.1" customHeight="1" x14ac:dyDescent="0.2">
      <c r="A19" s="233">
        <v>4</v>
      </c>
      <c r="B19" s="34"/>
      <c r="C19" s="15"/>
      <c r="E19" s="12"/>
      <c r="F19" s="5" t="s">
        <v>715</v>
      </c>
      <c r="G19" s="15"/>
      <c r="H19" s="35" t="s">
        <v>716</v>
      </c>
      <c r="I19" s="12"/>
      <c r="J19" s="12"/>
      <c r="K19" s="12"/>
      <c r="L19" s="12"/>
      <c r="M19" s="12"/>
      <c r="N19" s="19"/>
      <c r="O19" s="12"/>
      <c r="P19" s="12"/>
      <c r="Q19" s="12"/>
      <c r="R19" s="12"/>
      <c r="S19" s="25"/>
    </row>
    <row r="20" spans="1:19" ht="14.1" customHeight="1" x14ac:dyDescent="0.2">
      <c r="A20" s="311">
        <v>5</v>
      </c>
      <c r="B20" s="34"/>
      <c r="E20" s="12"/>
      <c r="F20" s="226">
        <v>2</v>
      </c>
      <c r="G20" s="19"/>
      <c r="H20" s="12" t="str">
        <f>+'2025 RS Rate Class E-13c'!N13</f>
        <v>RS, RSVP-1</v>
      </c>
      <c r="I20" s="12"/>
      <c r="J20" s="12"/>
      <c r="K20" s="12"/>
      <c r="L20" s="12"/>
      <c r="M20" s="12"/>
      <c r="N20" s="19"/>
      <c r="O20" s="354"/>
      <c r="P20" s="12"/>
      <c r="Q20" s="12"/>
      <c r="R20" s="12"/>
      <c r="S20" s="25"/>
    </row>
    <row r="21" spans="1:19" ht="14.1" customHeight="1" x14ac:dyDescent="0.2">
      <c r="A21" s="233">
        <v>6</v>
      </c>
      <c r="B21" s="3"/>
      <c r="C21" s="15"/>
      <c r="E21" s="12"/>
      <c r="F21" s="226">
        <v>3</v>
      </c>
      <c r="G21" s="19"/>
      <c r="H21" s="12" t="str">
        <f>+'2025 GS Rate Class E-13c'!N13</f>
        <v>GS, GST</v>
      </c>
      <c r="I21" s="12"/>
      <c r="L21" s="12"/>
      <c r="M21" s="12"/>
      <c r="N21" s="12"/>
      <c r="O21" s="12"/>
      <c r="P21" s="12"/>
      <c r="Q21" s="12"/>
      <c r="R21" s="12"/>
      <c r="S21" s="23"/>
    </row>
    <row r="22" spans="1:19" ht="14.1" customHeight="1" x14ac:dyDescent="0.2">
      <c r="A22" s="311">
        <v>7</v>
      </c>
      <c r="B22" s="3"/>
      <c r="C22" s="15"/>
      <c r="E22" s="12"/>
      <c r="F22" s="226">
        <v>4</v>
      </c>
      <c r="G22" s="19"/>
      <c r="H22" s="12" t="str">
        <f>+'2025 GS Rate Class E-13c'!N67</f>
        <v>CS</v>
      </c>
      <c r="I22" s="12"/>
      <c r="L22" s="12"/>
      <c r="M22" s="12"/>
      <c r="N22" s="12"/>
      <c r="O22" s="12"/>
      <c r="P22" s="12"/>
      <c r="Q22" s="12"/>
      <c r="R22" s="12"/>
      <c r="S22" s="23"/>
    </row>
    <row r="23" spans="1:19" ht="14.1" customHeight="1" x14ac:dyDescent="0.2">
      <c r="A23" s="233">
        <v>8</v>
      </c>
      <c r="B23" s="34"/>
      <c r="C23" s="15"/>
      <c r="E23" s="12"/>
      <c r="F23" s="226">
        <v>5</v>
      </c>
      <c r="H23" s="12" t="str">
        <f>+'2025 GSD Rate Class E-13c'!O13</f>
        <v>GSD,GSDT</v>
      </c>
      <c r="M23" s="12"/>
      <c r="N23" s="19"/>
      <c r="O23" s="12"/>
      <c r="P23" s="12"/>
      <c r="Q23" s="12"/>
      <c r="R23" s="12"/>
      <c r="S23" s="25"/>
    </row>
    <row r="24" spans="1:19" ht="14.1" customHeight="1" x14ac:dyDescent="0.2">
      <c r="A24" s="311">
        <v>9</v>
      </c>
      <c r="B24" s="36"/>
      <c r="F24" s="226">
        <v>7</v>
      </c>
      <c r="G24" s="12"/>
      <c r="H24" s="12" t="str">
        <f>+'2025 GSD Rate Class E-13c'!O121</f>
        <v xml:space="preserve">GSD Optional </v>
      </c>
      <c r="I24" s="12"/>
      <c r="J24" s="12"/>
      <c r="K24" s="22"/>
      <c r="L24" s="12"/>
      <c r="M24" s="12"/>
      <c r="N24" s="19"/>
      <c r="O24" s="354"/>
      <c r="P24" s="12"/>
      <c r="Q24" s="354"/>
      <c r="S24" s="23"/>
    </row>
    <row r="25" spans="1:19" ht="14.1" customHeight="1" x14ac:dyDescent="0.2">
      <c r="A25" s="233">
        <v>10</v>
      </c>
      <c r="B25" s="34"/>
      <c r="C25" s="15"/>
      <c r="E25" s="12"/>
      <c r="F25" s="226">
        <v>8</v>
      </c>
      <c r="H25" s="12" t="str">
        <f>+'2025 GSD Rate Class E-13c'!O175</f>
        <v>SBD/SBDT</v>
      </c>
      <c r="I25" s="12"/>
      <c r="L25" s="12"/>
      <c r="M25" s="12"/>
      <c r="N25" s="370"/>
      <c r="O25" s="12"/>
      <c r="P25" s="12"/>
      <c r="Q25" s="12"/>
      <c r="R25" s="12"/>
      <c r="S25" s="25"/>
    </row>
    <row r="26" spans="1:19" ht="14.1" customHeight="1" x14ac:dyDescent="0.2">
      <c r="A26" s="311">
        <v>11</v>
      </c>
      <c r="F26" s="226">
        <v>12</v>
      </c>
      <c r="G26" s="28"/>
      <c r="H26" s="12" t="str">
        <f>+'2025 GSLDPR Rate Class E-13c'!N13</f>
        <v>GSLDPR, GSDLTPR</v>
      </c>
      <c r="I26" s="12"/>
      <c r="J26" s="12"/>
      <c r="K26" s="22"/>
      <c r="L26" s="12"/>
      <c r="O26" s="354"/>
      <c r="Q26" s="354"/>
    </row>
    <row r="27" spans="1:19" ht="14.1" customHeight="1" x14ac:dyDescent="0.2">
      <c r="A27" s="233">
        <v>12</v>
      </c>
      <c r="F27" s="226">
        <v>13</v>
      </c>
      <c r="H27" s="12" t="str">
        <f>+'2025 GSLDPR Rate Class E-13c'!N67</f>
        <v>SBLDPR,SBLDTPR</v>
      </c>
      <c r="O27" s="370"/>
      <c r="Q27" s="354"/>
    </row>
    <row r="28" spans="1:19" ht="14.1" customHeight="1" x14ac:dyDescent="0.2">
      <c r="A28" s="311">
        <v>13</v>
      </c>
      <c r="F28" s="226">
        <v>15</v>
      </c>
      <c r="H28" s="12" t="str">
        <f>+'2025 GSLDSU Rate Class E-13c'!N13</f>
        <v>GSLDSU, GSDLTSU</v>
      </c>
      <c r="O28" s="354"/>
      <c r="Q28" s="354"/>
    </row>
    <row r="29" spans="1:19" ht="14.1" customHeight="1" x14ac:dyDescent="0.2">
      <c r="A29" s="233">
        <v>14</v>
      </c>
      <c r="F29" s="226">
        <v>16</v>
      </c>
      <c r="H29" s="12" t="str">
        <f>+'2025 GSLDSU Rate Class E-13c'!N67</f>
        <v>SBLDSU,SBLDTSU</v>
      </c>
      <c r="O29" s="354"/>
      <c r="Q29" s="354"/>
    </row>
    <row r="30" spans="1:19" ht="14.1" customHeight="1" x14ac:dyDescent="0.2">
      <c r="A30" s="311">
        <v>15</v>
      </c>
      <c r="F30" s="226">
        <v>18</v>
      </c>
      <c r="H30" s="12" t="str">
        <f>+'2025 LS Rate Class E-13c'!N13</f>
        <v>LS-1,LS-2</v>
      </c>
      <c r="O30" s="354"/>
      <c r="Q30" s="354"/>
    </row>
    <row r="31" spans="1:19" ht="14.1" customHeight="1" x14ac:dyDescent="0.2">
      <c r="A31" s="233">
        <v>16</v>
      </c>
      <c r="F31" s="226"/>
      <c r="O31" s="354"/>
      <c r="Q31" s="354"/>
    </row>
    <row r="32" spans="1:19" ht="14.1" customHeight="1" x14ac:dyDescent="0.2">
      <c r="A32" s="311">
        <v>17</v>
      </c>
      <c r="B32" s="11"/>
      <c r="C32" s="11"/>
      <c r="F32" s="226"/>
      <c r="M32" s="12"/>
      <c r="N32" s="12"/>
      <c r="O32" s="12"/>
      <c r="P32" s="12"/>
      <c r="Q32" s="12"/>
      <c r="R32" s="12"/>
      <c r="S32" s="23"/>
    </row>
    <row r="33" spans="1:19" ht="14.1" customHeight="1" x14ac:dyDescent="0.2">
      <c r="A33" s="233">
        <v>18</v>
      </c>
      <c r="B33" s="11"/>
      <c r="C33" s="11"/>
      <c r="F33" s="226"/>
      <c r="M33" s="12"/>
      <c r="N33" s="12"/>
      <c r="O33" s="12"/>
      <c r="P33" s="12"/>
      <c r="Q33" s="12"/>
      <c r="R33" s="12"/>
      <c r="S33" s="23"/>
    </row>
    <row r="34" spans="1:19" ht="14.1" customHeight="1" x14ac:dyDescent="0.2">
      <c r="A34" s="311">
        <v>19</v>
      </c>
      <c r="B34" s="11"/>
      <c r="C34" s="11"/>
      <c r="F34" s="226"/>
      <c r="H34" s="12"/>
      <c r="M34" s="12"/>
      <c r="N34" s="12"/>
      <c r="O34" s="12"/>
      <c r="P34" s="12"/>
      <c r="Q34" s="12"/>
      <c r="R34" s="12"/>
      <c r="S34" s="23"/>
    </row>
    <row r="35" spans="1:19" ht="14.1" customHeight="1" x14ac:dyDescent="0.2">
      <c r="A35" s="233">
        <v>20</v>
      </c>
      <c r="B35" s="11"/>
      <c r="C35" s="11"/>
      <c r="F35" s="226"/>
      <c r="H35" s="12"/>
      <c r="M35" s="12"/>
      <c r="N35" s="12"/>
      <c r="O35" s="12"/>
      <c r="P35" s="12"/>
      <c r="Q35" s="12"/>
      <c r="R35" s="12"/>
      <c r="S35" s="23"/>
    </row>
    <row r="36" spans="1:19" ht="14.1" customHeight="1" x14ac:dyDescent="0.2">
      <c r="A36" s="311">
        <v>21</v>
      </c>
      <c r="B36" s="11"/>
      <c r="C36" s="11"/>
      <c r="F36" s="226"/>
      <c r="M36" s="12"/>
      <c r="N36" s="12"/>
      <c r="O36" s="12"/>
      <c r="P36" s="12"/>
      <c r="Q36" s="12"/>
      <c r="R36" s="12"/>
      <c r="S36" s="23"/>
    </row>
    <row r="37" spans="1:19" ht="14.1" customHeight="1" x14ac:dyDescent="0.2">
      <c r="A37" s="233">
        <v>22</v>
      </c>
      <c r="B37" s="11"/>
      <c r="C37" s="11"/>
      <c r="F37" s="226"/>
      <c r="H37" s="12"/>
      <c r="M37" s="12"/>
      <c r="N37" s="12"/>
      <c r="O37" s="12"/>
      <c r="P37" s="12"/>
      <c r="Q37" s="12"/>
      <c r="R37" s="12"/>
      <c r="S37" s="23"/>
    </row>
    <row r="38" spans="1:19" ht="14.1" customHeight="1" x14ac:dyDescent="0.2">
      <c r="A38" s="311">
        <v>23</v>
      </c>
      <c r="B38" s="353"/>
      <c r="C38" s="11"/>
      <c r="F38" s="226"/>
      <c r="G38" s="12"/>
      <c r="J38" s="12"/>
      <c r="K38" s="22"/>
      <c r="L38" s="12"/>
      <c r="M38" s="12"/>
      <c r="N38" s="12"/>
      <c r="O38" s="12"/>
      <c r="P38" s="12"/>
      <c r="Q38" s="12"/>
      <c r="R38" s="12"/>
      <c r="S38" s="12"/>
    </row>
    <row r="39" spans="1:19" ht="14.1" customHeight="1" x14ac:dyDescent="0.2">
      <c r="A39" s="233">
        <v>24</v>
      </c>
      <c r="B39" s="353"/>
      <c r="C39" s="11"/>
      <c r="F39" s="226"/>
      <c r="M39" s="12"/>
      <c r="N39" s="12"/>
      <c r="O39" s="12"/>
      <c r="P39" s="12"/>
      <c r="Q39" s="12"/>
      <c r="R39" s="12"/>
      <c r="S39" s="12"/>
    </row>
    <row r="40" spans="1:19" ht="14.1" customHeight="1" x14ac:dyDescent="0.2">
      <c r="A40" s="311">
        <v>25</v>
      </c>
      <c r="B40" s="353"/>
      <c r="C40" s="11"/>
      <c r="F40" s="226"/>
      <c r="G40" s="12"/>
      <c r="I40" s="12"/>
      <c r="J40" s="13"/>
      <c r="K40" s="22"/>
      <c r="L40" s="13"/>
      <c r="M40" s="12"/>
      <c r="N40" s="12"/>
      <c r="O40" s="12"/>
      <c r="P40" s="12"/>
      <c r="Q40" s="12"/>
      <c r="R40" s="12"/>
      <c r="S40" s="12"/>
    </row>
    <row r="41" spans="1:19" ht="14.1" customHeight="1" x14ac:dyDescent="0.2">
      <c r="A41" s="233">
        <v>26</v>
      </c>
      <c r="B41" s="353"/>
      <c r="C41" s="11"/>
      <c r="F41" s="12"/>
      <c r="G41" s="12"/>
      <c r="H41" s="12"/>
      <c r="I41" s="12"/>
      <c r="J41" s="13"/>
      <c r="K41" s="22"/>
      <c r="L41" s="13"/>
      <c r="M41" s="12"/>
      <c r="N41" s="12"/>
      <c r="O41" s="12"/>
      <c r="P41" s="12"/>
      <c r="Q41" s="12"/>
      <c r="R41" s="12"/>
      <c r="S41" s="12"/>
    </row>
    <row r="42" spans="1:19" ht="14.1" customHeight="1" x14ac:dyDescent="0.2">
      <c r="A42" s="311">
        <v>27</v>
      </c>
      <c r="B42" s="353"/>
      <c r="C42" s="11"/>
      <c r="F42" s="12"/>
      <c r="G42" s="12"/>
      <c r="H42" s="12"/>
      <c r="I42" s="12"/>
      <c r="J42" s="13"/>
      <c r="K42" s="22"/>
      <c r="L42" s="13"/>
      <c r="M42" s="12"/>
      <c r="N42" s="12"/>
      <c r="O42" s="12"/>
      <c r="P42" s="12"/>
      <c r="Q42" s="12"/>
      <c r="R42" s="12"/>
      <c r="S42" s="12"/>
    </row>
    <row r="43" spans="1:19" ht="14.1" customHeight="1" x14ac:dyDescent="0.2">
      <c r="A43" s="233">
        <v>28</v>
      </c>
      <c r="B43" s="353"/>
      <c r="C43" s="11"/>
      <c r="F43" s="12"/>
      <c r="G43" s="12"/>
      <c r="H43" s="12"/>
      <c r="I43" s="12"/>
      <c r="J43" s="13"/>
      <c r="K43" s="22"/>
      <c r="L43" s="13"/>
      <c r="M43" s="12"/>
      <c r="N43" s="12"/>
      <c r="O43" s="12"/>
      <c r="P43" s="12"/>
      <c r="Q43" s="12"/>
      <c r="R43" s="12"/>
      <c r="S43" s="12"/>
    </row>
    <row r="44" spans="1:19" ht="14.1" customHeight="1" x14ac:dyDescent="0.2">
      <c r="A44" s="311">
        <v>29</v>
      </c>
      <c r="B44" s="353"/>
      <c r="C44" s="11"/>
      <c r="F44" s="12"/>
      <c r="G44" s="12"/>
      <c r="H44" s="12"/>
      <c r="I44" s="12"/>
      <c r="J44" s="13"/>
      <c r="K44" s="22"/>
      <c r="L44" s="13"/>
      <c r="M44" s="12"/>
      <c r="N44" s="12"/>
      <c r="O44" s="12"/>
      <c r="P44" s="12"/>
      <c r="Q44" s="12"/>
      <c r="R44" s="12"/>
      <c r="S44" s="12"/>
    </row>
    <row r="45" spans="1:19" ht="14.1" customHeight="1" x14ac:dyDescent="0.2">
      <c r="A45" s="233">
        <v>30</v>
      </c>
      <c r="B45" s="353"/>
      <c r="C45" s="11"/>
      <c r="F45" s="12"/>
      <c r="G45" s="12"/>
      <c r="H45" s="12"/>
      <c r="I45" s="12"/>
      <c r="J45" s="13"/>
      <c r="K45" s="22"/>
      <c r="L45" s="13"/>
      <c r="M45" s="12"/>
      <c r="N45" s="12"/>
      <c r="O45" s="12"/>
      <c r="P45" s="12"/>
      <c r="Q45" s="12"/>
      <c r="R45" s="12"/>
      <c r="S45" s="12"/>
    </row>
    <row r="46" spans="1:19" ht="14.1" customHeight="1" x14ac:dyDescent="0.2">
      <c r="A46" s="311">
        <v>31</v>
      </c>
      <c r="B46" s="353"/>
      <c r="C46" s="11"/>
      <c r="F46" s="12"/>
      <c r="G46" s="12"/>
      <c r="H46" s="12"/>
      <c r="I46" s="12"/>
      <c r="J46" s="13"/>
      <c r="K46" s="22"/>
      <c r="L46" s="13"/>
      <c r="M46" s="12"/>
      <c r="N46" s="12"/>
      <c r="O46" s="12"/>
      <c r="P46" s="12"/>
      <c r="Q46" s="12"/>
      <c r="R46" s="12"/>
      <c r="S46" s="12"/>
    </row>
    <row r="47" spans="1:19" ht="14.1" customHeight="1" x14ac:dyDescent="0.2">
      <c r="A47" s="233">
        <v>32</v>
      </c>
      <c r="B47" s="392"/>
      <c r="C47" s="11"/>
      <c r="F47" s="12"/>
      <c r="G47" s="12"/>
      <c r="H47" s="12"/>
      <c r="I47" s="12"/>
      <c r="J47" s="13"/>
      <c r="K47" s="22"/>
      <c r="L47" s="13"/>
      <c r="M47" s="12"/>
      <c r="N47" s="12"/>
      <c r="O47" s="12"/>
      <c r="P47" s="12"/>
      <c r="Q47" s="12"/>
      <c r="R47" s="12"/>
      <c r="S47" s="12"/>
    </row>
    <row r="48" spans="1:19" ht="14.1" customHeight="1" x14ac:dyDescent="0.2">
      <c r="A48" s="311">
        <v>33</v>
      </c>
      <c r="B48" s="392"/>
      <c r="C48" s="11"/>
      <c r="F48" s="12"/>
      <c r="G48" s="12"/>
      <c r="H48" s="12"/>
      <c r="I48" s="12"/>
      <c r="J48" s="13"/>
      <c r="K48" s="22"/>
      <c r="L48" s="13"/>
      <c r="M48" s="12"/>
      <c r="N48" s="12"/>
      <c r="O48" s="12"/>
      <c r="P48" s="12"/>
      <c r="Q48" s="12"/>
      <c r="R48" s="12"/>
      <c r="S48" s="12"/>
    </row>
    <row r="49" spans="1:19" ht="14.1" customHeight="1" x14ac:dyDescent="0.2">
      <c r="A49" s="233">
        <v>34</v>
      </c>
      <c r="B49" s="392"/>
      <c r="C49" s="11"/>
      <c r="F49" s="12"/>
      <c r="G49" s="12"/>
      <c r="H49" s="12"/>
      <c r="I49" s="12"/>
      <c r="J49" s="13"/>
      <c r="K49" s="22"/>
      <c r="L49" s="13"/>
      <c r="M49" s="12"/>
      <c r="N49" s="12"/>
      <c r="O49" s="12"/>
      <c r="P49" s="12"/>
      <c r="Q49" s="12"/>
      <c r="R49" s="12"/>
      <c r="S49" s="12"/>
    </row>
    <row r="50" spans="1:19" ht="14.1" customHeight="1" x14ac:dyDescent="0.2">
      <c r="A50" s="311">
        <v>35</v>
      </c>
      <c r="B50" s="353"/>
      <c r="C50" s="11"/>
      <c r="F50" s="12"/>
      <c r="G50" s="12"/>
      <c r="H50" s="12"/>
      <c r="I50" s="12"/>
      <c r="J50" s="13"/>
      <c r="K50" s="22"/>
      <c r="L50" s="13"/>
      <c r="M50" s="12"/>
      <c r="N50" s="12"/>
      <c r="O50" s="12"/>
      <c r="P50" s="12"/>
      <c r="Q50" s="12"/>
      <c r="R50" s="12"/>
      <c r="S50" s="12"/>
    </row>
    <row r="51" spans="1:19" ht="14.1" customHeight="1" x14ac:dyDescent="0.2">
      <c r="A51" s="233">
        <v>36</v>
      </c>
      <c r="B51" s="353"/>
      <c r="C51" s="11"/>
      <c r="F51" s="12"/>
      <c r="G51" s="12"/>
      <c r="H51" s="12"/>
      <c r="I51" s="12"/>
      <c r="J51" s="13"/>
      <c r="K51" s="22"/>
      <c r="L51" s="13"/>
      <c r="M51" s="12"/>
      <c r="N51" s="12"/>
      <c r="O51" s="12"/>
      <c r="P51" s="12"/>
      <c r="Q51" s="12"/>
      <c r="R51" s="12"/>
      <c r="S51" s="12"/>
    </row>
    <row r="52" spans="1:19" ht="14.1" customHeight="1" x14ac:dyDescent="0.2">
      <c r="A52" s="311">
        <v>37</v>
      </c>
      <c r="B52" s="353"/>
      <c r="C52" s="11"/>
      <c r="F52" s="12"/>
      <c r="G52" s="12"/>
      <c r="H52" s="12"/>
      <c r="I52" s="12"/>
      <c r="J52" s="13"/>
      <c r="K52" s="22"/>
      <c r="L52" s="13"/>
      <c r="M52" s="12"/>
      <c r="N52" s="12"/>
      <c r="O52" s="12"/>
      <c r="P52" s="12"/>
      <c r="Q52" s="12"/>
      <c r="R52" s="12"/>
      <c r="S52" s="12"/>
    </row>
    <row r="53" spans="1:19" ht="14.1" customHeight="1" x14ac:dyDescent="0.2">
      <c r="A53" s="311">
        <v>38</v>
      </c>
      <c r="B53" s="353"/>
      <c r="C53" s="11"/>
      <c r="F53" s="12"/>
      <c r="G53" s="12"/>
      <c r="H53" s="12"/>
      <c r="I53" s="12"/>
      <c r="J53" s="13"/>
      <c r="K53" s="22"/>
      <c r="L53" s="13"/>
      <c r="M53" s="12"/>
      <c r="N53" s="12"/>
      <c r="O53" s="12"/>
      <c r="P53" s="12"/>
      <c r="Q53" s="12"/>
      <c r="R53" s="12"/>
      <c r="S53" s="12"/>
    </row>
    <row r="54" spans="1:19" ht="14.1" customHeight="1" thickBot="1" x14ac:dyDescent="0.25">
      <c r="A54" s="306">
        <v>39</v>
      </c>
      <c r="B54" s="306"/>
      <c r="C54" s="306"/>
      <c r="D54" s="306"/>
      <c r="E54" s="306"/>
      <c r="F54" s="306"/>
      <c r="G54" s="306"/>
      <c r="H54" s="306"/>
      <c r="I54" s="306"/>
      <c r="J54" s="306"/>
      <c r="K54" s="314"/>
      <c r="L54" s="306"/>
      <c r="M54" s="306"/>
      <c r="N54" s="306"/>
      <c r="O54" s="306"/>
      <c r="P54" s="306"/>
      <c r="Q54" s="306"/>
      <c r="R54" s="306"/>
      <c r="S54" s="306"/>
    </row>
    <row r="55" spans="1:19" ht="14.1" customHeight="1" x14ac:dyDescent="0.2">
      <c r="S55" s="233" t="s">
        <v>304</v>
      </c>
    </row>
  </sheetData>
  <mergeCells count="2">
    <mergeCell ref="H2:L2"/>
    <mergeCell ref="H3:L3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0C7-5735-4575-9C6A-D9FCC5846B19}">
  <sheetPr>
    <pageSetUpPr fitToPage="1"/>
  </sheetPr>
  <dimension ref="A2:V56"/>
  <sheetViews>
    <sheetView zoomScale="121" workbookViewId="0"/>
  </sheetViews>
  <sheetFormatPr defaultRowHeight="15" x14ac:dyDescent="0.25"/>
  <cols>
    <col min="1" max="1" width="32.5703125" bestFit="1" customWidth="1"/>
    <col min="2" max="2" width="21.140625" bestFit="1" customWidth="1"/>
    <col min="8" max="8" width="21.85546875" bestFit="1" customWidth="1"/>
    <col min="10" max="10" width="10.28515625" bestFit="1" customWidth="1"/>
    <col min="12" max="12" width="19" bestFit="1" customWidth="1"/>
    <col min="15" max="15" width="13.28515625" customWidth="1"/>
    <col min="17" max="17" width="10.28515625" bestFit="1" customWidth="1"/>
    <col min="19" max="19" width="24" bestFit="1" customWidth="1"/>
    <col min="21" max="21" width="10.7109375" bestFit="1" customWidth="1"/>
    <col min="22" max="22" width="18.7109375" bestFit="1" customWidth="1"/>
  </cols>
  <sheetData>
    <row r="2" spans="1:22" x14ac:dyDescent="0.25"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26"/>
      <c r="O2" s="233"/>
      <c r="P2" s="233"/>
      <c r="Q2" s="233"/>
      <c r="R2" s="233"/>
      <c r="S2" s="233"/>
      <c r="T2" s="233"/>
      <c r="U2" s="233"/>
      <c r="V2" s="233"/>
    </row>
    <row r="3" spans="1:22" x14ac:dyDescent="0.25">
      <c r="D3" s="233"/>
      <c r="E3" s="233"/>
      <c r="F3" s="233"/>
      <c r="G3" s="233"/>
      <c r="H3" s="233"/>
      <c r="I3" s="233"/>
      <c r="J3" s="233"/>
      <c r="K3" s="590"/>
      <c r="L3" s="590"/>
      <c r="M3" s="590"/>
      <c r="N3" s="590"/>
      <c r="O3" s="590"/>
      <c r="P3" s="233"/>
      <c r="Q3" s="233"/>
      <c r="R3" s="233"/>
      <c r="S3" s="233"/>
      <c r="T3" s="233"/>
      <c r="U3" s="233"/>
      <c r="V3" s="233"/>
    </row>
    <row r="4" spans="1:22" ht="15.75" thickBot="1" x14ac:dyDescent="0.3">
      <c r="D4" s="306" t="s">
        <v>305</v>
      </c>
      <c r="E4" s="306"/>
      <c r="F4" s="306"/>
      <c r="G4" s="306"/>
      <c r="H4" s="306"/>
      <c r="I4" s="306"/>
      <c r="J4" s="306"/>
      <c r="K4" s="591" t="s">
        <v>306</v>
      </c>
      <c r="L4" s="591"/>
      <c r="M4" s="591"/>
      <c r="N4" s="591"/>
      <c r="O4" s="591"/>
      <c r="P4" s="306"/>
      <c r="Q4" s="306"/>
      <c r="R4" s="306"/>
      <c r="S4" s="306"/>
      <c r="T4" s="306"/>
      <c r="U4" s="306"/>
      <c r="V4" s="326" t="s">
        <v>875</v>
      </c>
    </row>
    <row r="5" spans="1:22" x14ac:dyDescent="0.25">
      <c r="A5" t="s">
        <v>712</v>
      </c>
      <c r="B5" s="307">
        <f>+'Operating Revenue Requirement'!F4</f>
        <v>1099875971.64063</v>
      </c>
      <c r="D5" s="233" t="s">
        <v>307</v>
      </c>
      <c r="E5" s="233"/>
      <c r="F5" s="233"/>
      <c r="G5" s="233"/>
      <c r="H5" s="233" t="s">
        <v>308</v>
      </c>
      <c r="I5" s="233" t="s">
        <v>913</v>
      </c>
      <c r="J5" s="233"/>
      <c r="K5" s="233"/>
      <c r="L5" s="233"/>
      <c r="M5" s="233"/>
      <c r="N5" s="316"/>
      <c r="O5" s="309"/>
      <c r="P5" s="233"/>
      <c r="Q5" s="309"/>
      <c r="R5" s="309"/>
      <c r="S5" s="309" t="s">
        <v>309</v>
      </c>
      <c r="T5" s="233"/>
      <c r="U5" s="233"/>
      <c r="V5" s="310"/>
    </row>
    <row r="6" spans="1:22" x14ac:dyDescent="0.25">
      <c r="D6" s="233"/>
      <c r="E6" s="233"/>
      <c r="F6" s="233"/>
      <c r="G6" s="233"/>
      <c r="H6" s="233"/>
      <c r="I6" s="233" t="s">
        <v>914</v>
      </c>
      <c r="J6" s="233"/>
      <c r="K6" s="233"/>
      <c r="L6" s="233"/>
      <c r="M6" s="233"/>
      <c r="N6" s="226"/>
      <c r="O6" s="310"/>
      <c r="P6" s="233"/>
      <c r="Q6" s="233"/>
      <c r="R6" s="311"/>
      <c r="S6" s="311" t="s">
        <v>919</v>
      </c>
      <c r="T6" s="310" t="s">
        <v>920</v>
      </c>
      <c r="U6" s="233"/>
      <c r="V6" s="311"/>
    </row>
    <row r="7" spans="1:22" x14ac:dyDescent="0.25">
      <c r="A7" t="s">
        <v>714</v>
      </c>
      <c r="B7" s="313">
        <v>0.12654052025713358</v>
      </c>
      <c r="D7" s="233" t="s">
        <v>310</v>
      </c>
      <c r="E7" s="233"/>
      <c r="F7" s="233"/>
      <c r="G7" s="233"/>
      <c r="H7" s="233"/>
      <c r="I7" s="233" t="s">
        <v>915</v>
      </c>
      <c r="J7" s="233"/>
      <c r="K7" s="233"/>
      <c r="L7" s="233"/>
      <c r="M7" s="233"/>
      <c r="N7" s="226"/>
      <c r="O7" s="310"/>
      <c r="P7" s="311"/>
      <c r="Q7" s="233"/>
      <c r="R7" s="233"/>
      <c r="S7" s="311"/>
      <c r="T7" s="310" t="s">
        <v>937</v>
      </c>
      <c r="U7" s="233"/>
      <c r="V7" s="311"/>
    </row>
    <row r="8" spans="1:22" x14ac:dyDescent="0.25">
      <c r="A8" t="s">
        <v>713</v>
      </c>
      <c r="B8" s="307">
        <f>+S39</f>
        <v>1099875972.000026</v>
      </c>
      <c r="D8" s="233"/>
      <c r="E8" s="233"/>
      <c r="F8" s="233"/>
      <c r="G8" s="233"/>
      <c r="H8" s="233"/>
      <c r="I8" s="233" t="s">
        <v>916</v>
      </c>
      <c r="J8" s="233"/>
      <c r="K8" s="233"/>
      <c r="L8" s="233"/>
      <c r="M8" s="233"/>
      <c r="N8" s="226"/>
      <c r="O8" s="310"/>
      <c r="P8" s="311"/>
      <c r="Q8" s="233"/>
      <c r="R8" s="233"/>
      <c r="S8" s="311"/>
      <c r="T8" s="310" t="s">
        <v>938</v>
      </c>
      <c r="U8" s="233"/>
      <c r="V8" s="311"/>
    </row>
    <row r="9" spans="1:22" x14ac:dyDescent="0.25">
      <c r="D9" s="233"/>
      <c r="E9" s="233"/>
      <c r="F9" s="311"/>
      <c r="G9" s="233"/>
      <c r="H9" s="233"/>
      <c r="I9" s="233" t="s">
        <v>917</v>
      </c>
      <c r="J9" s="233"/>
      <c r="K9" s="317"/>
      <c r="L9" s="317"/>
      <c r="M9" s="317"/>
      <c r="N9" s="226"/>
      <c r="O9" s="233"/>
      <c r="P9" s="233"/>
      <c r="Q9" s="233"/>
      <c r="R9" s="233"/>
      <c r="S9" s="233"/>
      <c r="T9" s="233" t="s">
        <v>311</v>
      </c>
      <c r="U9" s="233"/>
      <c r="V9" s="233"/>
    </row>
    <row r="10" spans="1:22" ht="15.75" thickBot="1" x14ac:dyDescent="0.3">
      <c r="D10" s="306" t="s">
        <v>1642</v>
      </c>
      <c r="E10" s="306"/>
      <c r="F10" s="326"/>
      <c r="G10" s="319"/>
      <c r="H10" s="319"/>
      <c r="I10" s="361" t="s">
        <v>918</v>
      </c>
      <c r="J10" s="361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x14ac:dyDescent="0.25">
      <c r="D11" s="233"/>
      <c r="E11" s="233"/>
      <c r="F11" s="233"/>
      <c r="G11" s="233"/>
      <c r="H11" s="317"/>
      <c r="I11" s="233"/>
      <c r="J11" s="317"/>
      <c r="K11" s="362"/>
      <c r="L11" s="317"/>
      <c r="M11" s="233"/>
      <c r="N11" s="317"/>
      <c r="O11" s="233"/>
      <c r="P11" s="362"/>
      <c r="Q11" s="233"/>
      <c r="R11" s="233"/>
      <c r="S11" s="233"/>
      <c r="T11" s="233"/>
      <c r="U11" s="233"/>
      <c r="V11" s="233"/>
    </row>
    <row r="12" spans="1:22" x14ac:dyDescent="0.25">
      <c r="D12" s="233"/>
      <c r="E12" s="233"/>
      <c r="F12" s="233"/>
      <c r="G12" s="233"/>
      <c r="H12" s="317"/>
      <c r="I12" s="233"/>
      <c r="J12" s="317"/>
      <c r="K12" s="362"/>
      <c r="L12" s="317"/>
      <c r="M12" s="233"/>
      <c r="N12" s="317"/>
      <c r="O12" s="233"/>
      <c r="P12" s="362"/>
      <c r="Q12" s="233"/>
      <c r="R12" s="233"/>
      <c r="S12" s="233"/>
      <c r="T12" s="233"/>
      <c r="U12" s="233"/>
      <c r="V12" s="233"/>
    </row>
    <row r="13" spans="1:22" x14ac:dyDescent="0.25">
      <c r="D13" s="233"/>
      <c r="E13" s="233"/>
      <c r="F13" s="233"/>
      <c r="G13" s="233"/>
      <c r="H13" s="233"/>
      <c r="I13" s="362"/>
      <c r="J13" s="362"/>
      <c r="K13" s="363"/>
      <c r="L13" s="363" t="s">
        <v>312</v>
      </c>
      <c r="M13" s="317"/>
      <c r="N13" s="364" t="s">
        <v>313</v>
      </c>
      <c r="O13" s="362"/>
      <c r="P13" s="233"/>
      <c r="Q13" s="362"/>
      <c r="R13" s="362"/>
      <c r="S13" s="362"/>
      <c r="T13" s="362"/>
      <c r="U13" s="362"/>
      <c r="V13" s="233"/>
    </row>
    <row r="14" spans="1:22" x14ac:dyDescent="0.25">
      <c r="D14" s="233"/>
      <c r="E14" s="233"/>
      <c r="F14" s="233"/>
      <c r="G14" s="233"/>
      <c r="H14" s="317"/>
      <c r="I14" s="362"/>
      <c r="J14" s="317"/>
      <c r="K14" s="362"/>
      <c r="L14" s="362"/>
      <c r="M14" s="362"/>
      <c r="N14" s="317"/>
      <c r="O14" s="362"/>
      <c r="P14" s="362"/>
      <c r="Q14" s="362"/>
      <c r="R14" s="362"/>
      <c r="S14" s="362"/>
      <c r="T14" s="362"/>
      <c r="U14" s="362"/>
      <c r="V14" s="362"/>
    </row>
    <row r="15" spans="1:22" x14ac:dyDescent="0.25">
      <c r="D15" s="311" t="s">
        <v>314</v>
      </c>
      <c r="E15" s="366" t="s">
        <v>315</v>
      </c>
      <c r="F15" s="2"/>
      <c r="G15" s="3"/>
      <c r="H15" s="4"/>
      <c r="I15" s="4"/>
      <c r="J15" s="5" t="s">
        <v>316</v>
      </c>
      <c r="K15" s="4"/>
      <c r="L15" s="4"/>
      <c r="M15" s="2"/>
      <c r="N15" s="6"/>
      <c r="O15" s="4"/>
      <c r="P15" s="5"/>
      <c r="Q15" s="5" t="s">
        <v>317</v>
      </c>
      <c r="R15" s="4"/>
      <c r="S15" s="4"/>
      <c r="T15" s="2"/>
      <c r="U15" s="7" t="s">
        <v>318</v>
      </c>
      <c r="V15" s="7" t="s">
        <v>319</v>
      </c>
    </row>
    <row r="16" spans="1:22" ht="15.75" thickBot="1" x14ac:dyDescent="0.3">
      <c r="A16" s="216" t="s">
        <v>552</v>
      </c>
      <c r="B16" s="216" t="s">
        <v>553</v>
      </c>
      <c r="D16" s="326" t="s">
        <v>320</v>
      </c>
      <c r="E16" s="367" t="s">
        <v>321</v>
      </c>
      <c r="F16" s="8"/>
      <c r="G16" s="306"/>
      <c r="H16" s="314" t="s">
        <v>322</v>
      </c>
      <c r="I16" s="8"/>
      <c r="J16" s="8" t="s">
        <v>323</v>
      </c>
      <c r="K16" s="8"/>
      <c r="L16" s="9" t="s">
        <v>324</v>
      </c>
      <c r="M16" s="8"/>
      <c r="N16" s="9"/>
      <c r="O16" s="9" t="s">
        <v>322</v>
      </c>
      <c r="P16" s="8"/>
      <c r="Q16" s="8" t="s">
        <v>323</v>
      </c>
      <c r="R16" s="8"/>
      <c r="S16" s="9" t="s">
        <v>324</v>
      </c>
      <c r="T16" s="8"/>
      <c r="U16" s="10" t="s">
        <v>325</v>
      </c>
      <c r="V16" s="10" t="s">
        <v>326</v>
      </c>
    </row>
    <row r="17" spans="1:22" x14ac:dyDescent="0.25">
      <c r="D17" s="233">
        <v>1</v>
      </c>
      <c r="E17" s="353"/>
      <c r="F17" s="11"/>
      <c r="G17" s="233"/>
      <c r="H17" s="233"/>
      <c r="I17" s="12"/>
      <c r="J17" s="12"/>
      <c r="K17" s="12"/>
      <c r="L17" s="12"/>
      <c r="M17" s="13"/>
      <c r="N17" s="14"/>
      <c r="O17" s="13"/>
      <c r="P17" s="13"/>
      <c r="Q17" s="13"/>
      <c r="R17" s="13"/>
      <c r="S17" s="13"/>
      <c r="T17" s="13"/>
      <c r="U17" s="13"/>
      <c r="V17" s="13"/>
    </row>
    <row r="18" spans="1:22" x14ac:dyDescent="0.25">
      <c r="D18" s="233">
        <v>2</v>
      </c>
      <c r="E18" s="11" t="s">
        <v>327</v>
      </c>
      <c r="F18" s="11"/>
      <c r="G18" s="233"/>
      <c r="H18" s="233"/>
      <c r="I18" s="15"/>
      <c r="J18" s="15"/>
      <c r="K18" s="15"/>
      <c r="L18" s="15"/>
      <c r="M18" s="11"/>
      <c r="N18" s="16"/>
      <c r="O18" s="17"/>
      <c r="P18" s="15"/>
      <c r="Q18" s="15"/>
      <c r="R18" s="15"/>
      <c r="S18" s="15"/>
      <c r="T18" s="15"/>
      <c r="U18" s="15"/>
      <c r="V18" s="15"/>
    </row>
    <row r="19" spans="1:22" x14ac:dyDescent="0.25">
      <c r="A19" s="368" t="s">
        <v>0</v>
      </c>
      <c r="B19" s="368" t="s">
        <v>535</v>
      </c>
      <c r="D19" s="233">
        <v>3</v>
      </c>
      <c r="E19" s="18" t="s">
        <v>328</v>
      </c>
      <c r="F19" s="11"/>
      <c r="G19" s="233"/>
      <c r="H19" s="13">
        <f>+INDEX('2025 Org Base Case BDs'!B:B,MATCH('2025 RS Rate Class E-13c'!A19,'2025 Org Base Case BDs'!A:A,0))</f>
        <v>279108556</v>
      </c>
      <c r="I19" s="12" t="s">
        <v>329</v>
      </c>
      <c r="J19" s="19">
        <f>+INDEX('2024 Base Rates'!E:E,MATCH('2025 RS Rate Class E-13c'!B19,'2024 Base Rates'!D:D,0))</f>
        <v>0.71</v>
      </c>
      <c r="K19" s="12"/>
      <c r="L19" s="12">
        <f>+H19*J19</f>
        <v>198167074.75999999</v>
      </c>
      <c r="M19" s="13"/>
      <c r="N19" s="14"/>
      <c r="O19" s="13">
        <f>+INDEX('2025 Billing Determinants'!B:B,MATCH('2025 RS Rate Class E-13c'!A19,'2025 Billing Determinants'!A:A,0))</f>
        <v>279108556</v>
      </c>
      <c r="P19" s="12" t="s">
        <v>329</v>
      </c>
      <c r="Q19" s="19">
        <f>+INDEX('Unit Cost Rate Design Input'!D:D,MATCH('2025 RS Rate Class E-13c'!B19,'Unit Cost Rate Design Input'!B:B,0))</f>
        <v>1.07</v>
      </c>
      <c r="R19" s="20"/>
      <c r="S19" s="12">
        <f>+O19*Q19</f>
        <v>298646154.92000002</v>
      </c>
      <c r="T19" s="12"/>
      <c r="U19" s="12">
        <f>+S19-L19</f>
        <v>100479080.16000003</v>
      </c>
      <c r="V19" s="21">
        <f>+IF(U19=0,0,(S19-L19)/L19)</f>
        <v>0.50704225352112686</v>
      </c>
    </row>
    <row r="20" spans="1:22" x14ac:dyDescent="0.25">
      <c r="A20" s="368" t="s">
        <v>1</v>
      </c>
      <c r="B20" s="368" t="s">
        <v>536</v>
      </c>
      <c r="D20" s="233">
        <v>4</v>
      </c>
      <c r="E20" s="359" t="s">
        <v>330</v>
      </c>
      <c r="F20" s="233"/>
      <c r="G20" s="233"/>
      <c r="H20" s="53">
        <f>+INDEX('2025 Org Base Case BDs'!B:B,MATCH('2025 RS Rate Class E-13c'!A20,'2025 Org Base Case BDs'!A:A,0))</f>
        <v>1616968</v>
      </c>
      <c r="I20" s="12" t="s">
        <v>329</v>
      </c>
      <c r="J20" s="19">
        <f>+INDEX('2024 Base Rates'!E:E,MATCH('2025 RS Rate Class E-13c'!B20,'2024 Base Rates'!D:D,0))</f>
        <v>0.71</v>
      </c>
      <c r="K20" s="233"/>
      <c r="L20" s="12">
        <f>+H20*J20</f>
        <v>1148047.28</v>
      </c>
      <c r="M20" s="233"/>
      <c r="N20" s="226"/>
      <c r="O20" s="53">
        <f>+INDEX('2025 Billing Determinants'!B:B,MATCH('2025 RS Rate Class E-13c'!A20,'2025 Billing Determinants'!A:A,0))</f>
        <v>1616968</v>
      </c>
      <c r="P20" s="12" t="s">
        <v>329</v>
      </c>
      <c r="Q20" s="19">
        <f>+INDEX('Unit Cost Rate Design Input'!D:D,MATCH('2025 RS Rate Class E-13c'!B20,'Unit Cost Rate Design Input'!B:B,0))</f>
        <v>1.07</v>
      </c>
      <c r="R20" s="20"/>
      <c r="S20" s="12">
        <f>+O20*Q20</f>
        <v>1730155.76</v>
      </c>
      <c r="T20" s="233"/>
      <c r="U20" s="12">
        <f>+S20-L20</f>
        <v>582108.48</v>
      </c>
      <c r="V20" s="21">
        <f t="shared" ref="V20:V21" si="0">+IF(U20=0,0,(S20-L20)/L20)</f>
        <v>0.50704225352112675</v>
      </c>
    </row>
    <row r="21" spans="1:22" x14ac:dyDescent="0.25">
      <c r="A21" s="368"/>
      <c r="B21" s="368"/>
      <c r="D21" s="233">
        <v>5</v>
      </c>
      <c r="E21" s="2" t="s">
        <v>331</v>
      </c>
      <c r="F21" s="11"/>
      <c r="G21" s="233"/>
      <c r="H21" s="13">
        <f>+SUM(H19:H20)</f>
        <v>280725524</v>
      </c>
      <c r="I21" s="12" t="s">
        <v>332</v>
      </c>
      <c r="J21" s="12"/>
      <c r="K21" s="12"/>
      <c r="L21" s="54">
        <f>+SUM(L19:L20)</f>
        <v>199315122.03999999</v>
      </c>
      <c r="M21" s="12"/>
      <c r="N21" s="22"/>
      <c r="O21" s="13">
        <f>+SUM(O19:O20)</f>
        <v>280725524</v>
      </c>
      <c r="P21" s="12" t="s">
        <v>332</v>
      </c>
      <c r="Q21" s="12"/>
      <c r="R21" s="12"/>
      <c r="S21" s="54">
        <f>+SUM(S19:S20)</f>
        <v>300376310.68000001</v>
      </c>
      <c r="T21" s="12"/>
      <c r="U21" s="12">
        <f>+S21-L21</f>
        <v>101061188.64000002</v>
      </c>
      <c r="V21" s="21">
        <f t="shared" si="0"/>
        <v>0.50704225352112686</v>
      </c>
    </row>
    <row r="22" spans="1:22" x14ac:dyDescent="0.25">
      <c r="A22" s="368"/>
      <c r="B22" s="368"/>
      <c r="D22" s="233">
        <v>6</v>
      </c>
      <c r="E22" s="233"/>
      <c r="F22" s="233"/>
      <c r="G22" s="233"/>
      <c r="H22" s="233"/>
      <c r="I22" s="233"/>
      <c r="J22" s="233"/>
      <c r="K22" s="233"/>
      <c r="L22" s="233"/>
      <c r="M22" s="233"/>
      <c r="N22" s="226"/>
      <c r="O22" s="233"/>
      <c r="P22" s="233"/>
      <c r="Q22" s="233"/>
      <c r="R22" s="233"/>
      <c r="S22" s="233"/>
      <c r="T22" s="233"/>
      <c r="U22" s="233"/>
      <c r="V22" s="233"/>
    </row>
    <row r="23" spans="1:22" x14ac:dyDescent="0.25">
      <c r="A23" s="368"/>
      <c r="B23" s="368"/>
      <c r="D23" s="233">
        <v>7</v>
      </c>
      <c r="E23" s="233"/>
      <c r="F23" s="233"/>
      <c r="G23" s="233"/>
      <c r="H23" s="233"/>
      <c r="I23" s="233"/>
      <c r="J23" s="233"/>
      <c r="K23" s="233"/>
      <c r="L23" s="233"/>
      <c r="M23" s="233"/>
      <c r="N23" s="226"/>
      <c r="O23" s="233"/>
      <c r="P23" s="233"/>
      <c r="Q23" s="233"/>
      <c r="R23" s="233"/>
      <c r="S23" s="233"/>
      <c r="T23" s="233"/>
      <c r="U23" s="233"/>
      <c r="V23" s="233"/>
    </row>
    <row r="24" spans="1:22" x14ac:dyDescent="0.25">
      <c r="A24" s="368"/>
      <c r="B24" s="368"/>
      <c r="D24" s="233">
        <v>8</v>
      </c>
      <c r="E24" s="233"/>
      <c r="F24" s="233"/>
      <c r="G24" s="233"/>
      <c r="H24" s="233"/>
      <c r="I24" s="233"/>
      <c r="J24" s="233"/>
      <c r="K24" s="233"/>
      <c r="L24" s="233"/>
      <c r="M24" s="233"/>
      <c r="N24" s="226"/>
      <c r="O24" s="233"/>
      <c r="P24" s="233"/>
      <c r="Q24" s="233"/>
      <c r="R24" s="233"/>
      <c r="S24" s="233"/>
      <c r="T24" s="233"/>
      <c r="U24" s="233"/>
      <c r="V24" s="233"/>
    </row>
    <row r="25" spans="1:22" x14ac:dyDescent="0.25">
      <c r="A25" s="368"/>
      <c r="B25" s="368"/>
      <c r="D25" s="233">
        <v>9</v>
      </c>
      <c r="E25" s="11" t="s">
        <v>333</v>
      </c>
      <c r="F25" s="11"/>
      <c r="G25" s="233"/>
      <c r="H25" s="13"/>
      <c r="I25" s="12"/>
      <c r="J25" s="12"/>
      <c r="K25" s="12"/>
      <c r="L25" s="12"/>
      <c r="M25" s="12"/>
      <c r="N25" s="22"/>
      <c r="O25" s="13"/>
      <c r="P25" s="12"/>
      <c r="Q25" s="12"/>
      <c r="R25" s="12"/>
      <c r="S25" s="12"/>
      <c r="T25" s="12"/>
      <c r="U25" s="12"/>
      <c r="V25" s="23"/>
    </row>
    <row r="26" spans="1:22" x14ac:dyDescent="0.25">
      <c r="A26" s="368"/>
      <c r="B26" s="368"/>
      <c r="D26" s="233">
        <v>10</v>
      </c>
      <c r="E26" s="18" t="s">
        <v>328</v>
      </c>
      <c r="F26" s="11"/>
      <c r="G26" s="233"/>
      <c r="H26" s="13"/>
      <c r="I26" s="12"/>
      <c r="J26" s="19"/>
      <c r="K26" s="12"/>
      <c r="L26" s="12"/>
      <c r="M26" s="12"/>
      <c r="N26" s="22"/>
      <c r="O26" s="24"/>
      <c r="P26" s="12"/>
      <c r="Q26" s="19"/>
      <c r="R26" s="12"/>
      <c r="S26" s="12"/>
      <c r="T26" s="12"/>
      <c r="U26" s="12"/>
      <c r="V26" s="25"/>
    </row>
    <row r="27" spans="1:22" x14ac:dyDescent="0.25">
      <c r="A27" s="368" t="s">
        <v>3</v>
      </c>
      <c r="B27" s="368" t="s">
        <v>484</v>
      </c>
      <c r="D27" s="233">
        <v>11</v>
      </c>
      <c r="E27" s="26" t="s">
        <v>334</v>
      </c>
      <c r="F27" s="233"/>
      <c r="G27" s="233"/>
      <c r="H27" s="13">
        <f>+INDEX('2025 Org Base Case BDs'!B:B,MATCH('2025 RS Rate Class E-13c'!A27,'2025 Org Base Case BDs'!A:A,0))</f>
        <v>7076568254.1000004</v>
      </c>
      <c r="I27" s="12" t="s">
        <v>711</v>
      </c>
      <c r="J27" s="28">
        <f>+INDEX('2024 Base Rates'!E:E,MATCH('2025 RS Rate Class E-13c'!B27,'2024 Base Rates'!D:D,0))</f>
        <v>6.6500000000000004E-2</v>
      </c>
      <c r="K27" s="233"/>
      <c r="L27" s="12">
        <f>+H27*J27</f>
        <v>470591788.89765006</v>
      </c>
      <c r="M27" s="233"/>
      <c r="N27" s="226"/>
      <c r="O27" s="13">
        <f>+INDEX('2025 Billing Determinants'!B:B,MATCH('2025 RS Rate Class E-13c'!A27,'2025 Billing Determinants'!A:A,0))</f>
        <v>7076568254.1000004</v>
      </c>
      <c r="P27" s="12" t="s">
        <v>711</v>
      </c>
      <c r="Q27" s="28">
        <f>+J27*(1+$B$7)</f>
        <v>7.4914944597099395E-2</v>
      </c>
      <c r="R27" s="233"/>
      <c r="S27" s="12">
        <f>+O27*Q27</f>
        <v>530140718.6934939</v>
      </c>
      <c r="T27" s="233"/>
      <c r="U27" s="12">
        <f t="shared" ref="U27:U30" si="1">+S27-L27</f>
        <v>59548929.79584384</v>
      </c>
      <c r="V27" s="21">
        <f t="shared" ref="V27:V30" si="2">+IF(U27=0,0,(S27-L27)/L27)</f>
        <v>0.12654052025713364</v>
      </c>
    </row>
    <row r="28" spans="1:22" x14ac:dyDescent="0.25">
      <c r="A28" s="368" t="s">
        <v>4</v>
      </c>
      <c r="B28" s="368" t="s">
        <v>485</v>
      </c>
      <c r="D28" s="233">
        <v>12</v>
      </c>
      <c r="E28" s="26" t="s">
        <v>335</v>
      </c>
      <c r="F28" s="233"/>
      <c r="G28" s="233"/>
      <c r="H28" s="13">
        <f>+INDEX('2025 Org Base Case BDs'!B:B,MATCH('2025 RS Rate Class E-13c'!A28,'2025 Org Base Case BDs'!A:A,0))</f>
        <v>3133088980.2800002</v>
      </c>
      <c r="I28" s="12" t="s">
        <v>711</v>
      </c>
      <c r="J28" s="28">
        <f>+INDEX('2024 Base Rates'!E:E,MATCH('2025 RS Rate Class E-13c'!B28,'2024 Base Rates'!D:D,0))</f>
        <v>7.8020000000000006E-2</v>
      </c>
      <c r="K28" s="233"/>
      <c r="L28" s="12">
        <f>+H28*J28</f>
        <v>244443602.24144563</v>
      </c>
      <c r="M28" s="233"/>
      <c r="N28" s="226"/>
      <c r="O28" s="13">
        <f>+INDEX('2025 Billing Determinants'!B:B,MATCH('2025 RS Rate Class E-13c'!A28,'2025 Billing Determinants'!A:A,0))</f>
        <v>3133088980.2800002</v>
      </c>
      <c r="P28" s="12" t="s">
        <v>711</v>
      </c>
      <c r="Q28" s="28">
        <f>+Q27+0.01</f>
        <v>8.491494459709939E-2</v>
      </c>
      <c r="R28" s="233"/>
      <c r="S28" s="12">
        <f t="shared" ref="S28:S29" si="3">+O28*Q28</f>
        <v>266046077.17825884</v>
      </c>
      <c r="T28" s="233"/>
      <c r="U28" s="12">
        <f t="shared" si="1"/>
        <v>21602474.936813205</v>
      </c>
      <c r="V28" s="21">
        <f t="shared" si="2"/>
        <v>8.8374065587021058E-2</v>
      </c>
    </row>
    <row r="29" spans="1:22" x14ac:dyDescent="0.25">
      <c r="A29" s="368" t="s">
        <v>5</v>
      </c>
      <c r="B29" s="368" t="s">
        <v>551</v>
      </c>
      <c r="D29" s="233">
        <v>13</v>
      </c>
      <c r="E29" s="359" t="s">
        <v>330</v>
      </c>
      <c r="F29" s="233"/>
      <c r="G29" s="233"/>
      <c r="H29" s="13">
        <f>+INDEX('2025 Org Base Case BDs'!B:B,MATCH('2025 RS Rate Class E-13c'!A29,'2025 Org Base Case BDs'!A:A,0))</f>
        <v>80411220</v>
      </c>
      <c r="I29" s="12" t="s">
        <v>711</v>
      </c>
      <c r="J29" s="28">
        <f>+INDEX('2024 Base Rates'!E:E,MATCH('2025 RS Rate Class E-13c'!B29,'2024 Base Rates'!D:D,0))</f>
        <v>7.0120000000000002E-2</v>
      </c>
      <c r="K29" s="233"/>
      <c r="L29" s="12">
        <f>+H29*J29</f>
        <v>5638434.7464000005</v>
      </c>
      <c r="M29" s="233"/>
      <c r="N29" s="226"/>
      <c r="O29" s="13">
        <f>+INDEX('2025 Billing Determinants'!B:B,MATCH('2025 RS Rate Class E-13c'!A29,'2025 Billing Determinants'!A:A,0))</f>
        <v>80411220</v>
      </c>
      <c r="P29" s="12" t="s">
        <v>711</v>
      </c>
      <c r="Q29" s="28">
        <f>J29*(1+$B$7)</f>
        <v>7.8993021280430217E-2</v>
      </c>
      <c r="R29" s="233"/>
      <c r="S29" s="12">
        <f t="shared" si="3"/>
        <v>6351925.2126453556</v>
      </c>
      <c r="T29" s="12"/>
      <c r="U29" s="12">
        <f t="shared" si="1"/>
        <v>713490.46624535508</v>
      </c>
      <c r="V29" s="21">
        <f t="shared" si="2"/>
        <v>0.12654052025713358</v>
      </c>
    </row>
    <row r="30" spans="1:22" x14ac:dyDescent="0.25">
      <c r="A30" s="368" t="s">
        <v>300</v>
      </c>
      <c r="B30" s="368" t="s">
        <v>1599</v>
      </c>
      <c r="D30" s="233">
        <v>14</v>
      </c>
      <c r="E30" s="359" t="s">
        <v>1600</v>
      </c>
      <c r="H30" s="13">
        <f>+INDEX('2025 Billing Determinants'!B:B,MATCH('2025 RS Rate Class E-13c'!A30,'2025 Billing Determinants'!A:A,0))</f>
        <v>7490717.6144992188</v>
      </c>
      <c r="I30" s="12" t="s">
        <v>711</v>
      </c>
      <c r="J30" s="28">
        <v>6.3E-2</v>
      </c>
      <c r="L30" s="12">
        <f>+H30*J30</f>
        <v>471915.20971345081</v>
      </c>
      <c r="O30" s="13">
        <f>+INDEX('2025 Billing Determinants'!B:B,MATCH('2025 RS Rate Class E-13c'!A30,'2025 Billing Determinants'!A:A,0))</f>
        <v>7490717.6144992188</v>
      </c>
      <c r="P30" s="12" t="s">
        <v>711</v>
      </c>
      <c r="Q30" s="28">
        <f>+J30</f>
        <v>6.3E-2</v>
      </c>
      <c r="S30" s="12">
        <f>+Q30*O30</f>
        <v>471915.20971345081</v>
      </c>
      <c r="U30" s="12">
        <f t="shared" si="1"/>
        <v>0</v>
      </c>
      <c r="V30" s="21">
        <f t="shared" si="2"/>
        <v>0</v>
      </c>
    </row>
    <row r="31" spans="1:22" x14ac:dyDescent="0.25">
      <c r="A31" s="368"/>
      <c r="B31" s="368"/>
      <c r="D31" s="233">
        <v>15</v>
      </c>
      <c r="E31" s="2" t="s">
        <v>336</v>
      </c>
      <c r="F31" s="11"/>
      <c r="G31" s="233"/>
      <c r="H31" s="55">
        <f>+SUM(H27:H29)</f>
        <v>10290068454.380001</v>
      </c>
      <c r="I31" s="12" t="s">
        <v>711</v>
      </c>
      <c r="J31" s="28"/>
      <c r="K31" s="12"/>
      <c r="L31" s="54">
        <f>+SUM(L27:L30)</f>
        <v>721145741.09520912</v>
      </c>
      <c r="M31" s="12"/>
      <c r="N31" s="22"/>
      <c r="O31" s="55">
        <f>+SUM(O27:O29)</f>
        <v>10290068454.380001</v>
      </c>
      <c r="P31" s="12" t="s">
        <v>711</v>
      </c>
      <c r="Q31" s="12"/>
      <c r="R31" s="12"/>
      <c r="S31" s="54">
        <f>+SUM(S27:S30)</f>
        <v>803010636.29411161</v>
      </c>
      <c r="T31" s="12"/>
      <c r="U31" s="12">
        <f>+S31-L31</f>
        <v>81864895.198902488</v>
      </c>
      <c r="V31" s="21">
        <f>+IF(U31=0,0,(S31-L31)/L31)</f>
        <v>0.1135205972021324</v>
      </c>
    </row>
    <row r="32" spans="1:22" x14ac:dyDescent="0.25">
      <c r="A32" s="368"/>
      <c r="B32" s="368"/>
      <c r="D32" s="233">
        <v>16</v>
      </c>
      <c r="E32" s="233"/>
      <c r="F32" s="233"/>
      <c r="G32" s="233"/>
      <c r="H32" s="233"/>
      <c r="I32" s="233"/>
      <c r="J32" s="233"/>
      <c r="K32" s="233"/>
      <c r="L32" s="354"/>
      <c r="M32" s="233"/>
      <c r="N32" s="226"/>
      <c r="O32" s="233"/>
      <c r="P32" s="233"/>
      <c r="Q32" s="233"/>
      <c r="R32" s="233"/>
      <c r="S32" s="233"/>
      <c r="T32" s="233"/>
      <c r="U32" s="233"/>
      <c r="V32" s="23"/>
    </row>
    <row r="33" spans="1:22" x14ac:dyDescent="0.25">
      <c r="A33" s="368"/>
      <c r="B33" s="368"/>
      <c r="D33" s="233">
        <v>17</v>
      </c>
      <c r="E33" s="359" t="s">
        <v>1680</v>
      </c>
      <c r="H33" s="354">
        <v>0</v>
      </c>
      <c r="I33" s="12" t="s">
        <v>1681</v>
      </c>
      <c r="J33" s="19">
        <v>0</v>
      </c>
      <c r="L33" s="354">
        <f>+J33*H33</f>
        <v>0</v>
      </c>
      <c r="O33" s="354">
        <f>30449*12</f>
        <v>365388</v>
      </c>
      <c r="P33" s="12" t="s">
        <v>1681</v>
      </c>
      <c r="Q33" s="19">
        <v>-10</v>
      </c>
      <c r="S33" s="354">
        <f>+Q33*O33</f>
        <v>-3653880</v>
      </c>
      <c r="U33" s="12">
        <f t="shared" ref="U33:U34" si="4">+S33-L33</f>
        <v>-3653880</v>
      </c>
      <c r="V33" s="78" t="s">
        <v>1679</v>
      </c>
    </row>
    <row r="34" spans="1:22" x14ac:dyDescent="0.25">
      <c r="A34" s="368"/>
      <c r="B34" s="368"/>
      <c r="D34" s="233">
        <v>18</v>
      </c>
      <c r="E34" s="2" t="s">
        <v>336</v>
      </c>
      <c r="H34" s="55"/>
      <c r="L34" s="54">
        <f>+L33</f>
        <v>0</v>
      </c>
      <c r="O34" s="55"/>
      <c r="S34" s="54">
        <f>+S33</f>
        <v>-3653880</v>
      </c>
      <c r="U34" s="12">
        <f t="shared" si="4"/>
        <v>-3653880</v>
      </c>
      <c r="V34" s="78" t="s">
        <v>1679</v>
      </c>
    </row>
    <row r="35" spans="1:22" x14ac:dyDescent="0.25">
      <c r="A35" s="368"/>
      <c r="B35" s="368"/>
      <c r="D35" s="233">
        <v>19</v>
      </c>
    </row>
    <row r="36" spans="1:22" x14ac:dyDescent="0.25">
      <c r="A36" s="368"/>
      <c r="B36" s="368"/>
      <c r="D36" s="233">
        <v>20</v>
      </c>
      <c r="E36" s="233" t="s">
        <v>1619</v>
      </c>
      <c r="F36" s="233"/>
      <c r="G36" s="233"/>
      <c r="H36" s="354">
        <f>AVERAGE('AMI Opt Out'!I2:I13)*365</f>
        <v>213291.08345445737</v>
      </c>
      <c r="I36" s="233" t="s">
        <v>329</v>
      </c>
      <c r="J36" s="19">
        <v>0.67</v>
      </c>
      <c r="K36" s="233"/>
      <c r="L36" s="354">
        <f>+J36*H36</f>
        <v>142905.02591448644</v>
      </c>
      <c r="M36" s="233"/>
      <c r="N36" s="226"/>
      <c r="O36" s="354">
        <f>+H36</f>
        <v>213291.08345445737</v>
      </c>
      <c r="P36" s="233" t="s">
        <v>329</v>
      </c>
      <c r="Q36" s="19">
        <v>0.67</v>
      </c>
      <c r="R36" s="233"/>
      <c r="S36" s="354">
        <f>+Q36*O36</f>
        <v>142905.02591448644</v>
      </c>
      <c r="T36" s="12"/>
      <c r="U36" s="12">
        <f t="shared" ref="U36:U37" si="5">+S36-L36</f>
        <v>0</v>
      </c>
      <c r="V36" s="21">
        <f t="shared" ref="V36:V37" si="6">+IF(U36=0,0,(S36-L36)/L36)</f>
        <v>0</v>
      </c>
    </row>
    <row r="37" spans="1:22" x14ac:dyDescent="0.25">
      <c r="A37" s="368"/>
      <c r="B37" s="368"/>
      <c r="D37" s="233">
        <v>21</v>
      </c>
      <c r="E37" s="2" t="s">
        <v>336</v>
      </c>
      <c r="H37" s="55">
        <f>+H36</f>
        <v>213291.08345445737</v>
      </c>
      <c r="I37" s="44" t="s">
        <v>332</v>
      </c>
      <c r="J37" s="28"/>
      <c r="K37" s="12"/>
      <c r="L37" s="54">
        <f>+L36</f>
        <v>142905.02591448644</v>
      </c>
      <c r="M37" s="12"/>
      <c r="N37" s="22"/>
      <c r="O37" s="55"/>
      <c r="P37" s="12" t="s">
        <v>332</v>
      </c>
      <c r="Q37" s="12"/>
      <c r="R37" s="12"/>
      <c r="S37" s="54">
        <f>+S36</f>
        <v>142905.02591448644</v>
      </c>
      <c r="T37" s="12"/>
      <c r="U37" s="12">
        <f t="shared" si="5"/>
        <v>0</v>
      </c>
      <c r="V37" s="21">
        <f t="shared" si="6"/>
        <v>0</v>
      </c>
    </row>
    <row r="38" spans="1:22" x14ac:dyDescent="0.25">
      <c r="A38" s="368"/>
      <c r="B38" s="368"/>
      <c r="D38" s="233">
        <v>22</v>
      </c>
    </row>
    <row r="39" spans="1:22" ht="15.75" thickBot="1" x14ac:dyDescent="0.3">
      <c r="A39" s="368"/>
      <c r="B39" s="368"/>
      <c r="D39" s="233">
        <v>23</v>
      </c>
      <c r="E39" s="11" t="s">
        <v>337</v>
      </c>
      <c r="F39" s="233"/>
      <c r="G39" s="233"/>
      <c r="H39" s="354"/>
      <c r="I39" s="233"/>
      <c r="J39" s="233"/>
      <c r="K39" s="233"/>
      <c r="L39" s="56">
        <f>+L21+L31+L34+L37</f>
        <v>920603768.16112351</v>
      </c>
      <c r="M39" s="233"/>
      <c r="N39" s="226"/>
      <c r="O39" s="233"/>
      <c r="P39" s="233"/>
      <c r="Q39" s="233"/>
      <c r="R39" s="233"/>
      <c r="S39" s="56">
        <f>+S21+S31+S34+S37</f>
        <v>1099875972.000026</v>
      </c>
      <c r="T39" s="12"/>
      <c r="U39" s="12">
        <f>+S39-L39</f>
        <v>179272203.83890247</v>
      </c>
      <c r="V39" s="21">
        <f t="shared" ref="V39" si="7">+IF(U39=0,0,(S39-L39)/L39)</f>
        <v>0.19473329356123856</v>
      </c>
    </row>
    <row r="40" spans="1:22" ht="15.75" thickTop="1" x14ac:dyDescent="0.25">
      <c r="A40" s="368"/>
      <c r="B40" s="368"/>
      <c r="D40" s="233">
        <v>24</v>
      </c>
      <c r="E40" s="233"/>
      <c r="F40" s="233"/>
      <c r="G40" s="233"/>
      <c r="H40" s="233"/>
      <c r="I40" s="233"/>
      <c r="J40" s="233"/>
      <c r="K40" s="233"/>
      <c r="L40" s="233"/>
      <c r="M40" s="233"/>
      <c r="N40" s="226"/>
      <c r="O40" s="233"/>
      <c r="P40" s="233"/>
      <c r="Q40" s="233"/>
      <c r="R40" s="233"/>
      <c r="S40" s="233"/>
      <c r="T40" s="233"/>
      <c r="U40" s="233"/>
      <c r="V40" s="233"/>
    </row>
    <row r="41" spans="1:22" x14ac:dyDescent="0.25">
      <c r="A41" s="368"/>
      <c r="B41" s="368"/>
      <c r="D41" s="233">
        <v>25</v>
      </c>
      <c r="E41" s="233"/>
      <c r="F41" s="233"/>
      <c r="G41" s="233"/>
      <c r="H41" s="233"/>
      <c r="I41" s="233"/>
      <c r="J41" s="233"/>
      <c r="K41" s="233"/>
      <c r="L41" s="233"/>
      <c r="M41" s="233"/>
      <c r="N41" s="226"/>
      <c r="O41" s="233"/>
      <c r="P41" s="233"/>
      <c r="Q41" s="233"/>
      <c r="R41" s="233"/>
      <c r="S41" s="233"/>
      <c r="T41" s="233"/>
      <c r="U41" s="233"/>
      <c r="V41" s="233"/>
    </row>
    <row r="42" spans="1:22" x14ac:dyDescent="0.25">
      <c r="A42" s="368"/>
      <c r="B42" s="368"/>
      <c r="D42" s="233">
        <v>26</v>
      </c>
      <c r="E42" s="233"/>
      <c r="F42" s="65" t="s">
        <v>1602</v>
      </c>
      <c r="G42" s="233"/>
      <c r="H42" s="233"/>
      <c r="I42" s="233"/>
      <c r="J42" s="233"/>
      <c r="K42" s="233"/>
      <c r="L42" s="233"/>
      <c r="M42" s="233"/>
      <c r="N42" s="226"/>
      <c r="O42" s="233"/>
      <c r="P42" s="233"/>
      <c r="Q42" s="233"/>
      <c r="R42" s="233"/>
      <c r="S42" s="233"/>
      <c r="T42" s="233"/>
      <c r="U42" s="233"/>
      <c r="V42" s="233"/>
    </row>
    <row r="43" spans="1:22" x14ac:dyDescent="0.25">
      <c r="A43" s="368"/>
      <c r="B43" s="368"/>
      <c r="D43" s="233">
        <v>27</v>
      </c>
      <c r="E43" s="233"/>
      <c r="F43" s="233"/>
      <c r="G43" s="233"/>
      <c r="H43" s="233"/>
      <c r="I43" s="12"/>
      <c r="J43" s="12"/>
      <c r="K43" s="12"/>
      <c r="L43" s="12"/>
      <c r="M43" s="13"/>
      <c r="N43" s="22"/>
      <c r="O43" s="13"/>
      <c r="P43" s="12"/>
      <c r="Q43" s="12"/>
      <c r="R43" s="12"/>
      <c r="S43" s="12"/>
      <c r="T43" s="12"/>
      <c r="U43" s="12"/>
      <c r="V43" s="12"/>
    </row>
    <row r="44" spans="1:22" x14ac:dyDescent="0.25">
      <c r="A44" s="368"/>
      <c r="B44" s="368"/>
      <c r="D44" s="233">
        <v>28</v>
      </c>
      <c r="E44" s="353"/>
      <c r="F44" s="11"/>
      <c r="G44" s="233"/>
      <c r="H44" s="233"/>
      <c r="I44" s="12"/>
      <c r="J44" s="30"/>
      <c r="K44" s="30"/>
      <c r="L44" s="30"/>
      <c r="M44" s="13"/>
      <c r="N44" s="22"/>
      <c r="O44" s="13"/>
      <c r="P44" s="12"/>
      <c r="Q44" s="12"/>
      <c r="R44" s="12"/>
      <c r="S44" s="12"/>
      <c r="T44" s="12"/>
      <c r="U44" s="12"/>
      <c r="V44" s="12"/>
    </row>
    <row r="45" spans="1:22" x14ac:dyDescent="0.25">
      <c r="A45" s="368"/>
      <c r="B45" s="368"/>
      <c r="D45" s="233">
        <v>29</v>
      </c>
      <c r="E45" s="353"/>
      <c r="F45" s="11"/>
      <c r="G45" s="233"/>
      <c r="H45" s="233"/>
      <c r="I45" s="12"/>
      <c r="J45" s="12"/>
      <c r="K45" s="12"/>
      <c r="L45" s="12"/>
      <c r="M45" s="63"/>
      <c r="N45" s="22"/>
      <c r="O45" s="13"/>
      <c r="P45" s="12"/>
      <c r="Q45" s="12"/>
      <c r="R45" s="12"/>
      <c r="S45" s="12"/>
      <c r="T45" s="12"/>
      <c r="U45" s="12"/>
      <c r="V45" s="12"/>
    </row>
    <row r="46" spans="1:22" x14ac:dyDescent="0.25">
      <c r="A46" s="368"/>
      <c r="B46" s="368"/>
      <c r="D46" s="233">
        <v>30</v>
      </c>
      <c r="E46" s="353"/>
      <c r="F46" s="11"/>
      <c r="G46" s="233"/>
      <c r="H46" s="233"/>
      <c r="I46" s="12"/>
      <c r="J46" s="12"/>
      <c r="K46" s="12"/>
      <c r="L46" s="12"/>
      <c r="M46" s="13"/>
      <c r="N46" s="22"/>
      <c r="O46" s="13"/>
      <c r="P46" s="12"/>
      <c r="Q46" s="12"/>
      <c r="R46" s="12"/>
      <c r="S46" s="12"/>
      <c r="T46" s="12"/>
      <c r="U46" s="12"/>
      <c r="V46" s="12"/>
    </row>
    <row r="47" spans="1:22" x14ac:dyDescent="0.25">
      <c r="A47" s="368"/>
      <c r="B47" s="368"/>
      <c r="D47" s="233">
        <v>31</v>
      </c>
      <c r="E47" s="353"/>
      <c r="F47" s="11"/>
      <c r="G47" s="233"/>
      <c r="H47" s="233"/>
      <c r="I47" s="12"/>
      <c r="J47" s="12"/>
      <c r="K47" s="12"/>
      <c r="L47" s="12"/>
      <c r="M47" s="13"/>
      <c r="N47" s="22"/>
      <c r="O47" s="13"/>
      <c r="P47" s="12"/>
      <c r="Q47" s="12"/>
      <c r="R47" s="12"/>
      <c r="S47" s="12"/>
      <c r="T47" s="12"/>
      <c r="U47" s="12"/>
      <c r="V47" s="12"/>
    </row>
    <row r="48" spans="1:22" x14ac:dyDescent="0.25">
      <c r="A48" s="368"/>
      <c r="B48" s="368"/>
      <c r="D48" s="233">
        <v>32</v>
      </c>
      <c r="E48" s="353"/>
      <c r="F48" s="11"/>
      <c r="G48" s="233"/>
      <c r="H48" s="233"/>
      <c r="I48" s="12"/>
      <c r="J48" s="12"/>
      <c r="K48" s="12"/>
      <c r="L48" s="12"/>
      <c r="M48" s="13"/>
      <c r="N48" s="22"/>
      <c r="O48" s="13"/>
      <c r="P48" s="12"/>
      <c r="Q48" s="12"/>
      <c r="R48" s="12"/>
      <c r="S48" s="12"/>
      <c r="T48" s="12"/>
      <c r="U48" s="12"/>
      <c r="V48" s="12"/>
    </row>
    <row r="49" spans="1:22" x14ac:dyDescent="0.25">
      <c r="A49" s="368"/>
      <c r="B49" s="368"/>
      <c r="D49" s="233">
        <v>33</v>
      </c>
      <c r="E49" s="353"/>
      <c r="F49" s="11"/>
      <c r="G49" s="233"/>
      <c r="H49" s="233"/>
      <c r="I49" s="12"/>
      <c r="J49" s="12"/>
      <c r="K49" s="12"/>
      <c r="L49" s="12"/>
      <c r="M49" s="13"/>
      <c r="N49" s="22"/>
      <c r="O49" s="13"/>
      <c r="P49" s="12"/>
      <c r="Q49" s="12"/>
      <c r="R49" s="12"/>
      <c r="S49" s="12"/>
      <c r="T49" s="12"/>
      <c r="U49" s="12"/>
      <c r="V49" s="12"/>
    </row>
    <row r="50" spans="1:22" x14ac:dyDescent="0.25">
      <c r="A50" s="368"/>
      <c r="B50" s="368"/>
      <c r="D50" s="233">
        <v>34</v>
      </c>
      <c r="E50" s="392"/>
      <c r="F50" s="11"/>
      <c r="G50" s="233"/>
      <c r="H50" s="233"/>
      <c r="I50" s="12"/>
      <c r="J50" s="12"/>
      <c r="K50" s="12"/>
      <c r="L50" s="12"/>
      <c r="M50" s="13"/>
      <c r="N50" s="22"/>
      <c r="O50" s="13"/>
      <c r="P50" s="12"/>
      <c r="Q50" s="12"/>
      <c r="R50" s="12"/>
      <c r="S50" s="12"/>
      <c r="T50" s="12"/>
      <c r="U50" s="12"/>
      <c r="V50" s="12"/>
    </row>
    <row r="51" spans="1:22" x14ac:dyDescent="0.25">
      <c r="A51" s="368"/>
      <c r="B51" s="368"/>
      <c r="D51" s="233">
        <v>35</v>
      </c>
      <c r="E51" s="353"/>
      <c r="F51" s="11"/>
      <c r="G51" s="233"/>
      <c r="H51" s="233"/>
      <c r="I51" s="12"/>
      <c r="J51" s="12"/>
      <c r="K51" s="12"/>
      <c r="L51" s="12"/>
      <c r="M51" s="13"/>
      <c r="N51" s="22"/>
      <c r="O51" s="13"/>
      <c r="P51" s="12"/>
      <c r="Q51" s="12"/>
      <c r="R51" s="12"/>
      <c r="S51" s="12"/>
      <c r="T51" s="12"/>
      <c r="U51" s="12"/>
      <c r="V51" s="12"/>
    </row>
    <row r="52" spans="1:22" x14ac:dyDescent="0.25">
      <c r="A52" s="368"/>
      <c r="B52" s="368"/>
      <c r="D52" s="233">
        <v>36</v>
      </c>
      <c r="E52" s="353"/>
      <c r="F52" s="11"/>
      <c r="G52" s="233"/>
      <c r="H52" s="233"/>
      <c r="I52" s="12"/>
      <c r="J52" s="12"/>
      <c r="K52" s="12"/>
      <c r="L52" s="12"/>
      <c r="M52" s="13"/>
      <c r="N52" s="22"/>
      <c r="O52" s="13"/>
      <c r="P52" s="12"/>
      <c r="Q52" s="12"/>
      <c r="R52" s="12"/>
      <c r="S52" s="12"/>
      <c r="T52" s="12"/>
      <c r="U52" s="12"/>
      <c r="V52" s="12"/>
    </row>
    <row r="53" spans="1:22" x14ac:dyDescent="0.25">
      <c r="A53" s="368"/>
      <c r="B53" s="368"/>
      <c r="D53" s="233">
        <v>37</v>
      </c>
      <c r="E53" s="353"/>
      <c r="F53" s="11"/>
      <c r="G53" s="233"/>
      <c r="H53" s="233"/>
      <c r="I53" s="12"/>
      <c r="J53" s="12"/>
      <c r="K53" s="12"/>
      <c r="L53" s="12"/>
      <c r="M53" s="13"/>
      <c r="N53" s="22"/>
      <c r="O53" s="13"/>
      <c r="P53" s="12"/>
      <c r="Q53" s="12"/>
      <c r="R53" s="12"/>
      <c r="S53" s="12"/>
      <c r="T53" s="12"/>
      <c r="U53" s="12"/>
      <c r="V53" s="12"/>
    </row>
    <row r="54" spans="1:22" x14ac:dyDescent="0.25">
      <c r="A54" s="368"/>
      <c r="B54" s="368"/>
      <c r="D54" s="233">
        <v>38</v>
      </c>
      <c r="E54" s="353"/>
      <c r="F54" s="11"/>
      <c r="G54" s="233"/>
      <c r="H54" s="233"/>
      <c r="I54" s="12"/>
      <c r="J54" s="12"/>
      <c r="K54" s="12"/>
      <c r="L54" s="12"/>
      <c r="M54" s="13"/>
      <c r="N54" s="22"/>
      <c r="O54" s="13"/>
      <c r="P54" s="12"/>
      <c r="Q54" s="12"/>
      <c r="R54" s="12"/>
      <c r="S54" s="12"/>
      <c r="T54" s="12"/>
      <c r="U54" s="12"/>
      <c r="V54" s="12"/>
    </row>
    <row r="55" spans="1:22" ht="15.75" thickBot="1" x14ac:dyDescent="0.3">
      <c r="A55" s="368"/>
      <c r="B55" s="368"/>
      <c r="D55" s="306">
        <v>39</v>
      </c>
      <c r="E55" s="306"/>
      <c r="F55" s="306"/>
      <c r="G55" s="306"/>
      <c r="H55" s="306"/>
      <c r="I55" s="306"/>
      <c r="J55" s="306"/>
      <c r="K55" s="306"/>
      <c r="L55" s="306"/>
      <c r="M55" s="306"/>
      <c r="N55" s="314"/>
      <c r="O55" s="306"/>
      <c r="P55" s="306"/>
      <c r="Q55" s="306"/>
      <c r="R55" s="306"/>
      <c r="S55" s="306"/>
      <c r="T55" s="306"/>
      <c r="U55" s="306"/>
      <c r="V55" s="306"/>
    </row>
    <row r="56" spans="1:22" x14ac:dyDescent="0.25"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26"/>
      <c r="O56" s="233"/>
      <c r="P56" s="233"/>
      <c r="Q56" s="233"/>
      <c r="R56" s="233"/>
      <c r="S56" s="233"/>
      <c r="T56" s="233"/>
      <c r="U56" s="233"/>
      <c r="V56" s="233" t="s">
        <v>304</v>
      </c>
    </row>
  </sheetData>
  <mergeCells count="2">
    <mergeCell ref="K3:O3"/>
    <mergeCell ref="K4:O4"/>
  </mergeCells>
  <pageMargins left="0.7" right="0.7" top="0.75" bottom="0.75" header="0.3" footer="0.3"/>
  <pageSetup scale="53" fitToHeight="0" orientation="landscape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AC92-CA37-404B-A3B2-56DDE7C2D8BB}">
  <sheetPr>
    <pageSetUpPr fitToPage="1"/>
  </sheetPr>
  <dimension ref="A3:V110"/>
  <sheetViews>
    <sheetView zoomScale="115" zoomScaleNormal="115" workbookViewId="0"/>
  </sheetViews>
  <sheetFormatPr defaultRowHeight="15" x14ac:dyDescent="0.25"/>
  <cols>
    <col min="1" max="1" width="39.85546875" bestFit="1" customWidth="1"/>
    <col min="2" max="2" width="28.85546875" bestFit="1" customWidth="1"/>
    <col min="8" max="8" width="21.85546875" bestFit="1" customWidth="1"/>
    <col min="10" max="10" width="9.42578125" bestFit="1" customWidth="1"/>
    <col min="12" max="12" width="19" bestFit="1" customWidth="1"/>
    <col min="15" max="15" width="10.7109375" bestFit="1" customWidth="1"/>
    <col min="17" max="17" width="9.42578125" bestFit="1" customWidth="1"/>
    <col min="19" max="19" width="24" bestFit="1" customWidth="1"/>
    <col min="21" max="21" width="9.85546875" bestFit="1" customWidth="1"/>
    <col min="22" max="22" width="18.7109375" bestFit="1" customWidth="1"/>
  </cols>
  <sheetData>
    <row r="3" spans="1:22" x14ac:dyDescent="0.25"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ht="15.75" thickBot="1" x14ac:dyDescent="0.3">
      <c r="D4" s="306" t="s">
        <v>305</v>
      </c>
      <c r="E4" s="306"/>
      <c r="F4" s="306"/>
      <c r="G4" s="306"/>
      <c r="H4" s="306"/>
      <c r="I4" s="306"/>
      <c r="J4" s="306"/>
      <c r="K4" s="591" t="s">
        <v>306</v>
      </c>
      <c r="L4" s="591"/>
      <c r="M4" s="591"/>
      <c r="N4" s="591"/>
      <c r="O4" s="591"/>
      <c r="P4" s="306"/>
      <c r="Q4" s="306"/>
      <c r="R4" s="306"/>
      <c r="S4" s="306"/>
      <c r="T4" s="306"/>
      <c r="U4" s="306"/>
      <c r="V4" s="326" t="s">
        <v>876</v>
      </c>
    </row>
    <row r="5" spans="1:22" x14ac:dyDescent="0.25">
      <c r="A5" t="s">
        <v>712</v>
      </c>
      <c r="B5" s="307">
        <f>+'Operating Revenue Requirement'!F5</f>
        <v>99214926.359999999</v>
      </c>
      <c r="D5" s="233" t="s">
        <v>307</v>
      </c>
      <c r="E5" s="233"/>
      <c r="F5" s="233"/>
      <c r="G5" s="233"/>
      <c r="H5" s="233" t="s">
        <v>308</v>
      </c>
      <c r="I5" s="233" t="s">
        <v>913</v>
      </c>
      <c r="K5" s="233"/>
      <c r="L5" s="233"/>
      <c r="M5" s="233"/>
      <c r="N5" s="316"/>
      <c r="O5" s="309"/>
      <c r="P5" s="233"/>
      <c r="Q5" s="309"/>
      <c r="R5" s="309"/>
      <c r="S5" s="309" t="s">
        <v>309</v>
      </c>
      <c r="T5" s="233"/>
      <c r="U5" s="233"/>
      <c r="V5" s="310"/>
    </row>
    <row r="6" spans="1:22" x14ac:dyDescent="0.25">
      <c r="D6" s="233"/>
      <c r="E6" s="233"/>
      <c r="F6" s="233"/>
      <c r="G6" s="233"/>
      <c r="H6" s="233"/>
      <c r="I6" s="233" t="s">
        <v>914</v>
      </c>
      <c r="K6" s="233"/>
      <c r="L6" s="233"/>
      <c r="M6" s="233"/>
      <c r="N6" s="226"/>
      <c r="O6" s="310"/>
      <c r="P6" s="233"/>
      <c r="Q6" s="233"/>
      <c r="R6" s="311"/>
      <c r="S6" s="311" t="s">
        <v>919</v>
      </c>
      <c r="T6" s="310" t="s">
        <v>920</v>
      </c>
      <c r="U6" s="233"/>
      <c r="V6" s="311"/>
    </row>
    <row r="7" spans="1:22" x14ac:dyDescent="0.25">
      <c r="A7" t="s">
        <v>714</v>
      </c>
      <c r="B7" s="313">
        <v>-0.13425858500000001</v>
      </c>
      <c r="D7" s="233" t="s">
        <v>310</v>
      </c>
      <c r="E7" s="233"/>
      <c r="F7" s="233"/>
      <c r="G7" s="233"/>
      <c r="H7" s="233"/>
      <c r="I7" s="233" t="s">
        <v>915</v>
      </c>
      <c r="J7" s="233"/>
      <c r="K7" s="233"/>
      <c r="L7" s="233"/>
      <c r="M7" s="233"/>
      <c r="N7" s="226"/>
      <c r="O7" s="310"/>
      <c r="P7" s="311"/>
      <c r="Q7" s="233"/>
      <c r="R7" s="233"/>
      <c r="S7" s="311"/>
      <c r="T7" s="310" t="s">
        <v>937</v>
      </c>
      <c r="U7" s="233"/>
      <c r="V7" s="311"/>
    </row>
    <row r="8" spans="1:22" x14ac:dyDescent="0.25">
      <c r="A8" t="s">
        <v>713</v>
      </c>
      <c r="B8" s="307">
        <f>+(S41+S82)</f>
        <v>99214925.511160567</v>
      </c>
      <c r="D8" s="233"/>
      <c r="E8" s="233"/>
      <c r="F8" s="233"/>
      <c r="G8" s="233"/>
      <c r="H8" s="233"/>
      <c r="I8" s="233" t="s">
        <v>916</v>
      </c>
      <c r="J8" s="233"/>
      <c r="K8" s="233"/>
      <c r="L8" s="233"/>
      <c r="M8" s="233"/>
      <c r="N8" s="226"/>
      <c r="O8" s="310"/>
      <c r="P8" s="311"/>
      <c r="Q8" s="233"/>
      <c r="R8" s="233"/>
      <c r="S8" s="311"/>
      <c r="T8" s="310" t="s">
        <v>938</v>
      </c>
      <c r="U8" s="233"/>
      <c r="V8" s="311"/>
    </row>
    <row r="9" spans="1:22" x14ac:dyDescent="0.25">
      <c r="D9" s="233"/>
      <c r="E9" s="233"/>
      <c r="F9" s="311"/>
      <c r="G9" s="233"/>
      <c r="H9" s="233"/>
      <c r="I9" s="233" t="s">
        <v>917</v>
      </c>
      <c r="J9" s="233"/>
      <c r="K9" s="317"/>
      <c r="L9" s="317"/>
      <c r="M9" s="317"/>
      <c r="N9" s="226"/>
      <c r="O9" s="233"/>
      <c r="P9" s="233"/>
      <c r="Q9" s="233"/>
      <c r="R9" s="233"/>
      <c r="S9" s="233"/>
      <c r="T9" s="233" t="s">
        <v>311</v>
      </c>
      <c r="U9" s="233"/>
      <c r="V9" s="233"/>
    </row>
    <row r="10" spans="1:22" ht="15.75" thickBot="1" x14ac:dyDescent="0.3">
      <c r="D10" s="306" t="s">
        <v>1642</v>
      </c>
      <c r="E10" s="306"/>
      <c r="F10" s="326"/>
      <c r="G10" s="319"/>
      <c r="H10" s="319"/>
      <c r="I10" s="361" t="s">
        <v>918</v>
      </c>
      <c r="J10" s="361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x14ac:dyDescent="0.25">
      <c r="D11" s="233"/>
      <c r="E11" s="233"/>
      <c r="F11" s="233"/>
      <c r="G11" s="233"/>
      <c r="H11" s="317"/>
      <c r="I11" s="233"/>
      <c r="J11" s="317"/>
      <c r="K11" s="362"/>
      <c r="L11" s="317"/>
      <c r="M11" s="233"/>
      <c r="N11" s="317"/>
      <c r="O11" s="233"/>
      <c r="P11" s="362"/>
      <c r="Q11" s="233"/>
      <c r="R11" s="233"/>
      <c r="S11" s="233"/>
      <c r="T11" s="233"/>
      <c r="U11" s="233"/>
      <c r="V11" s="233"/>
    </row>
    <row r="12" spans="1:22" x14ac:dyDescent="0.25">
      <c r="D12" s="233"/>
      <c r="E12" s="233"/>
      <c r="F12" s="233"/>
      <c r="G12" s="233"/>
      <c r="H12" s="362"/>
      <c r="I12" s="233"/>
      <c r="J12" s="233"/>
      <c r="K12" s="362"/>
      <c r="L12" s="233"/>
      <c r="M12" s="233"/>
      <c r="N12" s="317"/>
      <c r="O12" s="233"/>
      <c r="P12" s="362"/>
      <c r="Q12" s="233"/>
      <c r="R12" s="233"/>
      <c r="S12" s="233"/>
      <c r="T12" s="233"/>
      <c r="U12" s="233"/>
      <c r="V12" s="233"/>
    </row>
    <row r="13" spans="1:22" x14ac:dyDescent="0.25">
      <c r="D13" s="233"/>
      <c r="E13" s="233"/>
      <c r="F13" s="233"/>
      <c r="G13" s="233"/>
      <c r="H13" s="233"/>
      <c r="I13" s="362"/>
      <c r="J13" s="362"/>
      <c r="K13" s="363"/>
      <c r="L13" s="363" t="s">
        <v>312</v>
      </c>
      <c r="M13" s="317"/>
      <c r="N13" s="364" t="s">
        <v>338</v>
      </c>
      <c r="O13" s="362"/>
      <c r="P13" s="233"/>
      <c r="Q13" s="362"/>
      <c r="R13" s="362"/>
      <c r="S13" s="362"/>
      <c r="T13" s="362"/>
      <c r="U13" s="362"/>
      <c r="V13" s="233"/>
    </row>
    <row r="14" spans="1:22" x14ac:dyDescent="0.25">
      <c r="D14" s="233"/>
      <c r="E14" s="233"/>
      <c r="F14" s="233"/>
      <c r="G14" s="233"/>
      <c r="H14" s="233"/>
      <c r="I14" s="362"/>
      <c r="J14" s="362"/>
      <c r="K14" s="362"/>
      <c r="L14" s="362"/>
      <c r="M14" s="362"/>
      <c r="N14" s="317"/>
      <c r="O14" s="362"/>
      <c r="P14" s="362"/>
      <c r="Q14" s="362"/>
      <c r="R14" s="362"/>
      <c r="S14" s="362"/>
      <c r="T14" s="362"/>
      <c r="U14" s="362"/>
      <c r="V14" s="362"/>
    </row>
    <row r="15" spans="1:22" x14ac:dyDescent="0.25">
      <c r="D15" s="226" t="s">
        <v>314</v>
      </c>
      <c r="E15" s="366" t="s">
        <v>315</v>
      </c>
      <c r="F15" s="3"/>
      <c r="G15" s="3"/>
      <c r="H15" s="4"/>
      <c r="I15" s="4"/>
      <c r="J15" s="5" t="s">
        <v>316</v>
      </c>
      <c r="K15" s="4"/>
      <c r="L15" s="4"/>
      <c r="M15" s="2"/>
      <c r="N15" s="6"/>
      <c r="O15" s="4"/>
      <c r="P15" s="5"/>
      <c r="Q15" s="5" t="s">
        <v>317</v>
      </c>
      <c r="R15" s="4"/>
      <c r="S15" s="4"/>
      <c r="T15" s="2"/>
      <c r="U15" s="7" t="s">
        <v>318</v>
      </c>
      <c r="V15" s="7" t="s">
        <v>319</v>
      </c>
    </row>
    <row r="16" spans="1:22" ht="15.75" thickBot="1" x14ac:dyDescent="0.3">
      <c r="A16" s="216" t="s">
        <v>552</v>
      </c>
      <c r="B16" s="216" t="s">
        <v>553</v>
      </c>
      <c r="D16" s="314" t="s">
        <v>320</v>
      </c>
      <c r="E16" s="367" t="s">
        <v>321</v>
      </c>
      <c r="F16" s="8"/>
      <c r="G16" s="306"/>
      <c r="H16" s="314" t="s">
        <v>322</v>
      </c>
      <c r="I16" s="9"/>
      <c r="J16" s="9" t="s">
        <v>323</v>
      </c>
      <c r="K16" s="9"/>
      <c r="L16" s="9" t="s">
        <v>324</v>
      </c>
      <c r="M16" s="9"/>
      <c r="N16" s="9"/>
      <c r="O16" s="9" t="s">
        <v>322</v>
      </c>
      <c r="P16" s="9"/>
      <c r="Q16" s="9" t="s">
        <v>323</v>
      </c>
      <c r="R16" s="9"/>
      <c r="S16" s="9" t="s">
        <v>324</v>
      </c>
      <c r="T16" s="8"/>
      <c r="U16" s="10" t="s">
        <v>325</v>
      </c>
      <c r="V16" s="10" t="s">
        <v>326</v>
      </c>
    </row>
    <row r="17" spans="1:22" x14ac:dyDescent="0.25">
      <c r="D17" s="233">
        <v>1</v>
      </c>
      <c r="E17" s="353"/>
      <c r="F17" s="11"/>
      <c r="G17" s="233"/>
      <c r="H17" s="233"/>
      <c r="I17" s="15"/>
      <c r="J17" s="15"/>
      <c r="K17" s="15"/>
      <c r="L17" s="15"/>
      <c r="M17" s="11"/>
      <c r="N17" s="6"/>
      <c r="O17" s="11"/>
      <c r="P17" s="15"/>
      <c r="Q17" s="15"/>
      <c r="R17" s="15"/>
      <c r="S17" s="15"/>
      <c r="T17" s="15"/>
      <c r="U17" s="15"/>
      <c r="V17" s="15"/>
    </row>
    <row r="18" spans="1:22" x14ac:dyDescent="0.25">
      <c r="A18" s="368"/>
      <c r="B18" s="368"/>
      <c r="D18" s="233">
        <v>2</v>
      </c>
      <c r="E18" s="11" t="s">
        <v>327</v>
      </c>
      <c r="F18" s="11"/>
      <c r="G18" s="233"/>
      <c r="H18" s="233"/>
      <c r="I18" s="12"/>
      <c r="J18" s="12"/>
      <c r="K18" s="12"/>
      <c r="L18" s="12"/>
      <c r="M18" s="13"/>
      <c r="N18" s="22"/>
      <c r="O18" s="13"/>
      <c r="P18" s="12"/>
      <c r="Q18" s="12"/>
      <c r="R18" s="12"/>
      <c r="S18" s="12"/>
      <c r="T18" s="12"/>
      <c r="U18" s="12"/>
      <c r="V18" s="12"/>
    </row>
    <row r="19" spans="1:22" x14ac:dyDescent="0.25">
      <c r="A19" s="368" t="s">
        <v>11</v>
      </c>
      <c r="B19" s="368" t="s">
        <v>537</v>
      </c>
      <c r="D19" s="233">
        <v>3</v>
      </c>
      <c r="E19" s="359" t="s">
        <v>339</v>
      </c>
      <c r="F19" s="11"/>
      <c r="G19" s="233"/>
      <c r="H19" s="13">
        <f>+INDEX('2025 Org Base Case BDs'!B:B,MATCH('2025 GS Rate Class E-13c'!A19,'2025 Org Base Case BDs'!A:A,0))</f>
        <v>24905825</v>
      </c>
      <c r="I19" s="12" t="s">
        <v>329</v>
      </c>
      <c r="J19" s="19">
        <f>+INDEX('2024 Base Rates'!E:E,MATCH('2025 GS Rate Class E-13c'!B19,'2024 Base Rates'!D:D,0))</f>
        <v>0.75</v>
      </c>
      <c r="K19" s="12"/>
      <c r="L19" s="12">
        <f>+H19*J19</f>
        <v>18679368.75</v>
      </c>
      <c r="M19" s="13"/>
      <c r="N19" s="22"/>
      <c r="O19" s="13">
        <f>+INDEX('2025 Billing Determinants'!B:B,MATCH('2025 GS Rate Class E-13c'!A19,'2025 Billing Determinants'!A:A,0))</f>
        <v>24905825</v>
      </c>
      <c r="P19" s="12" t="s">
        <v>329</v>
      </c>
      <c r="Q19" s="19">
        <f>+INDEX('Unit Cost Rate Design Input'!D:D,MATCH('2025 GS Rate Class E-13c'!B19,'Unit Cost Rate Design Input'!B:B,0))</f>
        <v>1.27</v>
      </c>
      <c r="R19" s="12"/>
      <c r="S19" s="12">
        <f>+O19*Q19</f>
        <v>31630397.75</v>
      </c>
      <c r="T19" s="12"/>
      <c r="U19" s="12">
        <f>+S19-L19</f>
        <v>12951029</v>
      </c>
      <c r="V19" s="21">
        <f>+IF(U19=0,0,(S19-L19)/L19)</f>
        <v>0.69333333333333336</v>
      </c>
    </row>
    <row r="20" spans="1:22" x14ac:dyDescent="0.25">
      <c r="A20" s="368" t="s">
        <v>12</v>
      </c>
      <c r="B20" s="368" t="s">
        <v>538</v>
      </c>
      <c r="D20" s="233">
        <v>4</v>
      </c>
      <c r="E20" s="359" t="s">
        <v>340</v>
      </c>
      <c r="F20" s="11"/>
      <c r="G20" s="233"/>
      <c r="H20" s="13">
        <f>+INDEX('2025 Org Base Case BDs'!B:B,MATCH('2025 GS Rate Class E-13c'!A20,'2025 Org Base Case BDs'!A:A,0))</f>
        <v>35156</v>
      </c>
      <c r="I20" s="12" t="s">
        <v>329</v>
      </c>
      <c r="J20" s="19">
        <f>+INDEX('2024 Base Rates'!E:E,MATCH('2025 GS Rate Class E-13c'!B20,'2024 Base Rates'!D:D,0))</f>
        <v>0.63</v>
      </c>
      <c r="K20" s="12"/>
      <c r="L20" s="12">
        <f>+H20*J20</f>
        <v>22148.28</v>
      </c>
      <c r="M20" s="13"/>
      <c r="N20" s="22"/>
      <c r="O20" s="13">
        <f>+INDEX('2025 Billing Determinants'!B:B,MATCH('2025 GS Rate Class E-13c'!A20,'2025 Billing Determinants'!A:A,0))</f>
        <v>35156</v>
      </c>
      <c r="P20" s="12" t="s">
        <v>329</v>
      </c>
      <c r="Q20" s="19">
        <f>+INDEX('Unit Cost Rate Design Input'!D:D,MATCH('2025 GS Rate Class E-13c'!B20,'Unit Cost Rate Design Input'!B:B,0))</f>
        <v>1.06</v>
      </c>
      <c r="R20" s="12"/>
      <c r="S20" s="12">
        <f t="shared" ref="S20:S21" si="0">+O20*Q20</f>
        <v>37265.360000000001</v>
      </c>
      <c r="T20" s="12"/>
      <c r="U20" s="12">
        <f t="shared" ref="U20:U22" si="1">+S20-L20</f>
        <v>15117.080000000002</v>
      </c>
      <c r="V20" s="21">
        <f t="shared" ref="V20:V22" si="2">+IF(U20=0,0,(S20-L20)/L20)</f>
        <v>0.68253968253968267</v>
      </c>
    </row>
    <row r="21" spans="1:22" ht="16.5" x14ac:dyDescent="0.35">
      <c r="A21" s="368" t="s">
        <v>13</v>
      </c>
      <c r="B21" s="368" t="s">
        <v>539</v>
      </c>
      <c r="D21" s="233">
        <v>5</v>
      </c>
      <c r="E21" s="359" t="s">
        <v>341</v>
      </c>
      <c r="F21" s="11"/>
      <c r="G21" s="233"/>
      <c r="H21" s="57">
        <f>+INDEX('2025 Org Base Case BDs'!B:B,MATCH('2025 GS Rate Class E-13c'!A21,'2025 Org Base Case BDs'!A:A,0))</f>
        <v>830344</v>
      </c>
      <c r="I21" s="12" t="s">
        <v>329</v>
      </c>
      <c r="J21" s="19">
        <f>+INDEX('2024 Base Rates'!E:E,MATCH('2025 GS Rate Class E-13c'!B21,'2024 Base Rates'!D:D,0))</f>
        <v>0.75</v>
      </c>
      <c r="K21" s="12"/>
      <c r="L21" s="12">
        <f>+H21*J21</f>
        <v>622758</v>
      </c>
      <c r="M21" s="12"/>
      <c r="N21" s="22"/>
      <c r="O21" s="57">
        <f>+INDEX('2025 Billing Determinants'!B:B,MATCH('2025 GS Rate Class E-13c'!A21,'2025 Billing Determinants'!A:A,0))</f>
        <v>830344</v>
      </c>
      <c r="P21" s="12" t="s">
        <v>329</v>
      </c>
      <c r="Q21" s="19">
        <f>+INDEX('Unit Cost Rate Design Input'!D:D,MATCH('2025 GS Rate Class E-13c'!B21,'Unit Cost Rate Design Input'!B:B,0))</f>
        <v>1.27</v>
      </c>
      <c r="R21" s="12"/>
      <c r="S21" s="12">
        <f t="shared" si="0"/>
        <v>1054536.8800000001</v>
      </c>
      <c r="T21" s="12"/>
      <c r="U21" s="12">
        <f t="shared" si="1"/>
        <v>431778.88000000012</v>
      </c>
      <c r="V21" s="21">
        <f t="shared" si="2"/>
        <v>0.69333333333333358</v>
      </c>
    </row>
    <row r="22" spans="1:22" x14ac:dyDescent="0.25">
      <c r="A22" s="368"/>
      <c r="B22" s="368"/>
      <c r="D22" s="233">
        <v>6</v>
      </c>
      <c r="E22" s="2" t="s">
        <v>331</v>
      </c>
      <c r="F22" s="11"/>
      <c r="G22" s="233"/>
      <c r="H22" s="13">
        <f>+SUM(H19:H21)</f>
        <v>25771325</v>
      </c>
      <c r="I22" s="12" t="s">
        <v>342</v>
      </c>
      <c r="J22" s="12"/>
      <c r="K22" s="12"/>
      <c r="L22" s="54">
        <f>+SUM(L19:L21)</f>
        <v>19324275.030000001</v>
      </c>
      <c r="M22" s="12"/>
      <c r="N22" s="22"/>
      <c r="O22" s="13">
        <f>+SUM(O19:O21)</f>
        <v>25771325</v>
      </c>
      <c r="P22" s="12" t="s">
        <v>342</v>
      </c>
      <c r="Q22" s="12"/>
      <c r="R22" s="12"/>
      <c r="S22" s="54">
        <f>+SUM(S19:S21)</f>
        <v>32722199.989999998</v>
      </c>
      <c r="T22" s="12"/>
      <c r="U22" s="12">
        <f t="shared" si="1"/>
        <v>13397924.959999997</v>
      </c>
      <c r="V22" s="21">
        <f t="shared" si="2"/>
        <v>0.69332096232331442</v>
      </c>
    </row>
    <row r="23" spans="1:22" x14ac:dyDescent="0.25">
      <c r="A23" s="368"/>
      <c r="B23" s="368"/>
      <c r="D23" s="233">
        <v>7</v>
      </c>
      <c r="E23" s="11"/>
      <c r="F23" s="11"/>
      <c r="G23" s="233"/>
      <c r="H23" s="13"/>
      <c r="I23" s="12"/>
      <c r="J23" s="12"/>
      <c r="K23" s="12"/>
      <c r="L23" s="12"/>
      <c r="M23" s="12"/>
      <c r="N23" s="22"/>
      <c r="O23" s="12"/>
      <c r="P23" s="12"/>
      <c r="Q23" s="12"/>
      <c r="R23" s="12"/>
      <c r="S23" s="12"/>
      <c r="T23" s="12"/>
      <c r="U23" s="12"/>
      <c r="V23" s="23"/>
    </row>
    <row r="24" spans="1:22" x14ac:dyDescent="0.25">
      <c r="A24" s="368"/>
      <c r="B24" s="368"/>
      <c r="D24" s="233">
        <v>8</v>
      </c>
      <c r="E24" s="11" t="s">
        <v>343</v>
      </c>
      <c r="F24" s="15"/>
      <c r="G24" s="233"/>
      <c r="H24" s="12"/>
      <c r="I24" s="12"/>
      <c r="J24" s="12"/>
      <c r="K24" s="12"/>
      <c r="L24" s="12"/>
      <c r="M24" s="12"/>
      <c r="N24" s="22"/>
      <c r="O24" s="12"/>
      <c r="P24" s="12"/>
      <c r="Q24" s="12"/>
      <c r="R24" s="12"/>
      <c r="S24" s="12"/>
      <c r="T24" s="12"/>
      <c r="U24" s="12"/>
      <c r="V24" s="23"/>
    </row>
    <row r="25" spans="1:22" x14ac:dyDescent="0.25">
      <c r="A25" s="368" t="s">
        <v>14</v>
      </c>
      <c r="B25" s="368" t="s">
        <v>486</v>
      </c>
      <c r="D25" s="233">
        <v>9</v>
      </c>
      <c r="E25" s="359" t="s">
        <v>328</v>
      </c>
      <c r="F25" s="15"/>
      <c r="G25" s="233"/>
      <c r="H25" s="13">
        <f>+INDEX('2025 Org Base Case BDs'!B:B,MATCH('2025 GS Rate Class E-13c'!A25,'2025 Org Base Case BDs'!A:A,0))</f>
        <v>910365971</v>
      </c>
      <c r="I25" s="12" t="s">
        <v>711</v>
      </c>
      <c r="J25" s="28">
        <f>+INDEX('2024 Base Rates'!E:E,MATCH('2025 GS Rate Class E-13c'!B25,'2024 Base Rates'!D:D,0))</f>
        <v>7.8619999999999995E-2</v>
      </c>
      <c r="K25" s="12"/>
      <c r="L25" s="12">
        <f>+H25*J25</f>
        <v>71572972.640019998</v>
      </c>
      <c r="M25" s="12"/>
      <c r="N25" s="22"/>
      <c r="O25" s="13">
        <f>+INDEX('2025 Billing Determinants'!B:B,MATCH('2025 GS Rate Class E-13c'!A25,'2025 Billing Determinants'!A:A,0))</f>
        <v>910365971</v>
      </c>
      <c r="P25" s="12" t="s">
        <v>711</v>
      </c>
      <c r="Q25" s="28">
        <f t="shared" ref="Q25:Q26" si="3">+J25*(1+$B$7)</f>
        <v>6.8064590047299992E-2</v>
      </c>
      <c r="R25" s="12"/>
      <c r="S25" s="12">
        <f>+O25*Q25</f>
        <v>61963686.609127194</v>
      </c>
      <c r="T25" s="12"/>
      <c r="U25" s="12">
        <f t="shared" ref="U25:U30" si="4">+S25-L25</f>
        <v>-9609286.0308928043</v>
      </c>
      <c r="V25" s="21">
        <f t="shared" ref="V25:V30" si="5">+IF(U25=0,0,(S25-L25)/L25)</f>
        <v>-0.13425858500000007</v>
      </c>
    </row>
    <row r="26" spans="1:22" x14ac:dyDescent="0.25">
      <c r="A26" s="368" t="s">
        <v>15</v>
      </c>
      <c r="B26" s="368" t="s">
        <v>487</v>
      </c>
      <c r="D26" s="233">
        <v>10</v>
      </c>
      <c r="E26" s="359" t="s">
        <v>340</v>
      </c>
      <c r="F26" s="15"/>
      <c r="G26" s="233"/>
      <c r="H26" s="13">
        <f>+INDEX('2025 Org Base Case BDs'!B:B,MATCH('2025 GS Rate Class E-13c'!A26,'2025 Org Base Case BDs'!A:A,0))</f>
        <v>1036577</v>
      </c>
      <c r="I26" s="12" t="s">
        <v>711</v>
      </c>
      <c r="J26" s="28">
        <f>+INDEX('2024 Base Rates'!E:E,MATCH('2025 GS Rate Class E-13c'!B26,'2024 Base Rates'!D:D,0))</f>
        <v>7.8619999999999995E-2</v>
      </c>
      <c r="K26" s="12"/>
      <c r="L26" s="12">
        <f t="shared" ref="L26:L27" si="6">+H26*J26</f>
        <v>81495.683739999993</v>
      </c>
      <c r="M26" s="12"/>
      <c r="N26" s="22"/>
      <c r="O26" s="13">
        <f>+INDEX('2025 Billing Determinants'!B:B,MATCH('2025 GS Rate Class E-13c'!A26,'2025 Billing Determinants'!A:A,0))</f>
        <v>1036577</v>
      </c>
      <c r="P26" s="12" t="s">
        <v>711</v>
      </c>
      <c r="Q26" s="28">
        <f t="shared" si="3"/>
        <v>6.8064590047299992E-2</v>
      </c>
      <c r="R26" s="12"/>
      <c r="S26" s="12">
        <f t="shared" ref="S26:S30" si="7">+O26*Q26</f>
        <v>70554.188557460089</v>
      </c>
      <c r="T26" s="12"/>
      <c r="U26" s="12">
        <f t="shared" si="4"/>
        <v>-10941.495182539904</v>
      </c>
      <c r="V26" s="21">
        <f t="shared" si="5"/>
        <v>-0.13425858499999996</v>
      </c>
    </row>
    <row r="27" spans="1:22" x14ac:dyDescent="0.25">
      <c r="A27" s="368" t="s">
        <v>17</v>
      </c>
      <c r="B27" s="368" t="s">
        <v>488</v>
      </c>
      <c r="D27" s="233">
        <v>11</v>
      </c>
      <c r="E27" s="359" t="s">
        <v>344</v>
      </c>
      <c r="F27" s="15"/>
      <c r="G27" s="233"/>
      <c r="H27" s="13">
        <f>+INDEX('2025 Org Base Case BDs'!B:B,MATCH('2025 GS Rate Class E-13c'!A27,'2025 Org Base Case BDs'!A:A,0))</f>
        <v>6837961</v>
      </c>
      <c r="I27" s="12" t="s">
        <v>711</v>
      </c>
      <c r="J27" s="28">
        <f>+INDEX('2024 Base Rates'!E:E,MATCH('2025 GS Rate Class E-13c'!B27,'2024 Base Rates'!D:D,0))</f>
        <v>0.12317</v>
      </c>
      <c r="K27" s="39"/>
      <c r="L27" s="12">
        <f t="shared" si="6"/>
        <v>842231.65636999998</v>
      </c>
      <c r="M27" s="12"/>
      <c r="N27" s="22"/>
      <c r="O27" s="13">
        <f>+INDEX('2025 Billing Determinants'!B:B,MATCH('2025 GS Rate Class E-13c'!A27,'2025 Billing Determinants'!A:A,0))</f>
        <v>6385234</v>
      </c>
      <c r="P27" s="12" t="s">
        <v>711</v>
      </c>
      <c r="Q27" s="28">
        <f>+Q25*'Time of Day Inputs'!E3</f>
        <v>9.9118734603349995E-2</v>
      </c>
      <c r="R27" s="12"/>
      <c r="S27" s="12">
        <f t="shared" si="7"/>
        <v>632896.31422628695</v>
      </c>
      <c r="T27" s="12"/>
      <c r="U27" s="12">
        <f t="shared" si="4"/>
        <v>-209335.34214371303</v>
      </c>
      <c r="V27" s="21">
        <f t="shared" si="5"/>
        <v>-0.24854841368222108</v>
      </c>
    </row>
    <row r="28" spans="1:22" x14ac:dyDescent="0.25">
      <c r="A28" s="368" t="s">
        <v>18</v>
      </c>
      <c r="B28" s="368" t="s">
        <v>489</v>
      </c>
      <c r="D28" s="233">
        <v>12</v>
      </c>
      <c r="E28" s="359" t="s">
        <v>345</v>
      </c>
      <c r="F28" s="15"/>
      <c r="G28" s="233"/>
      <c r="H28" s="13">
        <f>+INDEX('2025 Org Base Case BDs'!B:B,MATCH('2025 GS Rate Class E-13c'!A28,'2025 Org Base Case BDs'!A:A,0))</f>
        <v>19926071</v>
      </c>
      <c r="I28" s="12" t="s">
        <v>711</v>
      </c>
      <c r="J28" s="28">
        <f>+INDEX('2024 Base Rates'!E:E,MATCH('2025 GS Rate Class E-13c'!B28,'2024 Base Rates'!D:D,0))</f>
        <v>6.3310000000000005E-2</v>
      </c>
      <c r="K28" s="12"/>
      <c r="L28" s="12">
        <f>+H28*J28</f>
        <v>1261519.55501</v>
      </c>
      <c r="M28" s="12"/>
      <c r="N28" s="22"/>
      <c r="O28" s="13">
        <f>+INDEX('2025 Billing Determinants'!B:B,MATCH('2025 GS Rate Class E-13c'!A28,'2025 Billing Determinants'!A:A,0))</f>
        <v>11254304</v>
      </c>
      <c r="P28" s="12" t="s">
        <v>711</v>
      </c>
      <c r="Q28" s="28">
        <f>+Q27+'Time of Day Inputs'!F3</f>
        <v>5.3738734603349998E-2</v>
      </c>
      <c r="R28" s="12"/>
      <c r="S28" s="12">
        <f t="shared" si="7"/>
        <v>604792.05580142036</v>
      </c>
      <c r="T28" s="12"/>
      <c r="U28" s="12">
        <f t="shared" si="4"/>
        <v>-656727.49920857965</v>
      </c>
      <c r="V28" s="21">
        <f t="shared" si="5"/>
        <v>-0.5205844781402329</v>
      </c>
    </row>
    <row r="29" spans="1:22" x14ac:dyDescent="0.25">
      <c r="A29" s="368" t="s">
        <v>892</v>
      </c>
      <c r="B29" s="368" t="s">
        <v>1496</v>
      </c>
      <c r="D29" s="233">
        <v>13</v>
      </c>
      <c r="E29" s="359" t="s">
        <v>1609</v>
      </c>
      <c r="H29" s="13">
        <v>0</v>
      </c>
      <c r="I29" s="12" t="s">
        <v>711</v>
      </c>
      <c r="J29" s="28">
        <v>0</v>
      </c>
      <c r="L29" s="12">
        <f>+H29*J29</f>
        <v>0</v>
      </c>
      <c r="O29" s="13">
        <f>+INDEX('2025 Billing Determinants'!B:B,MATCH('2025 GS Rate Class E-13c'!A29,'2025 Billing Determinants'!A:A,0))</f>
        <v>9124494.0999999996</v>
      </c>
      <c r="P29" s="12" t="s">
        <v>711</v>
      </c>
      <c r="Q29" s="28">
        <f>+Q28+'Time of Day Inputs'!G3</f>
        <v>4.9828734603349994E-2</v>
      </c>
      <c r="S29" s="12">
        <f t="shared" si="7"/>
        <v>454661.99489873287</v>
      </c>
      <c r="U29" s="12">
        <f t="shared" si="4"/>
        <v>454661.99489873287</v>
      </c>
      <c r="V29" s="78" t="str">
        <f>IFERROR(+IF(U29=0,0,(S29-L29)/L29),"New Rate")</f>
        <v>New Rate</v>
      </c>
    </row>
    <row r="30" spans="1:22" x14ac:dyDescent="0.25">
      <c r="A30" s="368" t="s">
        <v>301</v>
      </c>
      <c r="B30" s="368" t="s">
        <v>1601</v>
      </c>
      <c r="D30" s="233">
        <v>14</v>
      </c>
      <c r="E30" s="359" t="s">
        <v>1600</v>
      </c>
      <c r="H30" s="13">
        <f>+INDEX('2025 Billing Determinants'!B:B,MATCH('2025 GS Rate Class E-13c'!A30,'2025 Billing Determinants'!A:A,0))</f>
        <v>271425.18464868463</v>
      </c>
      <c r="I30" s="12" t="s">
        <v>711</v>
      </c>
      <c r="J30" s="28">
        <v>6.3E-2</v>
      </c>
      <c r="L30" s="12">
        <f>+H30*J30</f>
        <v>17099.786632867133</v>
      </c>
      <c r="O30" s="13">
        <f>+INDEX('2025 Billing Determinants'!B:B,MATCH('2025 GS Rate Class E-13c'!A30,'2025 Billing Determinants'!A:A,0))</f>
        <v>271425.18464868463</v>
      </c>
      <c r="P30" s="12" t="s">
        <v>711</v>
      </c>
      <c r="Q30" s="28">
        <v>6.3E-2</v>
      </c>
      <c r="S30" s="12">
        <f t="shared" si="7"/>
        <v>17099.786632867133</v>
      </c>
      <c r="U30" s="12">
        <f t="shared" si="4"/>
        <v>0</v>
      </c>
      <c r="V30" s="21">
        <f t="shared" si="5"/>
        <v>0</v>
      </c>
    </row>
    <row r="31" spans="1:22" x14ac:dyDescent="0.25">
      <c r="A31" s="368"/>
      <c r="B31" s="368"/>
      <c r="D31" s="233">
        <v>15</v>
      </c>
      <c r="E31" s="2" t="s">
        <v>331</v>
      </c>
      <c r="F31" s="15"/>
      <c r="G31" s="233"/>
      <c r="H31" s="55">
        <f>+SUM(H25:H29)</f>
        <v>938166580</v>
      </c>
      <c r="I31" s="12" t="s">
        <v>711</v>
      </c>
      <c r="J31" s="29"/>
      <c r="K31" s="12"/>
      <c r="L31" s="54">
        <f>+SUM(L25:L30)</f>
        <v>73775319.321772873</v>
      </c>
      <c r="M31" s="12"/>
      <c r="N31" s="22"/>
      <c r="O31" s="55">
        <f>+SUM(O25:O29)</f>
        <v>938166580.10000002</v>
      </c>
      <c r="P31" s="12" t="s">
        <v>711</v>
      </c>
      <c r="Q31" s="29"/>
      <c r="R31" s="12"/>
      <c r="S31" s="54">
        <f>+SUM(S25:S30)</f>
        <v>63743690.949243963</v>
      </c>
      <c r="T31" s="12"/>
      <c r="U31" s="12">
        <f>+S31-L31</f>
        <v>-10031628.372528911</v>
      </c>
      <c r="V31" s="21">
        <f>+IF(U31=0,0,(S31-L31)/L31)</f>
        <v>-0.13597539752794177</v>
      </c>
    </row>
    <row r="32" spans="1:22" x14ac:dyDescent="0.25">
      <c r="A32" s="368"/>
      <c r="B32" s="368"/>
      <c r="D32" s="233">
        <v>16</v>
      </c>
      <c r="E32" s="11"/>
      <c r="F32" s="15"/>
      <c r="G32" s="233"/>
      <c r="H32" s="12"/>
      <c r="I32" s="12"/>
      <c r="J32" s="29"/>
      <c r="K32" s="12"/>
      <c r="L32" s="12"/>
      <c r="M32" s="12"/>
      <c r="N32" s="22"/>
      <c r="O32" s="12"/>
      <c r="P32" s="12"/>
      <c r="Q32" s="29"/>
      <c r="R32" s="12"/>
      <c r="S32" s="12"/>
      <c r="T32" s="12"/>
      <c r="U32" s="12"/>
      <c r="V32" s="23"/>
    </row>
    <row r="33" spans="1:22" x14ac:dyDescent="0.25">
      <c r="A33" s="368"/>
      <c r="B33" s="368"/>
      <c r="D33" s="233">
        <v>17</v>
      </c>
      <c r="E33" s="11" t="s">
        <v>346</v>
      </c>
      <c r="F33" s="15"/>
      <c r="G33" s="233"/>
      <c r="H33" s="12"/>
      <c r="I33" s="12"/>
      <c r="J33" s="19"/>
      <c r="K33" s="12"/>
      <c r="L33" s="12"/>
      <c r="M33" s="12"/>
      <c r="N33" s="22"/>
      <c r="O33" s="12"/>
      <c r="P33" s="12"/>
      <c r="Q33" s="19"/>
      <c r="R33" s="12"/>
      <c r="S33" s="12"/>
      <c r="T33" s="12"/>
      <c r="U33" s="12"/>
      <c r="V33" s="23"/>
    </row>
    <row r="34" spans="1:22" x14ac:dyDescent="0.25">
      <c r="A34" s="368" t="s">
        <v>19</v>
      </c>
      <c r="B34" s="368" t="s">
        <v>491</v>
      </c>
      <c r="D34" s="233">
        <v>18</v>
      </c>
      <c r="E34" s="359" t="s">
        <v>328</v>
      </c>
      <c r="F34" s="233"/>
      <c r="G34" s="233"/>
      <c r="H34" s="13">
        <f>+INDEX('2025 Org Base Case BDs'!B:B,MATCH('2025 GS Rate Class E-13c'!A34,'2025 Org Base Case BDs'!A:A,0))</f>
        <v>278292.17</v>
      </c>
      <c r="I34" s="12" t="s">
        <v>711</v>
      </c>
      <c r="J34" s="28">
        <f>+INDEX('2024 Base Rates'!E:E,MATCH('2025 GS Rate Class E-13c'!B34,'2024 Base Rates'!D:D,0))</f>
        <v>1.7099999999999999E-3</v>
      </c>
      <c r="K34" s="12"/>
      <c r="L34" s="12">
        <f>+H34*J34</f>
        <v>475.87961069999994</v>
      </c>
      <c r="M34" s="12"/>
      <c r="N34" s="22"/>
      <c r="O34" s="12">
        <f>+INDEX('2025 Billing Determinants'!B:B,MATCH('2025 GS Rate Class E-13c'!A34,'2025 Billing Determinants'!A:A,0))</f>
        <v>278292.17</v>
      </c>
      <c r="P34" s="12" t="s">
        <v>711</v>
      </c>
      <c r="Q34" s="28">
        <f>+INDEX('Unit Cost Rate Design Input'!D:D,MATCH('2025 GS Rate Class E-13c'!B34,'Unit Cost Rate Design Input'!B:B,0))</f>
        <v>2.5699999999999998E-3</v>
      </c>
      <c r="R34" s="12"/>
      <c r="S34" s="12">
        <f>+O34*Q34</f>
        <v>715.2108768999999</v>
      </c>
      <c r="T34" s="12"/>
      <c r="U34" s="12">
        <f t="shared" ref="U34:U36" si="8">+S34-L34</f>
        <v>239.33126619999996</v>
      </c>
      <c r="V34" s="21">
        <f t="shared" ref="V34:V36" si="9">+IF(U34=0,0,(S34-L34)/L34)</f>
        <v>0.50292397660818711</v>
      </c>
    </row>
    <row r="35" spans="1:22" x14ac:dyDescent="0.25">
      <c r="A35" s="368" t="s">
        <v>20</v>
      </c>
      <c r="B35" s="368" t="s">
        <v>492</v>
      </c>
      <c r="D35" s="233">
        <v>19</v>
      </c>
      <c r="E35" s="359" t="s">
        <v>341</v>
      </c>
      <c r="F35" s="233"/>
      <c r="G35" s="233"/>
      <c r="H35" s="13">
        <f>+INDEX('2025 Org Base Case BDs'!B:B,MATCH('2025 GS Rate Class E-13c'!A35,'2025 Org Base Case BDs'!A:A,0))</f>
        <v>0</v>
      </c>
      <c r="I35" s="12" t="s">
        <v>711</v>
      </c>
      <c r="J35" s="28">
        <f>+INDEX('2024 Base Rates'!E:E,MATCH('2025 GS Rate Class E-13c'!B35,'2024 Base Rates'!D:D,0))</f>
        <v>1.7099999999999999E-3</v>
      </c>
      <c r="K35" s="12"/>
      <c r="L35" s="53">
        <f>+H35*J35</f>
        <v>0</v>
      </c>
      <c r="M35" s="12"/>
      <c r="N35" s="22"/>
      <c r="O35" s="53">
        <f>+INDEX('2025 Billing Determinants'!B:B,MATCH('2025 GS Rate Class E-13c'!A35,'2025 Billing Determinants'!A:A,0))</f>
        <v>0</v>
      </c>
      <c r="P35" s="12" t="s">
        <v>711</v>
      </c>
      <c r="Q35" s="28">
        <f>+INDEX('Unit Cost Rate Design Input'!D:D,MATCH('2025 GS Rate Class E-13c'!B35,'Unit Cost Rate Design Input'!B:B,0))</f>
        <v>2.5699999999999998E-3</v>
      </c>
      <c r="R35" s="12"/>
      <c r="S35" s="53">
        <f>+O35*Q35</f>
        <v>0</v>
      </c>
      <c r="T35" s="12"/>
      <c r="U35" s="12">
        <f t="shared" si="8"/>
        <v>0</v>
      </c>
      <c r="V35" s="21">
        <f t="shared" si="9"/>
        <v>0</v>
      </c>
    </row>
    <row r="36" spans="1:22" x14ac:dyDescent="0.25">
      <c r="A36" s="368"/>
      <c r="B36" s="368"/>
      <c r="D36" s="233">
        <v>20</v>
      </c>
      <c r="E36" s="2" t="s">
        <v>331</v>
      </c>
      <c r="F36" s="233"/>
      <c r="G36" s="233"/>
      <c r="H36" s="55">
        <f>+SUM(H32:H35)</f>
        <v>278292.17</v>
      </c>
      <c r="I36" s="12" t="s">
        <v>711</v>
      </c>
      <c r="J36" s="233"/>
      <c r="K36" s="233"/>
      <c r="L36" s="53">
        <f>+SUM(L34:L35)</f>
        <v>475.87961069999994</v>
      </c>
      <c r="M36" s="233"/>
      <c r="N36" s="226"/>
      <c r="O36" s="13">
        <f>+SUM(O34:O35)</f>
        <v>278292.17</v>
      </c>
      <c r="P36" s="12" t="s">
        <v>711</v>
      </c>
      <c r="Q36" s="233"/>
      <c r="R36" s="233"/>
      <c r="S36" s="53">
        <f>+SUM(S34:S35)</f>
        <v>715.2108768999999</v>
      </c>
      <c r="T36" s="12"/>
      <c r="U36" s="12">
        <f t="shared" si="8"/>
        <v>239.33126619999996</v>
      </c>
      <c r="V36" s="21">
        <f t="shared" si="9"/>
        <v>0.50292397660818711</v>
      </c>
    </row>
    <row r="37" spans="1:22" x14ac:dyDescent="0.25">
      <c r="A37" s="368"/>
      <c r="B37" s="368"/>
      <c r="D37" s="233">
        <v>21</v>
      </c>
      <c r="E37" s="233"/>
      <c r="F37" s="233"/>
      <c r="G37" s="233"/>
      <c r="H37" s="233"/>
      <c r="I37" s="233"/>
      <c r="J37" s="233"/>
      <c r="K37" s="233"/>
      <c r="L37" s="13"/>
      <c r="M37" s="233"/>
      <c r="N37" s="226"/>
      <c r="O37" s="233"/>
      <c r="P37" s="233"/>
      <c r="Q37" s="233"/>
      <c r="R37" s="233"/>
      <c r="S37" s="13"/>
      <c r="T37" s="233"/>
      <c r="U37" s="233"/>
      <c r="V37" s="23"/>
    </row>
    <row r="38" spans="1:22" x14ac:dyDescent="0.25">
      <c r="A38" s="368"/>
      <c r="B38" s="368"/>
      <c r="D38" s="233">
        <v>22</v>
      </c>
      <c r="E38" s="233" t="s">
        <v>1619</v>
      </c>
      <c r="F38" s="233"/>
      <c r="G38" s="233"/>
      <c r="H38" s="354">
        <f>AVERAGE('AMI Opt Out'!J2:J13)*365</f>
        <v>4321.6866521317825</v>
      </c>
      <c r="I38" s="233" t="s">
        <v>329</v>
      </c>
      <c r="J38" s="19">
        <v>0.67</v>
      </c>
      <c r="K38" s="233"/>
      <c r="L38" s="354">
        <f>+J38*H38</f>
        <v>2895.5300569282945</v>
      </c>
      <c r="M38" s="233"/>
      <c r="N38" s="226"/>
      <c r="O38" s="354">
        <f>+H38</f>
        <v>4321.6866521317825</v>
      </c>
      <c r="P38" s="233" t="s">
        <v>329</v>
      </c>
      <c r="Q38" s="19">
        <v>0.67</v>
      </c>
      <c r="R38" s="233"/>
      <c r="S38" s="354">
        <f>+Q38*O38</f>
        <v>2895.5300569282945</v>
      </c>
      <c r="T38" s="12"/>
      <c r="U38" s="12">
        <f t="shared" ref="U38:U39" si="10">+S38-L38</f>
        <v>0</v>
      </c>
      <c r="V38" s="21">
        <f t="shared" ref="V38:V39" si="11">+IF(U38=0,0,(S38-L38)/L38)</f>
        <v>0</v>
      </c>
    </row>
    <row r="39" spans="1:22" x14ac:dyDescent="0.25">
      <c r="A39" s="368"/>
      <c r="B39" s="368"/>
      <c r="D39" s="233">
        <v>23</v>
      </c>
      <c r="E39" s="15" t="s">
        <v>336</v>
      </c>
      <c r="F39" s="15"/>
      <c r="G39" s="233"/>
      <c r="H39" s="55">
        <f>+H38</f>
        <v>4321.6866521317825</v>
      </c>
      <c r="I39" s="44" t="s">
        <v>332</v>
      </c>
      <c r="J39" s="28"/>
      <c r="K39" s="12"/>
      <c r="L39" s="54">
        <f>+L38</f>
        <v>2895.5300569282945</v>
      </c>
      <c r="M39" s="12"/>
      <c r="N39" s="22"/>
      <c r="O39" s="55"/>
      <c r="P39" s="12" t="s">
        <v>332</v>
      </c>
      <c r="Q39" s="12"/>
      <c r="R39" s="12"/>
      <c r="S39" s="54">
        <f>+S38</f>
        <v>2895.5300569282945</v>
      </c>
      <c r="T39" s="12"/>
      <c r="U39" s="12">
        <f t="shared" si="10"/>
        <v>0</v>
      </c>
      <c r="V39" s="21">
        <f t="shared" si="11"/>
        <v>0</v>
      </c>
    </row>
    <row r="40" spans="1:22" x14ac:dyDescent="0.25">
      <c r="A40" s="368"/>
      <c r="B40" s="368"/>
      <c r="D40" s="233">
        <v>24</v>
      </c>
    </row>
    <row r="41" spans="1:22" ht="15.75" thickBot="1" x14ac:dyDescent="0.3">
      <c r="A41" s="368"/>
      <c r="B41" s="368"/>
      <c r="D41" s="233">
        <v>25</v>
      </c>
      <c r="E41" s="11" t="s">
        <v>337</v>
      </c>
      <c r="F41" s="233"/>
      <c r="G41" s="233"/>
      <c r="H41" s="233"/>
      <c r="I41" s="233"/>
      <c r="J41" s="233"/>
      <c r="K41" s="233"/>
      <c r="L41" s="56">
        <f>+L22+L31+L36+L39</f>
        <v>93102965.761440501</v>
      </c>
      <c r="M41" s="233"/>
      <c r="N41" s="226"/>
      <c r="O41" s="233"/>
      <c r="P41" s="233"/>
      <c r="Q41" s="233"/>
      <c r="R41" s="233"/>
      <c r="S41" s="56">
        <f>+S22+S31+S36+S39</f>
        <v>96469501.680177778</v>
      </c>
      <c r="T41" s="12"/>
      <c r="U41" s="12">
        <f t="shared" ref="U41" si="12">+S41-L41</f>
        <v>3366535.9187372774</v>
      </c>
      <c r="V41" s="21">
        <f t="shared" ref="V41" si="13">+IF(U41=0,0,(S41-L41)/L41)</f>
        <v>3.6159276895253972E-2</v>
      </c>
    </row>
    <row r="42" spans="1:22" ht="15.75" thickTop="1" x14ac:dyDescent="0.25">
      <c r="A42" s="368"/>
      <c r="B42" s="368"/>
      <c r="D42" s="233">
        <v>26</v>
      </c>
      <c r="E42" s="353"/>
      <c r="F42" s="15"/>
      <c r="G42" s="233"/>
      <c r="H42" s="233"/>
      <c r="I42" s="12"/>
      <c r="J42" s="12"/>
      <c r="K42" s="12"/>
      <c r="L42" s="12"/>
      <c r="M42" s="12"/>
      <c r="N42" s="22"/>
      <c r="O42" s="12"/>
      <c r="P42" s="12"/>
      <c r="Q42" s="12"/>
      <c r="R42" s="12"/>
      <c r="S42" s="12"/>
      <c r="T42" s="12"/>
      <c r="U42" s="12"/>
      <c r="V42" s="12"/>
    </row>
    <row r="43" spans="1:22" x14ac:dyDescent="0.25">
      <c r="A43" s="368"/>
      <c r="B43" s="368"/>
      <c r="D43" s="233">
        <v>27</v>
      </c>
      <c r="E43" s="353"/>
      <c r="F43" s="15"/>
      <c r="G43" s="233"/>
      <c r="H43" s="233"/>
      <c r="I43" s="12"/>
      <c r="J43" s="12"/>
      <c r="K43" s="12"/>
      <c r="L43" s="12"/>
      <c r="M43" s="12"/>
      <c r="N43" s="22"/>
      <c r="O43" s="12"/>
      <c r="P43" s="12"/>
      <c r="Q43" s="12"/>
      <c r="R43" s="12"/>
      <c r="S43" s="12"/>
      <c r="T43" s="12"/>
      <c r="U43" s="12"/>
      <c r="V43" s="12"/>
    </row>
    <row r="44" spans="1:22" x14ac:dyDescent="0.25">
      <c r="A44" s="368"/>
      <c r="B44" s="368"/>
      <c r="D44" s="233">
        <v>28</v>
      </c>
      <c r="E44" s="353"/>
      <c r="F44" s="15" t="s">
        <v>1602</v>
      </c>
      <c r="G44" s="233"/>
      <c r="H44" s="233"/>
      <c r="I44" s="12"/>
      <c r="J44" s="12"/>
      <c r="K44" s="12"/>
      <c r="L44" s="12"/>
      <c r="M44" s="12"/>
      <c r="N44" s="22"/>
      <c r="O44" s="12"/>
      <c r="P44" s="12"/>
      <c r="Q44" s="12"/>
      <c r="R44" s="12"/>
      <c r="S44" s="12"/>
      <c r="T44" s="12"/>
      <c r="U44" s="12"/>
      <c r="V44" s="12"/>
    </row>
    <row r="45" spans="1:22" x14ac:dyDescent="0.25">
      <c r="A45" s="368"/>
      <c r="B45" s="368"/>
      <c r="D45" s="233">
        <v>29</v>
      </c>
      <c r="E45" s="353"/>
      <c r="F45" s="15"/>
      <c r="G45" s="233"/>
      <c r="H45" s="233"/>
      <c r="I45" s="12"/>
      <c r="J45" s="12"/>
      <c r="K45" s="12"/>
      <c r="L45" s="12"/>
      <c r="M45" s="12"/>
      <c r="N45" s="22"/>
      <c r="O45" s="12"/>
      <c r="P45" s="12"/>
      <c r="Q45" s="12"/>
      <c r="R45" s="12"/>
      <c r="S45" s="12"/>
      <c r="T45" s="12"/>
      <c r="U45" s="12"/>
      <c r="V45" s="12"/>
    </row>
    <row r="46" spans="1:22" x14ac:dyDescent="0.25">
      <c r="A46" s="368"/>
      <c r="B46" s="368"/>
      <c r="D46" s="233">
        <v>30</v>
      </c>
      <c r="E46" s="233"/>
      <c r="F46" s="15"/>
      <c r="G46" s="233"/>
      <c r="H46" s="233"/>
      <c r="I46" s="12"/>
      <c r="J46" s="12"/>
      <c r="K46" s="12"/>
      <c r="L46" s="12"/>
      <c r="M46" s="12"/>
      <c r="N46" s="22"/>
      <c r="O46" s="12"/>
      <c r="P46" s="12"/>
      <c r="Q46" s="12"/>
      <c r="R46" s="12"/>
      <c r="S46" s="12"/>
      <c r="T46" s="12"/>
      <c r="U46" s="12"/>
      <c r="V46" s="12"/>
    </row>
    <row r="47" spans="1:22" x14ac:dyDescent="0.25">
      <c r="A47" s="368"/>
      <c r="B47" s="368"/>
      <c r="D47" s="233">
        <v>31</v>
      </c>
      <c r="E47" s="353"/>
      <c r="F47" s="15"/>
      <c r="G47" s="233"/>
      <c r="H47" s="233"/>
      <c r="I47" s="12"/>
      <c r="J47" s="12"/>
      <c r="K47" s="12"/>
      <c r="L47" s="12"/>
      <c r="M47" s="12"/>
      <c r="N47" s="22"/>
      <c r="O47" s="12"/>
      <c r="P47" s="12"/>
      <c r="Q47" s="12"/>
      <c r="R47" s="12"/>
      <c r="S47" s="12"/>
      <c r="T47" s="12"/>
      <c r="U47" s="12"/>
      <c r="V47" s="12"/>
    </row>
    <row r="48" spans="1:22" x14ac:dyDescent="0.25">
      <c r="A48" s="368"/>
      <c r="B48" s="368"/>
      <c r="D48" s="233">
        <v>32</v>
      </c>
      <c r="E48" s="390"/>
      <c r="F48" s="15"/>
      <c r="G48" s="233"/>
      <c r="H48" s="233"/>
      <c r="I48" s="12"/>
      <c r="J48" s="12"/>
      <c r="K48" s="12"/>
      <c r="L48" s="12"/>
      <c r="M48" s="12"/>
      <c r="N48" s="22"/>
      <c r="O48" s="12"/>
      <c r="P48" s="12"/>
      <c r="Q48" s="12"/>
      <c r="R48" s="12"/>
      <c r="S48" s="12"/>
      <c r="T48" s="12"/>
      <c r="U48" s="12"/>
      <c r="V48" s="12"/>
    </row>
    <row r="49" spans="1:22" x14ac:dyDescent="0.25">
      <c r="A49" s="368"/>
      <c r="B49" s="368"/>
      <c r="D49" s="233">
        <v>33</v>
      </c>
      <c r="E49" s="353"/>
      <c r="F49" s="15"/>
      <c r="G49" s="233"/>
      <c r="H49" s="233"/>
      <c r="I49" s="12"/>
      <c r="J49" s="12"/>
      <c r="K49" s="12"/>
      <c r="L49" s="12"/>
      <c r="M49" s="12"/>
      <c r="N49" s="22"/>
      <c r="O49" s="12"/>
      <c r="P49" s="12"/>
      <c r="Q49" s="12"/>
      <c r="R49" s="12"/>
      <c r="S49" s="12"/>
      <c r="T49" s="12"/>
      <c r="U49" s="12"/>
      <c r="V49" s="12"/>
    </row>
    <row r="50" spans="1:22" x14ac:dyDescent="0.25">
      <c r="A50" s="368"/>
      <c r="B50" s="368"/>
      <c r="D50" s="233">
        <v>34</v>
      </c>
      <c r="E50" s="353"/>
      <c r="F50" s="15"/>
      <c r="G50" s="233"/>
      <c r="H50" s="233"/>
      <c r="I50" s="12"/>
      <c r="J50" s="12"/>
      <c r="K50" s="12"/>
      <c r="L50" s="12"/>
      <c r="M50" s="12"/>
      <c r="N50" s="22"/>
      <c r="O50" s="12"/>
      <c r="P50" s="12"/>
      <c r="Q50" s="12"/>
      <c r="R50" s="12"/>
      <c r="S50" s="12"/>
      <c r="T50" s="12"/>
      <c r="U50" s="12"/>
      <c r="V50" s="12"/>
    </row>
    <row r="51" spans="1:22" x14ac:dyDescent="0.25">
      <c r="A51" s="368"/>
      <c r="B51" s="368"/>
      <c r="D51" s="233">
        <v>35</v>
      </c>
      <c r="E51" s="353"/>
      <c r="F51" s="15"/>
      <c r="G51" s="233"/>
      <c r="H51" s="233"/>
      <c r="I51" s="12"/>
      <c r="J51" s="12"/>
      <c r="K51" s="12"/>
      <c r="L51" s="12"/>
      <c r="M51" s="12"/>
      <c r="N51" s="22"/>
      <c r="O51" s="12"/>
      <c r="P51" s="12"/>
      <c r="Q51" s="12"/>
      <c r="R51" s="12"/>
      <c r="S51" s="12"/>
      <c r="T51" s="12"/>
      <c r="U51" s="12"/>
      <c r="V51" s="12"/>
    </row>
    <row r="52" spans="1:22" x14ac:dyDescent="0.25">
      <c r="A52" s="368"/>
      <c r="B52" s="368"/>
      <c r="D52" s="233">
        <v>36</v>
      </c>
      <c r="E52" s="353"/>
      <c r="F52" s="15"/>
      <c r="G52" s="233"/>
      <c r="H52" s="233"/>
      <c r="I52" s="12"/>
      <c r="J52" s="12"/>
      <c r="K52" s="12"/>
      <c r="L52" s="12"/>
      <c r="M52" s="12"/>
      <c r="N52" s="22"/>
      <c r="O52" s="12"/>
      <c r="P52" s="12"/>
      <c r="Q52" s="12"/>
      <c r="R52" s="12"/>
      <c r="S52" s="12"/>
      <c r="T52" s="12"/>
      <c r="U52" s="12"/>
      <c r="V52" s="12"/>
    </row>
    <row r="53" spans="1:22" x14ac:dyDescent="0.25">
      <c r="A53" s="368"/>
      <c r="B53" s="368"/>
      <c r="D53" s="233">
        <v>37</v>
      </c>
      <c r="E53" s="353"/>
      <c r="F53" s="15"/>
      <c r="G53" s="233"/>
      <c r="H53" s="233"/>
      <c r="I53" s="12"/>
      <c r="J53" s="12"/>
      <c r="K53" s="12"/>
      <c r="L53" s="12"/>
      <c r="M53" s="12"/>
      <c r="N53" s="22"/>
      <c r="O53" s="12"/>
      <c r="P53" s="12"/>
      <c r="Q53" s="12"/>
      <c r="R53" s="12"/>
      <c r="S53" s="12"/>
      <c r="T53" s="12"/>
      <c r="U53" s="12"/>
      <c r="V53" s="12"/>
    </row>
    <row r="54" spans="1:22" x14ac:dyDescent="0.25">
      <c r="A54" s="368"/>
      <c r="B54" s="368"/>
      <c r="D54" s="233">
        <v>38</v>
      </c>
      <c r="E54" s="353"/>
      <c r="F54" s="15"/>
      <c r="G54" s="233"/>
      <c r="H54" s="233"/>
      <c r="I54" s="12"/>
      <c r="J54" s="12"/>
      <c r="K54" s="12"/>
      <c r="L54" s="12"/>
      <c r="M54" s="12"/>
      <c r="N54" s="22"/>
      <c r="O54" s="12"/>
      <c r="P54" s="12"/>
      <c r="Q54" s="12"/>
      <c r="R54" s="12"/>
      <c r="S54" s="12"/>
      <c r="T54" s="12"/>
      <c r="U54" s="12"/>
      <c r="V54" s="12"/>
    </row>
    <row r="55" spans="1:22" ht="15.75" thickBot="1" x14ac:dyDescent="0.3">
      <c r="A55" s="368"/>
      <c r="B55" s="368"/>
      <c r="D55" s="306">
        <v>39</v>
      </c>
      <c r="E55" s="306"/>
      <c r="F55" s="306"/>
      <c r="G55" s="306"/>
      <c r="H55" s="306"/>
      <c r="I55" s="306"/>
      <c r="J55" s="306"/>
      <c r="K55" s="306"/>
      <c r="L55" s="306"/>
      <c r="M55" s="306"/>
      <c r="N55" s="314"/>
      <c r="O55" s="306"/>
      <c r="P55" s="306"/>
      <c r="Q55" s="306"/>
      <c r="R55" s="306"/>
      <c r="S55" s="306"/>
      <c r="T55" s="306"/>
      <c r="U55" s="306"/>
      <c r="V55" s="306"/>
    </row>
    <row r="56" spans="1:22" x14ac:dyDescent="0.25">
      <c r="A56" s="368"/>
      <c r="B56" s="368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26"/>
      <c r="O56" s="233"/>
      <c r="P56" s="233"/>
      <c r="Q56" s="233"/>
      <c r="R56" s="233"/>
      <c r="S56" s="233"/>
      <c r="T56" s="233"/>
      <c r="U56" s="233"/>
      <c r="V56" s="233" t="s">
        <v>304</v>
      </c>
    </row>
    <row r="57" spans="1:22" x14ac:dyDescent="0.25">
      <c r="A57" s="368"/>
      <c r="B57" s="368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33"/>
      <c r="P57" s="233"/>
      <c r="Q57" s="233"/>
      <c r="R57" s="233"/>
      <c r="S57" s="233"/>
      <c r="T57" s="233"/>
      <c r="U57" s="233"/>
      <c r="V57" s="233"/>
    </row>
    <row r="58" spans="1:22" ht="15.75" thickBot="1" x14ac:dyDescent="0.3">
      <c r="A58" s="368"/>
      <c r="B58" s="368"/>
      <c r="D58" s="306" t="s">
        <v>305</v>
      </c>
      <c r="E58" s="306"/>
      <c r="F58" s="306"/>
      <c r="G58" s="306"/>
      <c r="H58" s="306"/>
      <c r="I58" s="306"/>
      <c r="J58" s="306"/>
      <c r="K58" s="591" t="s">
        <v>306</v>
      </c>
      <c r="L58" s="591"/>
      <c r="M58" s="591"/>
      <c r="N58" s="591"/>
      <c r="O58" s="591"/>
      <c r="P58" s="306"/>
      <c r="Q58" s="306"/>
      <c r="R58" s="306"/>
      <c r="S58" s="306"/>
      <c r="T58" s="306"/>
      <c r="U58" s="306"/>
      <c r="V58" s="326" t="s">
        <v>877</v>
      </c>
    </row>
    <row r="59" spans="1:22" x14ac:dyDescent="0.25">
      <c r="A59" s="368"/>
      <c r="B59" s="368"/>
      <c r="D59" s="233" t="s">
        <v>307</v>
      </c>
      <c r="E59" s="233"/>
      <c r="F59" s="233"/>
      <c r="G59" s="233"/>
      <c r="H59" s="233" t="s">
        <v>308</v>
      </c>
      <c r="I59" s="233" t="s">
        <v>913</v>
      </c>
      <c r="K59" s="233"/>
      <c r="L59" s="233"/>
      <c r="M59" s="233"/>
      <c r="N59" s="316"/>
      <c r="O59" s="309"/>
      <c r="P59" s="233"/>
      <c r="Q59" s="309"/>
      <c r="R59" s="309"/>
      <c r="S59" s="309" t="s">
        <v>309</v>
      </c>
      <c r="T59" s="233"/>
      <c r="U59" s="233"/>
      <c r="V59" s="310"/>
    </row>
    <row r="60" spans="1:22" x14ac:dyDescent="0.25">
      <c r="A60" s="368"/>
      <c r="B60" s="368"/>
      <c r="D60" s="233"/>
      <c r="E60" s="233"/>
      <c r="F60" s="233"/>
      <c r="G60" s="233"/>
      <c r="H60" s="233"/>
      <c r="I60" s="233" t="s">
        <v>914</v>
      </c>
      <c r="K60" s="233"/>
      <c r="L60" s="233"/>
      <c r="M60" s="233"/>
      <c r="N60" s="226"/>
      <c r="O60" s="310"/>
      <c r="P60" s="233"/>
      <c r="Q60" s="233"/>
      <c r="R60" s="311"/>
      <c r="S60" s="311" t="s">
        <v>919</v>
      </c>
      <c r="T60" s="310" t="s">
        <v>920</v>
      </c>
      <c r="U60" s="233"/>
      <c r="V60" s="311"/>
    </row>
    <row r="61" spans="1:22" x14ac:dyDescent="0.25">
      <c r="A61" s="368"/>
      <c r="B61" s="368"/>
      <c r="D61" s="233" t="s">
        <v>310</v>
      </c>
      <c r="E61" s="233"/>
      <c r="F61" s="233"/>
      <c r="G61" s="233"/>
      <c r="H61" s="233"/>
      <c r="I61" s="233" t="s">
        <v>915</v>
      </c>
      <c r="J61" s="233"/>
      <c r="K61" s="233"/>
      <c r="L61" s="233"/>
      <c r="M61" s="233"/>
      <c r="N61" s="226"/>
      <c r="O61" s="310"/>
      <c r="P61" s="311"/>
      <c r="Q61" s="233"/>
      <c r="R61" s="233"/>
      <c r="S61" s="311"/>
      <c r="T61" s="310" t="s">
        <v>937</v>
      </c>
      <c r="U61" s="233"/>
      <c r="V61" s="311"/>
    </row>
    <row r="62" spans="1:22" x14ac:dyDescent="0.25">
      <c r="A62" s="368"/>
      <c r="B62" s="368"/>
      <c r="D62" s="233"/>
      <c r="E62" s="233"/>
      <c r="F62" s="233"/>
      <c r="G62" s="233"/>
      <c r="H62" s="233"/>
      <c r="I62" s="233" t="s">
        <v>916</v>
      </c>
      <c r="J62" s="233"/>
      <c r="K62" s="233"/>
      <c r="L62" s="233"/>
      <c r="M62" s="233"/>
      <c r="N62" s="226"/>
      <c r="O62" s="310"/>
      <c r="P62" s="311"/>
      <c r="Q62" s="233"/>
      <c r="R62" s="233"/>
      <c r="S62" s="311"/>
      <c r="T62" s="310" t="s">
        <v>938</v>
      </c>
      <c r="U62" s="233"/>
      <c r="V62" s="311"/>
    </row>
    <row r="63" spans="1:22" x14ac:dyDescent="0.25">
      <c r="A63" s="368"/>
      <c r="B63" s="368"/>
      <c r="D63" s="233"/>
      <c r="E63" s="233"/>
      <c r="F63" s="311"/>
      <c r="G63" s="233"/>
      <c r="H63" s="233"/>
      <c r="I63" s="233" t="s">
        <v>917</v>
      </c>
      <c r="J63" s="233"/>
      <c r="K63" s="317"/>
      <c r="L63" s="317"/>
      <c r="M63" s="317"/>
      <c r="N63" s="226"/>
      <c r="O63" s="233"/>
      <c r="P63" s="233"/>
      <c r="Q63" s="233"/>
      <c r="R63" s="233"/>
      <c r="S63" s="233"/>
      <c r="T63" s="233" t="s">
        <v>311</v>
      </c>
      <c r="U63" s="233"/>
      <c r="V63" s="233"/>
    </row>
    <row r="64" spans="1:22" ht="15.75" thickBot="1" x14ac:dyDescent="0.3">
      <c r="A64" s="368"/>
      <c r="B64" s="368"/>
      <c r="D64" s="306" t="s">
        <v>1642</v>
      </c>
      <c r="E64" s="306"/>
      <c r="F64" s="326"/>
      <c r="G64" s="319"/>
      <c r="H64" s="319"/>
      <c r="I64" s="361" t="s">
        <v>918</v>
      </c>
      <c r="J64" s="361"/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</row>
    <row r="65" spans="1:22" x14ac:dyDescent="0.25">
      <c r="A65" s="368"/>
      <c r="B65" s="368"/>
      <c r="D65" s="233"/>
      <c r="E65" s="233"/>
      <c r="F65" s="233"/>
      <c r="G65" s="233"/>
      <c r="H65" s="317"/>
      <c r="I65" s="233"/>
      <c r="J65" s="317"/>
      <c r="K65" s="362"/>
      <c r="L65" s="317"/>
      <c r="M65" s="233"/>
      <c r="N65" s="317"/>
      <c r="O65" s="233"/>
      <c r="P65" s="362"/>
      <c r="Q65" s="233"/>
      <c r="R65" s="233"/>
      <c r="S65" s="233"/>
      <c r="T65" s="233"/>
      <c r="U65" s="233"/>
      <c r="V65" s="233"/>
    </row>
    <row r="66" spans="1:22" x14ac:dyDescent="0.25">
      <c r="A66" s="368"/>
      <c r="B66" s="368"/>
      <c r="D66" s="233"/>
      <c r="E66" s="233"/>
      <c r="F66" s="233"/>
      <c r="G66" s="233"/>
      <c r="H66" s="362"/>
      <c r="I66" s="233"/>
      <c r="J66" s="233"/>
      <c r="K66" s="362"/>
      <c r="L66" s="233"/>
      <c r="M66" s="233"/>
      <c r="N66" s="317"/>
      <c r="O66" s="233"/>
      <c r="P66" s="362"/>
      <c r="Q66" s="233"/>
      <c r="R66" s="233"/>
      <c r="S66" s="233"/>
      <c r="T66" s="233"/>
      <c r="U66" s="233"/>
      <c r="V66" s="233"/>
    </row>
    <row r="67" spans="1:22" x14ac:dyDescent="0.25">
      <c r="A67" s="368"/>
      <c r="B67" s="368"/>
      <c r="D67" s="233"/>
      <c r="E67" s="233"/>
      <c r="F67" s="233"/>
      <c r="G67" s="233"/>
      <c r="H67" s="233"/>
      <c r="I67" s="362"/>
      <c r="J67" s="362"/>
      <c r="K67" s="363"/>
      <c r="L67" s="363" t="s">
        <v>312</v>
      </c>
      <c r="M67" s="317"/>
      <c r="N67" s="391" t="s">
        <v>360</v>
      </c>
      <c r="O67" s="362"/>
      <c r="P67" s="233"/>
      <c r="Q67" s="362"/>
      <c r="R67" s="362"/>
      <c r="S67" s="362"/>
      <c r="T67" s="362"/>
      <c r="U67" s="362"/>
      <c r="V67" s="233"/>
    </row>
    <row r="68" spans="1:22" x14ac:dyDescent="0.25">
      <c r="A68" s="368"/>
      <c r="B68" s="368"/>
      <c r="D68" s="233"/>
      <c r="E68" s="233"/>
      <c r="F68" s="233"/>
      <c r="G68" s="233"/>
      <c r="H68" s="233"/>
      <c r="I68" s="362"/>
      <c r="J68" s="362"/>
      <c r="K68" s="362"/>
      <c r="L68" s="362"/>
      <c r="M68" s="362"/>
      <c r="N68" s="317"/>
      <c r="O68" s="362"/>
      <c r="P68" s="362"/>
      <c r="Q68" s="362"/>
      <c r="R68" s="362"/>
      <c r="S68" s="362"/>
      <c r="T68" s="362"/>
      <c r="U68" s="362"/>
      <c r="V68" s="362"/>
    </row>
    <row r="69" spans="1:22" x14ac:dyDescent="0.25">
      <c r="A69" s="368"/>
      <c r="B69" s="368"/>
      <c r="D69" s="226" t="s">
        <v>314</v>
      </c>
      <c r="E69" s="371" t="s">
        <v>315</v>
      </c>
      <c r="F69" s="2"/>
      <c r="G69" s="3"/>
      <c r="H69" s="4"/>
      <c r="I69" s="4"/>
      <c r="J69" s="5" t="s">
        <v>316</v>
      </c>
      <c r="K69" s="4"/>
      <c r="L69" s="4"/>
      <c r="M69" s="2"/>
      <c r="N69" s="6"/>
      <c r="O69" s="4"/>
      <c r="P69" s="5"/>
      <c r="Q69" s="5" t="s">
        <v>317</v>
      </c>
      <c r="R69" s="4"/>
      <c r="S69" s="4"/>
      <c r="T69" s="2"/>
      <c r="U69" s="7" t="s">
        <v>318</v>
      </c>
      <c r="V69" s="7" t="s">
        <v>319</v>
      </c>
    </row>
    <row r="70" spans="1:22" ht="15.75" thickBot="1" x14ac:dyDescent="0.3">
      <c r="A70" s="216" t="s">
        <v>552</v>
      </c>
      <c r="B70" s="216" t="s">
        <v>553</v>
      </c>
      <c r="D70" s="314" t="s">
        <v>320</v>
      </c>
      <c r="E70" s="367" t="s">
        <v>321</v>
      </c>
      <c r="F70" s="8"/>
      <c r="G70" s="306"/>
      <c r="H70" s="314" t="s">
        <v>322</v>
      </c>
      <c r="I70" s="9"/>
      <c r="J70" s="9" t="s">
        <v>323</v>
      </c>
      <c r="K70" s="9"/>
      <c r="L70" s="9" t="s">
        <v>324</v>
      </c>
      <c r="M70" s="9"/>
      <c r="N70" s="9"/>
      <c r="O70" s="9" t="s">
        <v>322</v>
      </c>
      <c r="P70" s="9"/>
      <c r="Q70" s="9" t="s">
        <v>323</v>
      </c>
      <c r="R70" s="9"/>
      <c r="S70" s="9" t="s">
        <v>324</v>
      </c>
      <c r="T70" s="8"/>
      <c r="U70" s="10" t="s">
        <v>325</v>
      </c>
      <c r="V70" s="10" t="s">
        <v>326</v>
      </c>
    </row>
    <row r="71" spans="1:22" x14ac:dyDescent="0.25">
      <c r="A71" s="368"/>
      <c r="B71" s="368"/>
      <c r="D71" s="233">
        <v>1</v>
      </c>
      <c r="E71" s="353"/>
      <c r="F71" s="11"/>
      <c r="G71" s="233"/>
      <c r="H71" s="233"/>
      <c r="I71" s="15"/>
      <c r="J71" s="15"/>
      <c r="K71" s="15"/>
      <c r="L71" s="15"/>
      <c r="M71" s="11"/>
      <c r="N71" s="6"/>
      <c r="O71" s="11"/>
      <c r="P71" s="15"/>
      <c r="Q71" s="15"/>
      <c r="R71" s="15"/>
      <c r="S71" s="15"/>
      <c r="T71" s="15"/>
      <c r="U71" s="15"/>
      <c r="V71" s="15"/>
    </row>
    <row r="72" spans="1:22" x14ac:dyDescent="0.25">
      <c r="A72" s="368"/>
      <c r="B72" s="368"/>
      <c r="D72" s="233">
        <v>2</v>
      </c>
      <c r="E72" s="11" t="s">
        <v>327</v>
      </c>
      <c r="F72" s="233"/>
      <c r="G72" s="233"/>
      <c r="H72" s="233"/>
      <c r="I72" s="233"/>
      <c r="J72" s="233"/>
      <c r="K72" s="233"/>
      <c r="L72" s="37"/>
      <c r="M72" s="233"/>
      <c r="N72" s="226"/>
      <c r="O72" s="233"/>
      <c r="P72" s="233"/>
      <c r="Q72" s="233"/>
      <c r="R72" s="233"/>
      <c r="S72" s="233"/>
      <c r="T72" s="12"/>
      <c r="U72" s="12"/>
      <c r="V72" s="12"/>
    </row>
    <row r="73" spans="1:22" x14ac:dyDescent="0.25">
      <c r="A73" s="368" t="s">
        <v>9</v>
      </c>
      <c r="B73" s="368" t="s">
        <v>540</v>
      </c>
      <c r="D73" s="233">
        <v>3</v>
      </c>
      <c r="E73" s="233"/>
      <c r="F73" s="233"/>
      <c r="G73" s="233"/>
      <c r="H73" s="53">
        <f>+INDEX('2025 Org Base Case BDs'!B:B,MATCH('2025 GS Rate Class E-13c'!A73,'2025 Org Base Case BDs'!A:A,0))</f>
        <v>1477390</v>
      </c>
      <c r="I73" s="233" t="s">
        <v>329</v>
      </c>
      <c r="J73" s="19">
        <f>+INDEX('2024 Base Rates'!E:E,MATCH('2025 GS Rate Class E-13c'!B73,'2024 Base Rates'!D:D,0))</f>
        <v>0.75</v>
      </c>
      <c r="K73" s="12"/>
      <c r="L73" s="12">
        <f>+H73*J73</f>
        <v>1108042.5</v>
      </c>
      <c r="M73" s="13"/>
      <c r="N73" s="22"/>
      <c r="O73" s="53">
        <f>+INDEX('2025 Billing Determinants'!B:B,MATCH('2025 GS Rate Class E-13c'!A73,'2025 Billing Determinants'!A:A,0))</f>
        <v>1477390</v>
      </c>
      <c r="P73" s="233" t="s">
        <v>329</v>
      </c>
      <c r="Q73" s="19">
        <f>+INDEX('Unit Cost Rate Design Input'!D:D,MATCH('2025 GS Rate Class E-13c'!B73,'Unit Cost Rate Design Input'!B:B,0))</f>
        <v>1.27</v>
      </c>
      <c r="R73" s="233"/>
      <c r="S73" s="12">
        <f>+O73*Q73</f>
        <v>1876285.3</v>
      </c>
      <c r="T73" s="12"/>
      <c r="U73" s="12">
        <f>+S73-L73</f>
        <v>768242.8</v>
      </c>
      <c r="V73" s="21">
        <f>+IF(U73=0,0,(S73-L73)/L73)</f>
        <v>0.69333333333333336</v>
      </c>
    </row>
    <row r="74" spans="1:22" x14ac:dyDescent="0.25">
      <c r="A74" s="368"/>
      <c r="B74" s="368"/>
      <c r="D74" s="233">
        <v>4</v>
      </c>
      <c r="E74" s="233" t="s">
        <v>336</v>
      </c>
      <c r="F74" s="233"/>
      <c r="G74" s="233"/>
      <c r="H74" s="13">
        <f>+SUM(H73)</f>
        <v>1477390</v>
      </c>
      <c r="I74" s="233" t="s">
        <v>342</v>
      </c>
      <c r="J74" s="233"/>
      <c r="K74" s="233"/>
      <c r="L74" s="54">
        <f>+SUM(L73)</f>
        <v>1108042.5</v>
      </c>
      <c r="M74" s="233"/>
      <c r="N74" s="226"/>
      <c r="O74" s="13">
        <f>+SUM(O73)</f>
        <v>1477390</v>
      </c>
      <c r="P74" s="233" t="s">
        <v>342</v>
      </c>
      <c r="Q74" s="233"/>
      <c r="R74" s="233"/>
      <c r="S74" s="54">
        <f>+SUM(S73)</f>
        <v>1876285.3</v>
      </c>
      <c r="T74" s="12"/>
      <c r="U74" s="12">
        <f>+S74-L74</f>
        <v>768242.8</v>
      </c>
      <c r="V74" s="21">
        <f>+IF(U74=0,0,(S74-L74)/L74)</f>
        <v>0.69333333333333336</v>
      </c>
    </row>
    <row r="75" spans="1:22" x14ac:dyDescent="0.25">
      <c r="A75" s="368"/>
      <c r="B75" s="368"/>
      <c r="D75" s="233">
        <v>5</v>
      </c>
      <c r="E75" s="233"/>
      <c r="F75" s="233"/>
      <c r="G75" s="233"/>
      <c r="H75" s="13"/>
      <c r="I75" s="233"/>
      <c r="J75" s="233"/>
      <c r="K75" s="233"/>
      <c r="L75" s="13"/>
      <c r="M75" s="233"/>
      <c r="N75" s="226"/>
      <c r="O75" s="13"/>
      <c r="P75" s="233"/>
      <c r="Q75" s="233"/>
      <c r="R75" s="233"/>
      <c r="S75" s="13"/>
      <c r="T75" s="12"/>
      <c r="U75" s="12"/>
      <c r="V75" s="12"/>
    </row>
    <row r="76" spans="1:22" x14ac:dyDescent="0.25">
      <c r="A76" s="368"/>
      <c r="B76" s="368"/>
      <c r="D76" s="233">
        <v>6</v>
      </c>
      <c r="E76" s="11" t="s">
        <v>343</v>
      </c>
      <c r="F76" s="11"/>
      <c r="G76" s="233"/>
      <c r="H76" s="13"/>
      <c r="I76" s="12"/>
      <c r="J76" s="233"/>
      <c r="K76" s="233"/>
      <c r="L76" s="13"/>
      <c r="M76" s="233"/>
      <c r="N76" s="226"/>
      <c r="O76" s="13"/>
      <c r="P76" s="12"/>
      <c r="Q76" s="233"/>
      <c r="R76" s="233"/>
      <c r="S76" s="13"/>
      <c r="T76" s="12"/>
      <c r="U76" s="12"/>
      <c r="V76" s="23"/>
    </row>
    <row r="77" spans="1:22" x14ac:dyDescent="0.25">
      <c r="A77" s="368" t="s">
        <v>10</v>
      </c>
      <c r="B77" s="368" t="s">
        <v>493</v>
      </c>
      <c r="D77" s="233">
        <v>7</v>
      </c>
      <c r="E77" s="233"/>
      <c r="F77" s="11"/>
      <c r="G77" s="233"/>
      <c r="H77" s="53">
        <f>+INDEX('2025 Org Base Case BDs'!B:B,MATCH('2025 GS Rate Class E-13c'!A77,'2025 Org Base Case BDs'!A:A,0))</f>
        <v>12769320</v>
      </c>
      <c r="I77" s="12" t="s">
        <v>711</v>
      </c>
      <c r="J77" s="28">
        <f>+INDEX('2024 Base Rates'!E:E,MATCH('2025 GS Rate Class E-13c'!B77,'2024 Base Rates'!D:D,0))</f>
        <v>7.8619999999999995E-2</v>
      </c>
      <c r="K77" s="12"/>
      <c r="L77" s="12">
        <f>+H77*J77</f>
        <v>1003923.9384</v>
      </c>
      <c r="M77" s="13"/>
      <c r="N77" s="22"/>
      <c r="O77" s="53">
        <f>+INDEX('2025 Billing Determinants'!B:B,MATCH('2025 GS Rate Class E-13c'!A77,'2025 Billing Determinants'!A:A,0))</f>
        <v>12769320</v>
      </c>
      <c r="P77" s="12" t="s">
        <v>711</v>
      </c>
      <c r="Q77" s="28">
        <f>+J77*(1+$B$7)</f>
        <v>6.8064590047299992E-2</v>
      </c>
      <c r="R77" s="12"/>
      <c r="S77" s="12">
        <f>+O77*Q77</f>
        <v>869138.53098278877</v>
      </c>
      <c r="T77" s="12"/>
      <c r="U77" s="12">
        <f>+S77-L77</f>
        <v>-134785.40741721122</v>
      </c>
      <c r="V77" s="21">
        <f>+IF(U77=0,0,(S77-L77)/L77)</f>
        <v>-0.13425858500000004</v>
      </c>
    </row>
    <row r="78" spans="1:22" x14ac:dyDescent="0.25">
      <c r="A78" s="368"/>
      <c r="B78" s="368"/>
      <c r="D78" s="233">
        <v>8</v>
      </c>
      <c r="E78" s="233" t="s">
        <v>336</v>
      </c>
      <c r="F78" s="233"/>
      <c r="G78" s="233"/>
      <c r="H78" s="13">
        <f>+SUM(H77)</f>
        <v>12769320</v>
      </c>
      <c r="I78" s="12" t="s">
        <v>711</v>
      </c>
      <c r="J78" s="233"/>
      <c r="K78" s="233"/>
      <c r="L78" s="54">
        <f>+SUM(L77)</f>
        <v>1003923.9384</v>
      </c>
      <c r="M78" s="233"/>
      <c r="N78" s="226"/>
      <c r="O78" s="13">
        <f>+SUM(O77)</f>
        <v>12769320</v>
      </c>
      <c r="P78" s="12" t="s">
        <v>711</v>
      </c>
      <c r="Q78" s="233"/>
      <c r="R78" s="233"/>
      <c r="S78" s="54">
        <f>+SUM(S77)</f>
        <v>869138.53098278877</v>
      </c>
      <c r="T78" s="12"/>
      <c r="U78" s="12">
        <f>+S78-L78</f>
        <v>-134785.40741721122</v>
      </c>
      <c r="V78" s="21">
        <f>+IF(U78=0,0,(S78-L78)/L78)</f>
        <v>-0.13425858500000004</v>
      </c>
    </row>
    <row r="79" spans="1:22" x14ac:dyDescent="0.25">
      <c r="A79" s="368"/>
      <c r="B79" s="368"/>
      <c r="D79" s="233">
        <v>9</v>
      </c>
      <c r="E79" s="233"/>
      <c r="F79" s="233"/>
      <c r="G79" s="233"/>
      <c r="H79" s="233"/>
      <c r="I79" s="233"/>
      <c r="J79" s="233"/>
      <c r="K79" s="233"/>
      <c r="L79" s="13"/>
      <c r="M79" s="233"/>
      <c r="N79" s="226"/>
      <c r="O79" s="233"/>
      <c r="P79" s="233"/>
      <c r="Q79" s="233"/>
      <c r="R79" s="233"/>
      <c r="S79" s="13"/>
      <c r="T79" s="233"/>
      <c r="U79" s="233"/>
      <c r="V79" s="369"/>
    </row>
    <row r="80" spans="1:22" x14ac:dyDescent="0.25">
      <c r="A80" s="368"/>
      <c r="B80" s="368"/>
      <c r="D80" s="233">
        <v>10</v>
      </c>
      <c r="E80" s="233"/>
      <c r="F80" s="233"/>
      <c r="G80" s="233"/>
      <c r="H80" s="233"/>
      <c r="I80" s="233"/>
      <c r="J80" s="233"/>
      <c r="K80" s="233"/>
      <c r="L80" s="13"/>
      <c r="M80" s="233"/>
      <c r="N80" s="226"/>
      <c r="O80" s="233"/>
      <c r="P80" s="233"/>
      <c r="Q80" s="233"/>
      <c r="R80" s="233"/>
      <c r="S80" s="13"/>
      <c r="T80" s="233"/>
      <c r="U80" s="233"/>
      <c r="V80" s="369"/>
    </row>
    <row r="81" spans="1:22" x14ac:dyDescent="0.25">
      <c r="A81" s="368"/>
      <c r="B81" s="368"/>
      <c r="D81" s="233">
        <v>11</v>
      </c>
      <c r="E81" s="233"/>
      <c r="F81" s="233"/>
      <c r="G81" s="233"/>
      <c r="H81" s="233"/>
      <c r="I81" s="233"/>
      <c r="J81" s="233"/>
      <c r="K81" s="233"/>
      <c r="L81" s="233"/>
      <c r="M81" s="233"/>
      <c r="N81" s="226"/>
      <c r="O81" s="233"/>
      <c r="P81" s="233"/>
      <c r="Q81" s="233"/>
      <c r="R81" s="233"/>
      <c r="S81" s="233"/>
      <c r="T81" s="233"/>
      <c r="U81" s="233"/>
      <c r="V81" s="233"/>
    </row>
    <row r="82" spans="1:22" ht="15.75" thickBot="1" x14ac:dyDescent="0.3">
      <c r="A82" s="368"/>
      <c r="B82" s="368"/>
      <c r="D82" s="233">
        <v>12</v>
      </c>
      <c r="E82" s="11" t="s">
        <v>337</v>
      </c>
      <c r="F82" s="11"/>
      <c r="G82" s="233"/>
      <c r="H82" s="233"/>
      <c r="I82" s="12"/>
      <c r="J82" s="12"/>
      <c r="K82" s="12"/>
      <c r="L82" s="56">
        <f>+L74+L78</f>
        <v>2111966.4383999999</v>
      </c>
      <c r="M82" s="12"/>
      <c r="N82" s="22"/>
      <c r="O82" s="12"/>
      <c r="P82" s="12"/>
      <c r="Q82" s="12"/>
      <c r="R82" s="12"/>
      <c r="S82" s="56">
        <f>+S74+S78</f>
        <v>2745423.8309827889</v>
      </c>
      <c r="T82" s="12"/>
      <c r="U82" s="12">
        <f>+S82-L82</f>
        <v>633457.39258278906</v>
      </c>
      <c r="V82" s="21">
        <f>+IF(U82=0,0,(S82-L82)/L82)</f>
        <v>0.29993724382414366</v>
      </c>
    </row>
    <row r="83" spans="1:22" ht="15.75" thickTop="1" x14ac:dyDescent="0.25">
      <c r="A83" s="368"/>
      <c r="B83" s="368"/>
      <c r="D83" s="233">
        <v>13</v>
      </c>
      <c r="E83" s="15"/>
      <c r="F83" s="15"/>
      <c r="G83" s="233"/>
      <c r="H83" s="233"/>
      <c r="I83" s="12"/>
      <c r="J83" s="12"/>
      <c r="K83" s="12"/>
      <c r="L83" s="30"/>
      <c r="M83" s="12"/>
      <c r="N83" s="22"/>
      <c r="O83" s="12"/>
      <c r="P83" s="12"/>
      <c r="Q83" s="12"/>
      <c r="R83" s="12"/>
      <c r="S83" s="30"/>
      <c r="T83" s="12"/>
      <c r="U83" s="12"/>
      <c r="V83" s="31"/>
    </row>
    <row r="84" spans="1:22" x14ac:dyDescent="0.25">
      <c r="A84" s="368"/>
      <c r="B84" s="368"/>
      <c r="D84" s="233">
        <v>14</v>
      </c>
      <c r="E84" s="233"/>
      <c r="F84" s="233"/>
      <c r="G84" s="233"/>
      <c r="H84" s="233"/>
      <c r="I84" s="233"/>
      <c r="J84" s="233"/>
      <c r="K84" s="233"/>
      <c r="L84" s="233"/>
      <c r="M84" s="233"/>
      <c r="N84" s="226"/>
      <c r="O84" s="233"/>
      <c r="P84" s="233"/>
      <c r="Q84" s="233"/>
      <c r="R84" s="233"/>
      <c r="S84" s="370"/>
      <c r="T84" s="12"/>
      <c r="U84" s="12"/>
      <c r="V84" s="12"/>
    </row>
    <row r="85" spans="1:22" x14ac:dyDescent="0.25">
      <c r="A85" s="368"/>
      <c r="B85" s="368"/>
      <c r="D85" s="233">
        <v>15</v>
      </c>
      <c r="E85" s="233"/>
      <c r="F85" s="15"/>
      <c r="G85" s="233"/>
      <c r="H85" s="233"/>
      <c r="I85" s="12"/>
      <c r="J85" s="12"/>
      <c r="K85" s="12"/>
      <c r="L85" s="12"/>
      <c r="M85" s="12"/>
      <c r="N85" s="22"/>
      <c r="O85" s="12"/>
      <c r="P85" s="12"/>
      <c r="Q85" s="12"/>
      <c r="R85" s="12"/>
      <c r="S85" s="12"/>
      <c r="T85" s="12"/>
      <c r="U85" s="12"/>
      <c r="V85" s="12"/>
    </row>
    <row r="86" spans="1:22" x14ac:dyDescent="0.25">
      <c r="A86" s="368"/>
      <c r="B86" s="368"/>
      <c r="D86" s="233">
        <v>16</v>
      </c>
      <c r="E86" s="233"/>
      <c r="F86" s="15"/>
      <c r="G86" s="233"/>
      <c r="H86" s="233"/>
      <c r="I86" s="12"/>
      <c r="J86" s="12"/>
      <c r="K86" s="12"/>
      <c r="L86" s="12"/>
      <c r="M86" s="12"/>
      <c r="N86" s="22"/>
      <c r="O86" s="12"/>
      <c r="P86" s="12"/>
      <c r="Q86" s="12"/>
      <c r="R86" s="12"/>
      <c r="S86" s="12"/>
      <c r="T86" s="12"/>
      <c r="U86" s="12"/>
      <c r="V86" s="12"/>
    </row>
    <row r="87" spans="1:22" x14ac:dyDescent="0.25">
      <c r="A87" s="368"/>
      <c r="B87" s="368"/>
      <c r="D87" s="233">
        <v>17</v>
      </c>
      <c r="E87" s="233"/>
      <c r="F87" s="15"/>
      <c r="G87" s="233"/>
      <c r="H87" s="233"/>
      <c r="I87" s="12"/>
      <c r="J87" s="12"/>
      <c r="K87" s="12"/>
      <c r="L87" s="12"/>
      <c r="M87" s="12"/>
      <c r="N87" s="22"/>
      <c r="O87" s="12"/>
      <c r="P87" s="12"/>
      <c r="Q87" s="12"/>
      <c r="R87" s="12"/>
      <c r="S87" s="12"/>
      <c r="T87" s="12"/>
      <c r="U87" s="12"/>
      <c r="V87" s="12"/>
    </row>
    <row r="88" spans="1:22" x14ac:dyDescent="0.25">
      <c r="A88" s="368"/>
      <c r="B88" s="368"/>
      <c r="D88" s="233">
        <v>18</v>
      </c>
      <c r="E88" s="233"/>
      <c r="F88" s="15"/>
      <c r="G88" s="233"/>
      <c r="H88" s="233"/>
      <c r="I88" s="12"/>
      <c r="J88" s="12"/>
      <c r="K88" s="12"/>
      <c r="L88" s="12"/>
      <c r="M88" s="12"/>
      <c r="N88" s="22"/>
      <c r="O88" s="12"/>
      <c r="P88" s="12"/>
      <c r="Q88" s="12"/>
      <c r="R88" s="12"/>
      <c r="S88" s="12"/>
      <c r="T88" s="12"/>
      <c r="U88" s="12"/>
      <c r="V88" s="12"/>
    </row>
    <row r="89" spans="1:22" x14ac:dyDescent="0.25">
      <c r="A89" s="368"/>
      <c r="B89" s="368"/>
      <c r="D89" s="233">
        <v>19</v>
      </c>
      <c r="E89" s="233"/>
      <c r="F89" s="15"/>
      <c r="G89" s="233"/>
      <c r="H89" s="233"/>
      <c r="I89" s="12"/>
      <c r="J89" s="12"/>
      <c r="K89" s="12"/>
      <c r="L89" s="12"/>
      <c r="M89" s="12"/>
      <c r="N89" s="22"/>
      <c r="O89" s="12"/>
      <c r="P89" s="12"/>
      <c r="Q89" s="12"/>
      <c r="R89" s="12"/>
      <c r="S89" s="12"/>
      <c r="T89" s="12"/>
      <c r="U89" s="12"/>
      <c r="V89" s="12"/>
    </row>
    <row r="90" spans="1:22" x14ac:dyDescent="0.25">
      <c r="A90" s="368"/>
      <c r="B90" s="368"/>
      <c r="D90" s="233">
        <v>20</v>
      </c>
      <c r="E90" s="353"/>
      <c r="F90" s="15"/>
      <c r="G90" s="233"/>
      <c r="H90" s="233"/>
      <c r="I90" s="12"/>
      <c r="J90" s="12"/>
      <c r="K90" s="12"/>
      <c r="L90" s="12"/>
      <c r="M90" s="12"/>
      <c r="N90" s="22"/>
      <c r="O90" s="12"/>
      <c r="P90" s="12"/>
      <c r="Q90" s="12"/>
      <c r="R90" s="12"/>
      <c r="S90" s="12"/>
      <c r="T90" s="12"/>
      <c r="U90" s="12"/>
      <c r="V90" s="12"/>
    </row>
    <row r="91" spans="1:22" x14ac:dyDescent="0.25">
      <c r="A91" s="368"/>
      <c r="B91" s="368"/>
      <c r="D91" s="233">
        <v>21</v>
      </c>
      <c r="E91" s="353"/>
      <c r="F91" s="15"/>
      <c r="G91" s="233"/>
      <c r="H91" s="233"/>
      <c r="I91" s="12"/>
      <c r="J91" s="12"/>
      <c r="K91" s="12"/>
      <c r="L91" s="12"/>
      <c r="M91" s="12"/>
      <c r="N91" s="22"/>
      <c r="O91" s="12"/>
      <c r="P91" s="12"/>
      <c r="Q91" s="12"/>
      <c r="R91" s="12"/>
      <c r="S91" s="12"/>
      <c r="T91" s="12"/>
      <c r="U91" s="12"/>
      <c r="V91" s="12"/>
    </row>
    <row r="92" spans="1:22" x14ac:dyDescent="0.25">
      <c r="A92" s="368"/>
      <c r="B92" s="368"/>
      <c r="D92" s="233">
        <v>22</v>
      </c>
      <c r="E92" s="353"/>
      <c r="F92" s="15"/>
      <c r="G92" s="233"/>
      <c r="H92" s="233"/>
      <c r="I92" s="12"/>
      <c r="J92" s="12"/>
      <c r="K92" s="12"/>
      <c r="L92" s="12"/>
      <c r="M92" s="12"/>
      <c r="N92" s="22"/>
      <c r="O92" s="12"/>
      <c r="P92" s="12"/>
      <c r="Q92" s="12"/>
      <c r="R92" s="12"/>
      <c r="S92" s="12"/>
      <c r="T92" s="12"/>
      <c r="U92" s="12"/>
      <c r="V92" s="12"/>
    </row>
    <row r="93" spans="1:22" x14ac:dyDescent="0.25">
      <c r="A93" s="368"/>
      <c r="B93" s="368"/>
      <c r="D93" s="233">
        <v>23</v>
      </c>
      <c r="E93" s="353"/>
      <c r="F93" s="15"/>
      <c r="G93" s="233"/>
      <c r="H93" s="233"/>
      <c r="I93" s="12"/>
      <c r="J93" s="12"/>
      <c r="K93" s="12"/>
      <c r="L93" s="12"/>
      <c r="M93" s="12"/>
      <c r="N93" s="22"/>
      <c r="O93" s="12"/>
      <c r="P93" s="12"/>
      <c r="Q93" s="12"/>
      <c r="R93" s="12"/>
      <c r="S93" s="12"/>
      <c r="T93" s="12"/>
      <c r="U93" s="12"/>
      <c r="V93" s="12"/>
    </row>
    <row r="94" spans="1:22" x14ac:dyDescent="0.25">
      <c r="A94" s="368"/>
      <c r="B94" s="368"/>
      <c r="D94" s="233">
        <v>24</v>
      </c>
      <c r="E94" s="353"/>
      <c r="F94" s="15"/>
      <c r="G94" s="233"/>
      <c r="H94" s="233"/>
      <c r="I94" s="12"/>
      <c r="J94" s="12"/>
      <c r="K94" s="12"/>
      <c r="L94" s="12"/>
      <c r="M94" s="12"/>
      <c r="N94" s="22"/>
      <c r="O94" s="12"/>
      <c r="P94" s="12"/>
      <c r="Q94" s="12"/>
      <c r="R94" s="12"/>
      <c r="S94" s="12"/>
      <c r="T94" s="12"/>
      <c r="U94" s="12"/>
      <c r="V94" s="12"/>
    </row>
    <row r="95" spans="1:22" x14ac:dyDescent="0.25">
      <c r="A95" s="368"/>
      <c r="B95" s="368"/>
      <c r="D95" s="233">
        <v>25</v>
      </c>
      <c r="E95" s="353"/>
      <c r="F95" s="15"/>
      <c r="G95" s="233"/>
      <c r="H95" s="233"/>
      <c r="I95" s="12"/>
      <c r="J95" s="12"/>
      <c r="K95" s="12"/>
      <c r="L95" s="12"/>
      <c r="M95" s="12"/>
      <c r="N95" s="22"/>
      <c r="O95" s="12"/>
      <c r="P95" s="12"/>
      <c r="Q95" s="12"/>
      <c r="R95" s="12"/>
      <c r="S95" s="12"/>
      <c r="T95" s="12"/>
      <c r="U95" s="12"/>
      <c r="V95" s="12"/>
    </row>
    <row r="96" spans="1:22" x14ac:dyDescent="0.25">
      <c r="A96" s="368"/>
      <c r="B96" s="368"/>
      <c r="D96" s="233">
        <v>26</v>
      </c>
      <c r="E96" s="353"/>
      <c r="F96" s="15"/>
      <c r="G96" s="233"/>
      <c r="H96" s="233"/>
      <c r="I96" s="12"/>
      <c r="J96" s="12"/>
      <c r="K96" s="12"/>
      <c r="L96" s="12"/>
      <c r="M96" s="12"/>
      <c r="N96" s="22"/>
      <c r="O96" s="12"/>
      <c r="P96" s="12"/>
      <c r="Q96" s="12"/>
      <c r="R96" s="12"/>
      <c r="S96" s="12"/>
      <c r="T96" s="12"/>
      <c r="U96" s="12"/>
      <c r="V96" s="12"/>
    </row>
    <row r="97" spans="1:22" x14ac:dyDescent="0.25">
      <c r="A97" s="368"/>
      <c r="B97" s="368"/>
      <c r="D97" s="233">
        <v>27</v>
      </c>
      <c r="E97" s="353"/>
      <c r="F97" s="15"/>
      <c r="G97" s="233"/>
      <c r="H97" s="233"/>
      <c r="I97" s="12"/>
      <c r="J97" s="12"/>
      <c r="K97" s="12"/>
      <c r="L97" s="12"/>
      <c r="M97" s="12"/>
      <c r="N97" s="22"/>
      <c r="O97" s="12"/>
      <c r="P97" s="12"/>
      <c r="Q97" s="12"/>
      <c r="R97" s="12"/>
      <c r="S97" s="12"/>
      <c r="T97" s="12"/>
      <c r="U97" s="12"/>
      <c r="V97" s="12"/>
    </row>
    <row r="98" spans="1:22" x14ac:dyDescent="0.25">
      <c r="A98" s="368"/>
      <c r="B98" s="368"/>
      <c r="D98" s="233">
        <v>28</v>
      </c>
      <c r="E98" s="353"/>
      <c r="F98" s="15"/>
      <c r="G98" s="233"/>
      <c r="H98" s="233"/>
      <c r="I98" s="12"/>
      <c r="J98" s="12"/>
      <c r="K98" s="12"/>
      <c r="L98" s="12"/>
      <c r="M98" s="12"/>
      <c r="N98" s="22"/>
      <c r="O98" s="12"/>
      <c r="P98" s="12"/>
      <c r="Q98" s="12"/>
      <c r="R98" s="12"/>
      <c r="S98" s="12"/>
      <c r="T98" s="12"/>
      <c r="U98" s="12"/>
      <c r="V98" s="12"/>
    </row>
    <row r="99" spans="1:22" x14ac:dyDescent="0.25">
      <c r="A99" s="368"/>
      <c r="B99" s="368"/>
      <c r="D99" s="233">
        <v>29</v>
      </c>
      <c r="E99" s="353"/>
      <c r="F99" s="15"/>
      <c r="G99" s="233"/>
      <c r="H99" s="233"/>
      <c r="I99" s="12"/>
      <c r="J99" s="12"/>
      <c r="K99" s="12"/>
      <c r="L99" s="12"/>
      <c r="M99" s="12"/>
      <c r="N99" s="22"/>
      <c r="O99" s="12"/>
      <c r="P99" s="12"/>
      <c r="Q99" s="12"/>
      <c r="R99" s="12"/>
      <c r="S99" s="12"/>
      <c r="T99" s="12"/>
      <c r="U99" s="12"/>
      <c r="V99" s="12"/>
    </row>
    <row r="100" spans="1:22" x14ac:dyDescent="0.25">
      <c r="A100" s="368"/>
      <c r="B100" s="368"/>
      <c r="D100" s="233">
        <v>30</v>
      </c>
      <c r="E100" s="353"/>
      <c r="F100" s="15"/>
      <c r="G100" s="233"/>
      <c r="H100" s="233"/>
      <c r="I100" s="12"/>
      <c r="J100" s="12"/>
      <c r="K100" s="12"/>
      <c r="L100" s="12"/>
      <c r="M100" s="12"/>
      <c r="N100" s="22"/>
      <c r="O100" s="12"/>
      <c r="P100" s="12"/>
      <c r="Q100" s="12"/>
      <c r="R100" s="12"/>
      <c r="S100" s="12"/>
      <c r="T100" s="12"/>
      <c r="U100" s="12"/>
      <c r="V100" s="12"/>
    </row>
    <row r="101" spans="1:22" x14ac:dyDescent="0.25">
      <c r="A101" s="368"/>
      <c r="B101" s="368"/>
      <c r="D101" s="233">
        <v>31</v>
      </c>
      <c r="E101" s="353"/>
      <c r="F101" s="15"/>
      <c r="G101" s="233"/>
      <c r="H101" s="233"/>
      <c r="I101" s="12"/>
      <c r="J101" s="12"/>
      <c r="K101" s="12"/>
      <c r="L101" s="12"/>
      <c r="M101" s="12"/>
      <c r="N101" s="22"/>
      <c r="O101" s="12"/>
      <c r="P101" s="12"/>
      <c r="Q101" s="12"/>
      <c r="R101" s="12"/>
      <c r="S101" s="12"/>
      <c r="T101" s="12"/>
      <c r="U101" s="12"/>
      <c r="V101" s="12"/>
    </row>
    <row r="102" spans="1:22" x14ac:dyDescent="0.25">
      <c r="A102" s="368"/>
      <c r="B102" s="368"/>
      <c r="D102" s="233">
        <v>32</v>
      </c>
      <c r="E102" s="353"/>
      <c r="F102" s="390"/>
      <c r="G102" s="233"/>
      <c r="H102" s="233"/>
      <c r="I102" s="12"/>
      <c r="J102" s="12"/>
      <c r="K102" s="12"/>
      <c r="L102" s="12"/>
      <c r="M102" s="12"/>
      <c r="N102" s="22"/>
      <c r="O102" s="12"/>
      <c r="P102" s="12"/>
      <c r="Q102" s="12"/>
      <c r="R102" s="12"/>
      <c r="S102" s="12"/>
      <c r="T102" s="12"/>
      <c r="U102" s="12"/>
      <c r="V102" s="12"/>
    </row>
    <row r="103" spans="1:22" x14ac:dyDescent="0.25">
      <c r="A103" s="368"/>
      <c r="B103" s="368"/>
      <c r="D103" s="233">
        <v>33</v>
      </c>
      <c r="E103" s="353"/>
      <c r="F103" s="15"/>
      <c r="G103" s="233"/>
      <c r="H103" s="233"/>
      <c r="I103" s="12"/>
      <c r="J103" s="12"/>
      <c r="K103" s="12"/>
      <c r="L103" s="12"/>
      <c r="M103" s="12"/>
      <c r="N103" s="22"/>
      <c r="O103" s="12"/>
      <c r="P103" s="12"/>
      <c r="Q103" s="12"/>
      <c r="R103" s="12"/>
      <c r="S103" s="12"/>
      <c r="T103" s="12"/>
      <c r="U103" s="12"/>
      <c r="V103" s="12"/>
    </row>
    <row r="104" spans="1:22" x14ac:dyDescent="0.25">
      <c r="A104" s="368"/>
      <c r="B104" s="368"/>
      <c r="D104" s="233">
        <v>34</v>
      </c>
      <c r="E104" s="353"/>
      <c r="F104" s="15"/>
      <c r="G104" s="233"/>
      <c r="H104" s="233"/>
      <c r="I104" s="12"/>
      <c r="J104" s="12"/>
      <c r="K104" s="12"/>
      <c r="L104" s="12"/>
      <c r="M104" s="12"/>
      <c r="N104" s="22"/>
      <c r="O104" s="12"/>
      <c r="P104" s="12"/>
      <c r="Q104" s="12"/>
      <c r="R104" s="12"/>
      <c r="S104" s="12"/>
      <c r="T104" s="12"/>
      <c r="U104" s="12"/>
      <c r="V104" s="12"/>
    </row>
    <row r="105" spans="1:22" x14ac:dyDescent="0.25">
      <c r="A105" s="368"/>
      <c r="B105" s="368"/>
      <c r="D105" s="233">
        <v>35</v>
      </c>
      <c r="E105" s="353"/>
      <c r="F105" s="15"/>
      <c r="G105" s="233"/>
      <c r="H105" s="233"/>
      <c r="I105" s="12"/>
      <c r="J105" s="12"/>
      <c r="K105" s="12"/>
      <c r="L105" s="12"/>
      <c r="M105" s="12"/>
      <c r="N105" s="22"/>
      <c r="O105" s="12"/>
      <c r="P105" s="12"/>
      <c r="Q105" s="12"/>
      <c r="R105" s="12"/>
      <c r="S105" s="12"/>
      <c r="T105" s="12"/>
      <c r="U105" s="12"/>
      <c r="V105" s="12"/>
    </row>
    <row r="106" spans="1:22" x14ac:dyDescent="0.25">
      <c r="A106" s="368"/>
      <c r="B106" s="368"/>
      <c r="D106" s="233">
        <v>36</v>
      </c>
      <c r="E106" s="353"/>
      <c r="F106" s="15"/>
      <c r="G106" s="233"/>
      <c r="H106" s="233"/>
      <c r="I106" s="12"/>
      <c r="J106" s="12"/>
      <c r="K106" s="12"/>
      <c r="L106" s="12"/>
      <c r="M106" s="12"/>
      <c r="N106" s="22"/>
      <c r="O106" s="12"/>
      <c r="P106" s="12"/>
      <c r="Q106" s="12"/>
      <c r="R106" s="12"/>
      <c r="S106" s="12"/>
      <c r="T106" s="12"/>
      <c r="U106" s="12"/>
      <c r="V106" s="12"/>
    </row>
    <row r="107" spans="1:22" x14ac:dyDescent="0.25">
      <c r="A107" s="368"/>
      <c r="B107" s="368"/>
      <c r="D107" s="233">
        <v>37</v>
      </c>
      <c r="E107" s="353"/>
      <c r="F107" s="15"/>
      <c r="G107" s="233"/>
      <c r="H107" s="233"/>
      <c r="I107" s="12"/>
      <c r="J107" s="12"/>
      <c r="K107" s="12"/>
      <c r="L107" s="12"/>
      <c r="M107" s="12"/>
      <c r="N107" s="22"/>
      <c r="O107" s="12"/>
      <c r="P107" s="12"/>
      <c r="Q107" s="12"/>
      <c r="R107" s="12"/>
      <c r="S107" s="12"/>
      <c r="T107" s="12"/>
      <c r="U107" s="12"/>
      <c r="V107" s="12"/>
    </row>
    <row r="108" spans="1:22" x14ac:dyDescent="0.25">
      <c r="A108" s="368"/>
      <c r="B108" s="368"/>
      <c r="D108" s="233">
        <v>38</v>
      </c>
      <c r="E108" s="353"/>
      <c r="F108" s="15"/>
      <c r="G108" s="233"/>
      <c r="H108" s="233"/>
      <c r="I108" s="12"/>
      <c r="J108" s="12"/>
      <c r="K108" s="12"/>
      <c r="L108" s="12"/>
      <c r="M108" s="12"/>
      <c r="N108" s="22"/>
      <c r="O108" s="12"/>
      <c r="P108" s="12"/>
      <c r="Q108" s="12"/>
      <c r="R108" s="12"/>
      <c r="S108" s="12"/>
      <c r="T108" s="12"/>
      <c r="U108" s="12"/>
      <c r="V108" s="12"/>
    </row>
    <row r="109" spans="1:22" ht="15.75" thickBot="1" x14ac:dyDescent="0.3">
      <c r="A109" s="368"/>
      <c r="B109" s="368"/>
      <c r="D109" s="306">
        <v>39</v>
      </c>
      <c r="E109" s="306"/>
      <c r="F109" s="306"/>
      <c r="G109" s="306"/>
      <c r="H109" s="306"/>
      <c r="I109" s="306"/>
      <c r="J109" s="306"/>
      <c r="K109" s="306"/>
      <c r="L109" s="306"/>
      <c r="M109" s="306"/>
      <c r="N109" s="314"/>
      <c r="O109" s="306"/>
      <c r="P109" s="306"/>
      <c r="Q109" s="306"/>
      <c r="R109" s="306"/>
      <c r="S109" s="306"/>
      <c r="T109" s="306"/>
      <c r="U109" s="306"/>
      <c r="V109" s="306"/>
    </row>
    <row r="110" spans="1:22" x14ac:dyDescent="0.25">
      <c r="A110" s="368"/>
      <c r="B110" s="368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26"/>
      <c r="O110" s="233"/>
      <c r="P110" s="233"/>
      <c r="Q110" s="233"/>
      <c r="R110" s="233"/>
      <c r="S110" s="233"/>
      <c r="T110" s="233"/>
      <c r="U110" s="233"/>
      <c r="V110" s="233" t="s">
        <v>304</v>
      </c>
    </row>
  </sheetData>
  <mergeCells count="2">
    <mergeCell ref="K4:O4"/>
    <mergeCell ref="K58:O58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9F4A-C92A-4292-AD9F-C43BC009AC28}">
  <sheetPr>
    <pageSetUpPr fitToPage="1"/>
  </sheetPr>
  <dimension ref="A3:W380"/>
  <sheetViews>
    <sheetView workbookViewId="0"/>
  </sheetViews>
  <sheetFormatPr defaultRowHeight="15" x14ac:dyDescent="0.25"/>
  <cols>
    <col min="1" max="1" width="31.85546875" bestFit="1" customWidth="1"/>
    <col min="2" max="2" width="39.140625" bestFit="1" customWidth="1"/>
    <col min="3" max="3" width="56.140625" bestFit="1" customWidth="1"/>
    <col min="9" max="9" width="21.85546875" bestFit="1" customWidth="1"/>
    <col min="10" max="10" width="9.85546875" customWidth="1"/>
    <col min="11" max="11" width="10.28515625" bestFit="1" customWidth="1"/>
    <col min="13" max="13" width="19" bestFit="1" customWidth="1"/>
    <col min="16" max="16" width="12" bestFit="1" customWidth="1"/>
    <col min="18" max="18" width="10" bestFit="1" customWidth="1"/>
    <col min="20" max="20" width="24" bestFit="1" customWidth="1"/>
    <col min="22" max="22" width="9.85546875" bestFit="1" customWidth="1"/>
    <col min="23" max="23" width="18.7109375" bestFit="1" customWidth="1"/>
  </cols>
  <sheetData>
    <row r="3" spans="1:23" x14ac:dyDescent="0.25">
      <c r="E3" s="233"/>
      <c r="F3" s="233"/>
      <c r="G3" s="233"/>
      <c r="H3" s="233"/>
      <c r="I3" s="233"/>
      <c r="J3" s="233"/>
      <c r="K3" s="233"/>
      <c r="L3" s="590"/>
      <c r="M3" s="590"/>
      <c r="N3" s="590"/>
      <c r="O3" s="590"/>
      <c r="P3" s="590"/>
      <c r="Q3" s="233"/>
      <c r="R3" s="233"/>
      <c r="S3" s="233"/>
      <c r="T3" s="233"/>
      <c r="U3" s="233"/>
      <c r="V3" s="233"/>
      <c r="W3" s="233"/>
    </row>
    <row r="4" spans="1:23" ht="15.75" thickBot="1" x14ac:dyDescent="0.3">
      <c r="E4" s="306" t="s">
        <v>305</v>
      </c>
      <c r="F4" s="306"/>
      <c r="G4" s="306"/>
      <c r="H4" s="306"/>
      <c r="I4" s="306"/>
      <c r="J4" s="306"/>
      <c r="K4" s="306"/>
      <c r="L4" s="591" t="s">
        <v>306</v>
      </c>
      <c r="M4" s="591"/>
      <c r="N4" s="591"/>
      <c r="O4" s="591"/>
      <c r="P4" s="591"/>
      <c r="Q4" s="306"/>
      <c r="R4" s="306"/>
      <c r="S4" s="306"/>
      <c r="T4" s="306"/>
      <c r="U4" s="306"/>
      <c r="V4" s="306"/>
      <c r="W4" s="326" t="s">
        <v>878</v>
      </c>
    </row>
    <row r="5" spans="1:23" x14ac:dyDescent="0.25">
      <c r="B5" t="s">
        <v>712</v>
      </c>
      <c r="C5" s="307">
        <f>+'Operating Revenue Requirement'!F6</f>
        <v>411077262.85000008</v>
      </c>
      <c r="E5" s="233" t="s">
        <v>307</v>
      </c>
      <c r="F5" s="233"/>
      <c r="G5" s="233"/>
      <c r="H5" s="233"/>
      <c r="I5" s="233" t="s">
        <v>308</v>
      </c>
      <c r="J5" s="233" t="s">
        <v>913</v>
      </c>
      <c r="K5" s="233"/>
      <c r="L5" s="233"/>
      <c r="M5" s="233"/>
      <c r="N5" s="233"/>
      <c r="O5" s="316"/>
      <c r="P5" s="309"/>
      <c r="Q5" s="233"/>
      <c r="R5" s="309"/>
      <c r="S5" s="309"/>
      <c r="T5" s="309" t="s">
        <v>309</v>
      </c>
      <c r="U5" s="233"/>
      <c r="V5" s="233"/>
      <c r="W5" s="310"/>
    </row>
    <row r="6" spans="1:23" x14ac:dyDescent="0.25">
      <c r="E6" s="233"/>
      <c r="F6" s="233"/>
      <c r="G6" s="233"/>
      <c r="H6" s="233"/>
      <c r="I6" s="233"/>
      <c r="J6" s="233" t="s">
        <v>914</v>
      </c>
      <c r="K6" s="233"/>
      <c r="L6" s="233"/>
      <c r="M6" s="233"/>
      <c r="N6" s="233"/>
      <c r="O6" s="226"/>
      <c r="P6" s="310"/>
      <c r="Q6" s="233"/>
      <c r="R6" s="233"/>
      <c r="S6" s="311"/>
      <c r="T6" s="311" t="s">
        <v>919</v>
      </c>
      <c r="U6" s="310" t="s">
        <v>920</v>
      </c>
      <c r="V6" s="233"/>
      <c r="W6" s="311"/>
    </row>
    <row r="7" spans="1:23" x14ac:dyDescent="0.25">
      <c r="B7" t="s">
        <v>714</v>
      </c>
      <c r="C7" s="313">
        <v>-1.7532053263405289E-2</v>
      </c>
      <c r="E7" s="233" t="s">
        <v>310</v>
      </c>
      <c r="F7" s="233"/>
      <c r="G7" s="233"/>
      <c r="H7" s="233"/>
      <c r="I7" s="233"/>
      <c r="J7" s="233" t="s">
        <v>915</v>
      </c>
      <c r="K7" s="233"/>
      <c r="L7" s="233"/>
      <c r="M7" s="233"/>
      <c r="N7" s="233"/>
      <c r="O7" s="226"/>
      <c r="P7" s="310"/>
      <c r="Q7" s="311"/>
      <c r="R7" s="233"/>
      <c r="S7" s="233"/>
      <c r="T7" s="311"/>
      <c r="U7" s="310" t="s">
        <v>937</v>
      </c>
      <c r="V7" s="233"/>
      <c r="W7" s="311"/>
    </row>
    <row r="8" spans="1:23" x14ac:dyDescent="0.25">
      <c r="B8" t="s">
        <v>713</v>
      </c>
      <c r="C8" s="307">
        <f>+(T107+T162+T361)</f>
        <v>411077262.99999297</v>
      </c>
      <c r="E8" s="233"/>
      <c r="F8" s="233"/>
      <c r="G8" s="233"/>
      <c r="H8" s="233"/>
      <c r="I8" s="233"/>
      <c r="J8" s="233" t="s">
        <v>916</v>
      </c>
      <c r="K8" s="233"/>
      <c r="L8" s="233"/>
      <c r="M8" s="233"/>
      <c r="N8" s="233"/>
      <c r="O8" s="226"/>
      <c r="P8" s="310"/>
      <c r="Q8" s="311"/>
      <c r="R8" s="233"/>
      <c r="S8" s="233"/>
      <c r="T8" s="311"/>
      <c r="U8" s="310" t="s">
        <v>938</v>
      </c>
      <c r="V8" s="233"/>
      <c r="W8" s="311"/>
    </row>
    <row r="9" spans="1:23" x14ac:dyDescent="0.25">
      <c r="E9" s="233"/>
      <c r="F9" s="233"/>
      <c r="G9" s="311"/>
      <c r="H9" s="233"/>
      <c r="I9" s="233"/>
      <c r="J9" s="233" t="s">
        <v>917</v>
      </c>
      <c r="K9" s="233"/>
      <c r="L9" s="317"/>
      <c r="M9" s="317"/>
      <c r="N9" s="317"/>
      <c r="O9" s="226"/>
      <c r="P9" s="233"/>
      <c r="Q9" s="233"/>
      <c r="R9" s="233"/>
      <c r="S9" s="233"/>
      <c r="T9" s="233"/>
      <c r="U9" s="233" t="s">
        <v>311</v>
      </c>
      <c r="V9" s="233"/>
      <c r="W9" s="233"/>
    </row>
    <row r="10" spans="1:23" ht="15.75" thickBot="1" x14ac:dyDescent="0.3">
      <c r="E10" s="306" t="s">
        <v>1642</v>
      </c>
      <c r="F10" s="306"/>
      <c r="G10" s="326"/>
      <c r="H10" s="319"/>
      <c r="I10" s="319"/>
      <c r="J10" s="361" t="s">
        <v>918</v>
      </c>
      <c r="K10" s="361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  <c r="W10" s="319"/>
    </row>
    <row r="11" spans="1:23" x14ac:dyDescent="0.25">
      <c r="E11" s="233"/>
      <c r="F11" s="233"/>
      <c r="G11" s="233"/>
      <c r="H11" s="233"/>
      <c r="I11" s="317"/>
      <c r="J11" s="233"/>
      <c r="K11" s="317"/>
      <c r="L11" s="362"/>
      <c r="M11" s="317"/>
      <c r="N11" s="233"/>
      <c r="O11" s="317"/>
      <c r="P11" s="233"/>
      <c r="Q11" s="362"/>
      <c r="R11" s="233"/>
      <c r="S11" s="233"/>
      <c r="T11" s="233"/>
      <c r="U11" s="233"/>
      <c r="V11" s="233"/>
      <c r="W11" s="233"/>
    </row>
    <row r="12" spans="1:23" x14ac:dyDescent="0.25">
      <c r="E12" s="233"/>
      <c r="F12" s="233"/>
      <c r="G12" s="233"/>
      <c r="H12" s="233"/>
      <c r="I12" s="362"/>
      <c r="J12" s="233"/>
      <c r="K12" s="233"/>
      <c r="L12" s="362"/>
      <c r="M12" s="233"/>
      <c r="N12" s="233"/>
      <c r="O12" s="317"/>
      <c r="P12" s="233"/>
      <c r="Q12" s="362"/>
      <c r="R12" s="233"/>
      <c r="S12" s="233"/>
      <c r="T12" s="233"/>
      <c r="U12" s="233"/>
      <c r="V12" s="233"/>
      <c r="W12" s="233"/>
    </row>
    <row r="13" spans="1:23" x14ac:dyDescent="0.25">
      <c r="E13" s="233"/>
      <c r="F13" s="233"/>
      <c r="G13" s="233"/>
      <c r="H13" s="233"/>
      <c r="I13" s="233"/>
      <c r="J13" s="362"/>
      <c r="K13" s="362"/>
      <c r="L13" s="363"/>
      <c r="M13" s="363" t="s">
        <v>312</v>
      </c>
      <c r="N13" s="317"/>
      <c r="O13" s="364" t="s">
        <v>719</v>
      </c>
      <c r="P13" s="362"/>
      <c r="Q13" s="233"/>
      <c r="R13" s="362"/>
      <c r="S13" s="362"/>
      <c r="T13" s="362"/>
      <c r="U13" s="362"/>
      <c r="V13" s="362"/>
      <c r="W13" s="233"/>
    </row>
    <row r="14" spans="1:23" x14ac:dyDescent="0.25">
      <c r="E14" s="233"/>
      <c r="F14" s="233"/>
      <c r="G14" s="233"/>
      <c r="H14" s="233"/>
      <c r="I14" s="233"/>
      <c r="J14" s="362"/>
      <c r="K14" s="362"/>
      <c r="L14" s="362"/>
      <c r="M14" s="362"/>
      <c r="N14" s="362"/>
      <c r="O14" s="317"/>
      <c r="P14" s="362"/>
      <c r="Q14" s="362"/>
      <c r="R14" s="362"/>
      <c r="S14" s="362"/>
      <c r="T14" s="362"/>
      <c r="U14" s="362"/>
      <c r="V14" s="362"/>
      <c r="W14" s="362"/>
    </row>
    <row r="15" spans="1:23" x14ac:dyDescent="0.25">
      <c r="E15" s="226" t="s">
        <v>314</v>
      </c>
      <c r="F15" s="371" t="s">
        <v>315</v>
      </c>
      <c r="G15" s="2"/>
      <c r="H15" s="3"/>
      <c r="I15" s="4"/>
      <c r="J15" s="4"/>
      <c r="K15" s="5" t="s">
        <v>316</v>
      </c>
      <c r="L15" s="4"/>
      <c r="M15" s="4"/>
      <c r="N15" s="2"/>
      <c r="O15" s="6"/>
      <c r="P15" s="4"/>
      <c r="Q15" s="5"/>
      <c r="R15" s="5" t="s">
        <v>317</v>
      </c>
      <c r="S15" s="4"/>
      <c r="T15" s="4"/>
      <c r="U15" s="2"/>
      <c r="V15" s="7" t="s">
        <v>318</v>
      </c>
      <c r="W15" s="7" t="s">
        <v>319</v>
      </c>
    </row>
    <row r="16" spans="1:23" ht="15.75" thickBot="1" x14ac:dyDescent="0.3">
      <c r="A16" s="216" t="s">
        <v>810</v>
      </c>
      <c r="B16" s="216" t="s">
        <v>552</v>
      </c>
      <c r="C16" s="216" t="s">
        <v>553</v>
      </c>
      <c r="E16" s="314" t="s">
        <v>320</v>
      </c>
      <c r="F16" s="367" t="s">
        <v>321</v>
      </c>
      <c r="G16" s="8"/>
      <c r="H16" s="306"/>
      <c r="I16" s="314" t="s">
        <v>322</v>
      </c>
      <c r="J16" s="9"/>
      <c r="K16" s="9" t="s">
        <v>323</v>
      </c>
      <c r="L16" s="9"/>
      <c r="M16" s="9" t="s">
        <v>324</v>
      </c>
      <c r="N16" s="9"/>
      <c r="O16" s="9"/>
      <c r="P16" s="9" t="s">
        <v>322</v>
      </c>
      <c r="Q16" s="9"/>
      <c r="R16" s="9" t="s">
        <v>323</v>
      </c>
      <c r="S16" s="9"/>
      <c r="T16" s="9" t="s">
        <v>324</v>
      </c>
      <c r="U16" s="8"/>
      <c r="V16" s="10" t="s">
        <v>325</v>
      </c>
      <c r="W16" s="10" t="s">
        <v>326</v>
      </c>
    </row>
    <row r="17" spans="1:23" x14ac:dyDescent="0.25">
      <c r="E17" s="233">
        <v>1</v>
      </c>
      <c r="F17" s="11" t="s">
        <v>327</v>
      </c>
      <c r="G17" s="11"/>
      <c r="H17" s="233"/>
      <c r="I17" s="233"/>
      <c r="J17" s="12"/>
      <c r="K17" s="12"/>
      <c r="L17" s="12"/>
      <c r="M17" s="12"/>
      <c r="N17" s="13"/>
      <c r="O17" s="22"/>
      <c r="P17" s="13"/>
      <c r="Q17" s="12"/>
      <c r="R17" s="12"/>
      <c r="S17" s="12"/>
      <c r="T17" s="12"/>
      <c r="U17" s="12"/>
      <c r="V17" s="12"/>
      <c r="W17" s="12"/>
    </row>
    <row r="18" spans="1:23" x14ac:dyDescent="0.25">
      <c r="A18" s="368" t="s">
        <v>6</v>
      </c>
      <c r="B18" s="368" t="s">
        <v>22</v>
      </c>
      <c r="C18" s="368" t="s">
        <v>541</v>
      </c>
      <c r="E18" s="233">
        <f>+E17+1</f>
        <v>2</v>
      </c>
      <c r="F18" s="11" t="s">
        <v>364</v>
      </c>
      <c r="G18" s="11"/>
      <c r="H18" s="233"/>
      <c r="I18" s="12">
        <f>+INDEX('2025 Org Base Case BDs'!B:B,MATCH('2025 GSD Rate Class E-13c'!A18,'2025 Org Base Case BDs'!A:A,0))+INDEX('2025 Org Base Case BDs'!B:B,MATCH('2025 GSD Rate Class E-13c'!B18,'2025 Org Base Case BDs'!A:A,0))</f>
        <v>5507579.4199999999</v>
      </c>
      <c r="J18" s="12" t="s">
        <v>329</v>
      </c>
      <c r="K18" s="19">
        <f>+INDEX('2024 Base Rates'!E:E,MATCH('2025 GSD Rate Class E-13c'!C18,'2024 Base Rates'!D:D,0))</f>
        <v>1.08</v>
      </c>
      <c r="L18" s="12"/>
      <c r="M18" s="12">
        <f>+I18*K18</f>
        <v>5948185.7736</v>
      </c>
      <c r="N18" s="13"/>
      <c r="O18" s="22"/>
      <c r="P18" s="12">
        <f>+INDEX('2025 Billing Determinants'!B:B,MATCH('2025 GSD Rate Class E-13c'!A18,'2025 Billing Determinants'!A:A,0))+INDEX('2025 Billing Determinants'!B:B,MATCH('2025 GSD Rate Class E-13c'!B18,'2025 Billing Determinants'!A:A,0))</f>
        <v>5507579.4199999999</v>
      </c>
      <c r="Q18" s="12" t="s">
        <v>329</v>
      </c>
      <c r="R18" s="19">
        <f>+INDEX('Unit Cost Rate Design Input'!D:D,MATCH('2025 GSD Rate Class E-13c'!C18,'Unit Cost Rate Design Input'!B:B,0))</f>
        <v>1.72</v>
      </c>
      <c r="S18" s="12"/>
      <c r="T18" s="12">
        <f>+P18*R18</f>
        <v>9473036.6023999993</v>
      </c>
      <c r="U18" s="12"/>
      <c r="V18" s="12">
        <f>+T18-M18</f>
        <v>3524850.8287999993</v>
      </c>
      <c r="W18" s="21">
        <f>+IF(V18=0,0,(T18-M18)/M18)</f>
        <v>0.59259259259259245</v>
      </c>
    </row>
    <row r="19" spans="1:23" x14ac:dyDescent="0.25">
      <c r="A19" s="368"/>
      <c r="B19" s="368" t="s">
        <v>23</v>
      </c>
      <c r="C19" s="368" t="s">
        <v>542</v>
      </c>
      <c r="E19" s="233">
        <f t="shared" ref="E19:E55" si="0">+E18+1</f>
        <v>3</v>
      </c>
      <c r="F19" s="11" t="s">
        <v>365</v>
      </c>
      <c r="G19" s="233"/>
      <c r="H19" s="233"/>
      <c r="I19" s="12">
        <f>+INDEX('2025 Org Base Case BDs'!B:B,MATCH('2025 GSD Rate Class E-13c'!B19,'2025 Org Base Case BDs'!A:A,0))</f>
        <v>20436.89</v>
      </c>
      <c r="J19" s="12" t="s">
        <v>329</v>
      </c>
      <c r="K19" s="19">
        <f>+INDEX('2024 Base Rates'!E:E,MATCH('2025 GSD Rate Class E-13c'!C19,'2024 Base Rates'!D:D,0))</f>
        <v>5.98</v>
      </c>
      <c r="L19" s="12"/>
      <c r="M19" s="12">
        <f t="shared" ref="M19:M23" si="1">+I19*K19</f>
        <v>122212.60220000001</v>
      </c>
      <c r="N19" s="233"/>
      <c r="O19" s="226"/>
      <c r="P19" s="12">
        <f>+INDEX('2025 Billing Determinants'!B:B,MATCH('2025 GSD Rate Class E-13c'!B19,'2025 Billing Determinants'!A:A,0))</f>
        <v>20436.89</v>
      </c>
      <c r="Q19" s="12" t="s">
        <v>329</v>
      </c>
      <c r="R19" s="19">
        <f>+INDEX('Unit Cost Rate Design Input'!D:D,MATCH('2025 GSD Rate Class E-13c'!C19,'Unit Cost Rate Design Input'!B:B,0))</f>
        <v>9.36</v>
      </c>
      <c r="S19" s="12"/>
      <c r="T19" s="12">
        <f t="shared" ref="T19:T23" si="2">+P19*R19</f>
        <v>191289.29039999997</v>
      </c>
      <c r="U19" s="12"/>
      <c r="V19" s="12">
        <f t="shared" ref="V19:V24" si="3">+T19-M19</f>
        <v>69076.68819999996</v>
      </c>
      <c r="W19" s="21">
        <f t="shared" ref="W19:W24" si="4">+IF(V19=0,0,(T19-M19)/M19)</f>
        <v>0.56521739130434745</v>
      </c>
    </row>
    <row r="20" spans="1:23" x14ac:dyDescent="0.25">
      <c r="A20" s="368"/>
      <c r="B20" s="368" t="s">
        <v>24</v>
      </c>
      <c r="C20" s="368" t="s">
        <v>543</v>
      </c>
      <c r="E20" s="233">
        <f t="shared" si="0"/>
        <v>4</v>
      </c>
      <c r="F20" s="359" t="s">
        <v>720</v>
      </c>
      <c r="G20" s="233"/>
      <c r="H20" s="233"/>
      <c r="I20" s="12">
        <f>+INDEX('2025 Org Base Case BDs'!B:B,MATCH('2025 GSD Rate Class E-13c'!B20,'2025 Org Base Case BDs'!A:A,0))</f>
        <v>0</v>
      </c>
      <c r="J20" s="12" t="s">
        <v>329</v>
      </c>
      <c r="K20" s="19">
        <f>+INDEX('2024 Base Rates'!E:E,MATCH('2025 GSD Rate Class E-13c'!C20,'2024 Base Rates'!D:D,0))</f>
        <v>17.48</v>
      </c>
      <c r="L20" s="233"/>
      <c r="M20" s="12">
        <f t="shared" si="1"/>
        <v>0</v>
      </c>
      <c r="N20" s="233"/>
      <c r="O20" s="226"/>
      <c r="P20" s="12">
        <f>+INDEX('2025 Billing Determinants'!B:B,MATCH('2025 GSD Rate Class E-13c'!B20,'2025 Billing Determinants'!A:A,0))</f>
        <v>0</v>
      </c>
      <c r="Q20" s="12" t="s">
        <v>329</v>
      </c>
      <c r="R20" s="19">
        <f>+INDEX('Unit Cost Rate Design Input'!D:D,MATCH('2025 GSD Rate Class E-13c'!C20,'Unit Cost Rate Design Input'!B:B,0))</f>
        <v>25.76</v>
      </c>
      <c r="S20" s="233"/>
      <c r="T20" s="12">
        <f t="shared" si="2"/>
        <v>0</v>
      </c>
      <c r="U20" s="233"/>
      <c r="V20" s="12">
        <f t="shared" si="3"/>
        <v>0</v>
      </c>
      <c r="W20" s="21">
        <f t="shared" si="4"/>
        <v>0</v>
      </c>
    </row>
    <row r="21" spans="1:23" x14ac:dyDescent="0.25">
      <c r="A21" s="368"/>
      <c r="B21" s="368" t="s">
        <v>43</v>
      </c>
      <c r="C21" s="368" t="s">
        <v>547</v>
      </c>
      <c r="E21" s="233">
        <f t="shared" si="0"/>
        <v>5</v>
      </c>
      <c r="F21" s="233" t="s">
        <v>721</v>
      </c>
      <c r="G21" s="233"/>
      <c r="H21" s="233"/>
      <c r="I21" s="12">
        <f>+INDEX('2025 Org Base Case BDs'!B:B,MATCH('2025 GSD Rate Class E-13c'!B21,'2025 Org Base Case BDs'!A:A,0))</f>
        <v>547000.02</v>
      </c>
      <c r="J21" s="12" t="s">
        <v>329</v>
      </c>
      <c r="K21" s="19">
        <f>+INDEX('2024 Base Rates'!E:E,MATCH('2025 GSD Rate Class E-13c'!C21,'2024 Base Rates'!D:D,0))</f>
        <v>1.08</v>
      </c>
      <c r="L21" s="233"/>
      <c r="M21" s="12">
        <f t="shared" si="1"/>
        <v>590760.02160000009</v>
      </c>
      <c r="N21" s="233"/>
      <c r="O21" s="226"/>
      <c r="P21" s="12">
        <f>+INDEX('2025 Billing Determinants'!B:B,MATCH('2025 GSD Rate Class E-13c'!B21,'2025 Billing Determinants'!A:A,0))</f>
        <v>547000.02</v>
      </c>
      <c r="Q21" s="12" t="s">
        <v>329</v>
      </c>
      <c r="R21" s="19">
        <f>+INDEX('Unit Cost Rate Design Input'!D:D,MATCH('2025 GSD Rate Class E-13c'!C21,'Unit Cost Rate Design Input'!B:B,0))</f>
        <v>1.72</v>
      </c>
      <c r="S21" s="233"/>
      <c r="T21" s="12">
        <f t="shared" si="2"/>
        <v>940840.0344</v>
      </c>
      <c r="U21" s="12"/>
      <c r="V21" s="12">
        <f t="shared" si="3"/>
        <v>350080.01279999991</v>
      </c>
      <c r="W21" s="21">
        <f t="shared" si="4"/>
        <v>0.59259259259259234</v>
      </c>
    </row>
    <row r="22" spans="1:23" x14ac:dyDescent="0.25">
      <c r="A22" s="368"/>
      <c r="B22" s="368" t="s">
        <v>44</v>
      </c>
      <c r="C22" s="368" t="s">
        <v>548</v>
      </c>
      <c r="E22" s="233">
        <f t="shared" si="0"/>
        <v>6</v>
      </c>
      <c r="F22" s="233" t="s">
        <v>722</v>
      </c>
      <c r="G22" s="233"/>
      <c r="H22" s="233"/>
      <c r="I22" s="12">
        <f>+INDEX('2025 Org Base Case BDs'!B:B,MATCH('2025 GSD Rate Class E-13c'!B22,'2025 Org Base Case BDs'!A:A,0))</f>
        <v>14149.85</v>
      </c>
      <c r="J22" s="12" t="s">
        <v>329</v>
      </c>
      <c r="K22" s="19">
        <f>+INDEX('2024 Base Rates'!E:E,MATCH('2025 GSD Rate Class E-13c'!C22,'2024 Base Rates'!D:D,0))</f>
        <v>5.98</v>
      </c>
      <c r="L22" s="233"/>
      <c r="M22" s="12">
        <f t="shared" si="1"/>
        <v>84616.103000000003</v>
      </c>
      <c r="N22" s="233"/>
      <c r="O22" s="226"/>
      <c r="P22" s="12">
        <f>+INDEX('2025 Billing Determinants'!B:B,MATCH('2025 GSD Rate Class E-13c'!B22,'2025 Billing Determinants'!A:A,0))</f>
        <v>14149.85</v>
      </c>
      <c r="Q22" s="12" t="s">
        <v>329</v>
      </c>
      <c r="R22" s="19">
        <f>+INDEX('Unit Cost Rate Design Input'!D:D,MATCH('2025 GSD Rate Class E-13c'!C22,'Unit Cost Rate Design Input'!B:B,0))</f>
        <v>9.36</v>
      </c>
      <c r="S22" s="233"/>
      <c r="T22" s="12">
        <f t="shared" si="2"/>
        <v>132442.59599999999</v>
      </c>
      <c r="U22" s="12"/>
      <c r="V22" s="12">
        <f t="shared" si="3"/>
        <v>47826.492999999988</v>
      </c>
      <c r="W22" s="21">
        <f t="shared" si="4"/>
        <v>0.56521739130434767</v>
      </c>
    </row>
    <row r="23" spans="1:23" ht="16.5" x14ac:dyDescent="0.35">
      <c r="A23" s="368"/>
      <c r="B23" s="368" t="s">
        <v>45</v>
      </c>
      <c r="C23" s="368" t="s">
        <v>549</v>
      </c>
      <c r="E23" s="233">
        <f t="shared" si="0"/>
        <v>7</v>
      </c>
      <c r="F23" s="359" t="s">
        <v>723</v>
      </c>
      <c r="G23" s="233"/>
      <c r="H23" s="233"/>
      <c r="I23" s="58">
        <f>+INDEX('2025 Org Base Case BDs'!B:B,MATCH('2025 GSD Rate Class E-13c'!B23,'2025 Org Base Case BDs'!A:A,0))</f>
        <v>753.01</v>
      </c>
      <c r="J23" s="12" t="s">
        <v>329</v>
      </c>
      <c r="K23" s="19">
        <f>+INDEX('2024 Base Rates'!E:E,MATCH('2025 GSD Rate Class E-13c'!C23,'2024 Base Rates'!D:D,0))</f>
        <v>17.48</v>
      </c>
      <c r="L23" s="233"/>
      <c r="M23" s="53">
        <f t="shared" si="1"/>
        <v>13162.614799999999</v>
      </c>
      <c r="N23" s="233"/>
      <c r="O23" s="226"/>
      <c r="P23" s="58">
        <f>+INDEX('2025 Billing Determinants'!B:B,MATCH('2025 GSD Rate Class E-13c'!B23,'2025 Billing Determinants'!A:A,0))</f>
        <v>753.01</v>
      </c>
      <c r="Q23" s="12" t="s">
        <v>329</v>
      </c>
      <c r="R23" s="19">
        <f>+INDEX('Unit Cost Rate Design Input'!D:D,MATCH('2025 GSD Rate Class E-13c'!C23,'Unit Cost Rate Design Input'!B:B,0))</f>
        <v>25.76</v>
      </c>
      <c r="S23" s="233"/>
      <c r="T23" s="12">
        <f t="shared" si="2"/>
        <v>19397.5376</v>
      </c>
      <c r="U23" s="233"/>
      <c r="V23" s="12">
        <f t="shared" si="3"/>
        <v>6234.9228000000003</v>
      </c>
      <c r="W23" s="21">
        <f t="shared" si="4"/>
        <v>0.47368421052631582</v>
      </c>
    </row>
    <row r="24" spans="1:23" x14ac:dyDescent="0.25">
      <c r="A24" s="368"/>
      <c r="B24" s="368"/>
      <c r="C24" s="368"/>
      <c r="E24" s="233">
        <f t="shared" si="0"/>
        <v>8</v>
      </c>
      <c r="F24" s="38" t="s">
        <v>336</v>
      </c>
      <c r="G24" s="233"/>
      <c r="H24" s="233"/>
      <c r="I24" s="13">
        <f>+SUM(I18:I23)</f>
        <v>6089919.1899999995</v>
      </c>
      <c r="J24" s="12" t="s">
        <v>342</v>
      </c>
      <c r="K24" s="19"/>
      <c r="L24" s="12"/>
      <c r="M24" s="54">
        <f>+SUM(M18:M23)</f>
        <v>6758937.115199999</v>
      </c>
      <c r="N24" s="12"/>
      <c r="O24" s="22"/>
      <c r="P24" s="13">
        <f>+SUM(P18:P23)</f>
        <v>6089919.1899999995</v>
      </c>
      <c r="Q24" s="12" t="s">
        <v>342</v>
      </c>
      <c r="R24" s="19"/>
      <c r="S24" s="12"/>
      <c r="T24" s="54">
        <f>+SUM(T18:T23)</f>
        <v>10757006.060799999</v>
      </c>
      <c r="U24" s="12"/>
      <c r="V24" s="12">
        <f t="shared" si="3"/>
        <v>3998068.9456000002</v>
      </c>
      <c r="W24" s="21">
        <f t="shared" si="4"/>
        <v>0.59152332348363568</v>
      </c>
    </row>
    <row r="25" spans="1:23" x14ac:dyDescent="0.25">
      <c r="A25" s="368"/>
      <c r="B25" s="368"/>
      <c r="C25" s="368"/>
      <c r="E25" s="233">
        <f t="shared" si="0"/>
        <v>9</v>
      </c>
      <c r="F25" s="233"/>
      <c r="G25" s="233"/>
      <c r="H25" s="233"/>
      <c r="I25" s="233"/>
      <c r="J25" s="12"/>
      <c r="K25" s="19"/>
      <c r="L25" s="12"/>
      <c r="M25" s="12"/>
      <c r="N25" s="13"/>
      <c r="O25" s="22"/>
      <c r="P25" s="13"/>
      <c r="Q25" s="12"/>
      <c r="R25" s="19"/>
      <c r="S25" s="12"/>
      <c r="T25" s="12"/>
      <c r="U25" s="12"/>
      <c r="V25" s="12"/>
      <c r="W25" s="23"/>
    </row>
    <row r="26" spans="1:23" x14ac:dyDescent="0.25">
      <c r="A26" s="368"/>
      <c r="B26" s="368"/>
      <c r="C26" s="368"/>
      <c r="E26" s="233">
        <f t="shared" si="0"/>
        <v>10</v>
      </c>
      <c r="F26" s="11" t="s">
        <v>343</v>
      </c>
      <c r="G26" s="11"/>
      <c r="H26" s="233"/>
      <c r="I26" s="233"/>
      <c r="J26" s="12"/>
      <c r="K26" s="12"/>
      <c r="L26" s="12"/>
      <c r="M26" s="12"/>
      <c r="N26" s="12"/>
      <c r="O26" s="22"/>
      <c r="P26" s="12"/>
      <c r="Q26" s="12"/>
      <c r="R26" s="12"/>
      <c r="S26" s="12"/>
      <c r="T26" s="12"/>
      <c r="U26" s="12"/>
      <c r="V26" s="12"/>
      <c r="W26" s="12"/>
    </row>
    <row r="27" spans="1:23" x14ac:dyDescent="0.25">
      <c r="A27" s="368" t="s">
        <v>7</v>
      </c>
      <c r="B27" s="368" t="s">
        <v>26</v>
      </c>
      <c r="C27" s="368" t="s">
        <v>494</v>
      </c>
      <c r="E27" s="233">
        <f t="shared" si="0"/>
        <v>11</v>
      </c>
      <c r="F27" s="11" t="s">
        <v>364</v>
      </c>
      <c r="G27" s="233"/>
      <c r="H27" s="233"/>
      <c r="I27" s="13">
        <f>+INDEX('2025 Org Base Case BDs'!B:B,MATCH('2025 GSD Rate Class E-13c'!A27,'2025 Org Base Case BDs'!A:A,0))+INDEX('2025 Org Base Case BDs'!B:B,MATCH('2025 GSD Rate Class E-13c'!B27,'2025 Org Base Case BDs'!A:A,0))</f>
        <v>4527141762</v>
      </c>
      <c r="J27" s="12" t="s">
        <v>711</v>
      </c>
      <c r="K27" s="28">
        <f>+INDEX('2024 Base Rates'!E:E,MATCH('2025 GSD Rate Class E-13c'!C27,'2024 Base Rates'!D:D,0))</f>
        <v>7.3600000000000002E-3</v>
      </c>
      <c r="L27" s="12"/>
      <c r="M27" s="12">
        <f>+I27*K27</f>
        <v>33319763.368319999</v>
      </c>
      <c r="N27" s="13"/>
      <c r="O27" s="22"/>
      <c r="P27" s="13">
        <f>+INDEX('2025 Billing Determinants'!B:B,MATCH('2025 GSD Rate Class E-13c'!A27,'2025 Billing Determinants'!A:A,0))+INDEX('2025 Billing Determinants'!B:B,MATCH('2025 GSD Rate Class E-13c'!B27,'2025 Billing Determinants'!A:A,0))</f>
        <v>4527141762</v>
      </c>
      <c r="Q27" s="12" t="s">
        <v>711</v>
      </c>
      <c r="R27" s="28">
        <f>+K27*(1+0.05)</f>
        <v>7.7280000000000005E-3</v>
      </c>
      <c r="S27" s="12"/>
      <c r="T27" s="12">
        <f>+P27*R27</f>
        <v>34985751.536736004</v>
      </c>
      <c r="U27" s="12"/>
      <c r="V27" s="12">
        <f t="shared" ref="V27:V35" si="5">+T27-M27</f>
        <v>1665988.1684160046</v>
      </c>
      <c r="W27" s="21">
        <f t="shared" ref="W27:W35" si="6">+IF(V27=0,0,(T27-M27)/M27)</f>
        <v>5.0000000000000142E-2</v>
      </c>
    </row>
    <row r="28" spans="1:23" x14ac:dyDescent="0.25">
      <c r="A28" s="368"/>
      <c r="B28" s="368" t="s">
        <v>27</v>
      </c>
      <c r="C28" s="368" t="s">
        <v>495</v>
      </c>
      <c r="E28" s="233">
        <f t="shared" si="0"/>
        <v>12</v>
      </c>
      <c r="F28" s="11" t="s">
        <v>365</v>
      </c>
      <c r="G28" s="233"/>
      <c r="H28" s="233"/>
      <c r="I28" s="13">
        <f>+INDEX('2025 Org Base Case BDs'!B:B,MATCH('2025 GSD Rate Class E-13c'!B28,'2025 Org Base Case BDs'!A:A,0))</f>
        <v>73063062</v>
      </c>
      <c r="J28" s="12" t="s">
        <v>711</v>
      </c>
      <c r="K28" s="28">
        <f>+INDEX('2024 Base Rates'!E:E,MATCH('2025 GSD Rate Class E-13c'!C28,'2024 Base Rates'!D:D,0))</f>
        <v>7.3600000000000002E-3</v>
      </c>
      <c r="L28" s="12"/>
      <c r="M28" s="12">
        <f>+I28*K28</f>
        <v>537744.13632000005</v>
      </c>
      <c r="N28" s="13"/>
      <c r="O28" s="22"/>
      <c r="P28" s="13">
        <f>+INDEX('2025 Billing Determinants'!B:B,MATCH('2025 GSD Rate Class E-13c'!B28,'2025 Billing Determinants'!A:A,0))</f>
        <v>73063062</v>
      </c>
      <c r="Q28" s="12" t="s">
        <v>711</v>
      </c>
      <c r="R28" s="28">
        <f t="shared" ref="R28:R29" si="7">+K28*(1+0.05)</f>
        <v>7.7280000000000005E-3</v>
      </c>
      <c r="S28" s="12"/>
      <c r="T28" s="12">
        <f>+P28*R28</f>
        <v>564631.34313599998</v>
      </c>
      <c r="U28" s="12"/>
      <c r="V28" s="12">
        <f t="shared" si="5"/>
        <v>26887.206815999933</v>
      </c>
      <c r="W28" s="21">
        <f t="shared" si="6"/>
        <v>4.9999999999999871E-2</v>
      </c>
    </row>
    <row r="29" spans="1:23" x14ac:dyDescent="0.25">
      <c r="A29" s="368"/>
      <c r="B29" s="368" t="s">
        <v>28</v>
      </c>
      <c r="C29" s="368" t="s">
        <v>496</v>
      </c>
      <c r="E29" s="233">
        <f t="shared" si="0"/>
        <v>13</v>
      </c>
      <c r="F29" s="359" t="s">
        <v>720</v>
      </c>
      <c r="G29" s="233"/>
      <c r="H29" s="233"/>
      <c r="I29" s="13">
        <f>+INDEX('2025 Org Base Case BDs'!B:B,MATCH('2025 GSD Rate Class E-13c'!B29,'2025 Org Base Case BDs'!A:A,0))</f>
        <v>0</v>
      </c>
      <c r="J29" s="12" t="s">
        <v>711</v>
      </c>
      <c r="K29" s="28">
        <f>+INDEX('2024 Base Rates'!E:E,MATCH('2025 GSD Rate Class E-13c'!C29,'2024 Base Rates'!D:D,0))</f>
        <v>7.3600000000000002E-3</v>
      </c>
      <c r="L29" s="233"/>
      <c r="M29" s="12">
        <f t="shared" ref="M29:M35" si="8">+I29*K29</f>
        <v>0</v>
      </c>
      <c r="N29" s="233"/>
      <c r="O29" s="226"/>
      <c r="P29" s="13">
        <f>+INDEX('2025 Billing Determinants'!B:B,MATCH('2025 GSD Rate Class E-13c'!B29,'2025 Billing Determinants'!A:A,0))</f>
        <v>0</v>
      </c>
      <c r="Q29" s="12" t="s">
        <v>711</v>
      </c>
      <c r="R29" s="28">
        <f t="shared" si="7"/>
        <v>7.7280000000000005E-3</v>
      </c>
      <c r="S29" s="233"/>
      <c r="T29" s="12">
        <f t="shared" ref="T29:T35" si="9">+P29*R29</f>
        <v>0</v>
      </c>
      <c r="U29" s="12"/>
      <c r="V29" s="12">
        <f t="shared" si="5"/>
        <v>0</v>
      </c>
      <c r="W29" s="21">
        <f t="shared" si="6"/>
        <v>0</v>
      </c>
    </row>
    <row r="30" spans="1:23" x14ac:dyDescent="0.25">
      <c r="A30" s="368"/>
      <c r="B30" s="368" t="s">
        <v>54</v>
      </c>
      <c r="C30" s="368" t="s">
        <v>502</v>
      </c>
      <c r="E30" s="233">
        <f t="shared" si="0"/>
        <v>14</v>
      </c>
      <c r="F30" s="11" t="s">
        <v>724</v>
      </c>
      <c r="G30" s="233"/>
      <c r="H30" s="233"/>
      <c r="I30" s="13">
        <f>+INDEX('2025 Org Base Case BDs'!B:B,MATCH('2025 GSD Rate Class E-13c'!B30,'2025 Org Base Case BDs'!A:A,0))</f>
        <v>504162521</v>
      </c>
      <c r="J30" s="12" t="s">
        <v>711</v>
      </c>
      <c r="K30" s="28">
        <f>+INDEX('2024 Base Rates'!E:E,MATCH('2025 GSD Rate Class E-13c'!C30,'2024 Base Rates'!D:D,0))</f>
        <v>1.193E-2</v>
      </c>
      <c r="L30" s="233"/>
      <c r="M30" s="12">
        <f t="shared" si="8"/>
        <v>6014658.8755299998</v>
      </c>
      <c r="N30" s="233"/>
      <c r="O30" s="226"/>
      <c r="P30" s="13">
        <f>+INDEX('2025 Billing Determinants'!B:B,MATCH('2025 GSD Rate Class E-13c'!B30,'2025 Billing Determinants'!A:A,0))</f>
        <v>461128885</v>
      </c>
      <c r="Q30" s="12" t="s">
        <v>711</v>
      </c>
      <c r="R30" s="28">
        <f>+R27*'Time of Day Inputs'!$E$4</f>
        <v>1.2432E-2</v>
      </c>
      <c r="S30" s="233"/>
      <c r="T30" s="12">
        <f t="shared" si="9"/>
        <v>5732754.2983200001</v>
      </c>
      <c r="U30" s="12"/>
      <c r="V30" s="12">
        <f t="shared" si="5"/>
        <v>-281904.57720999978</v>
      </c>
      <c r="W30" s="21">
        <f t="shared" si="6"/>
        <v>-4.6869586961431606E-2</v>
      </c>
    </row>
    <row r="31" spans="1:23" x14ac:dyDescent="0.25">
      <c r="A31" s="368"/>
      <c r="B31" s="368" t="s">
        <v>55</v>
      </c>
      <c r="C31" s="368" t="s">
        <v>503</v>
      </c>
      <c r="E31" s="233">
        <f t="shared" si="0"/>
        <v>15</v>
      </c>
      <c r="F31" s="11" t="s">
        <v>725</v>
      </c>
      <c r="G31" s="233"/>
      <c r="H31" s="233"/>
      <c r="I31" s="13">
        <f>+INDEX('2025 Org Base Case BDs'!B:B,MATCH('2025 GSD Rate Class E-13c'!B31,'2025 Org Base Case BDs'!A:A,0))</f>
        <v>58156925</v>
      </c>
      <c r="J31" s="12" t="s">
        <v>711</v>
      </c>
      <c r="K31" s="28">
        <f>+INDEX('2024 Base Rates'!E:E,MATCH('2025 GSD Rate Class E-13c'!C31,'2024 Base Rates'!D:D,0))</f>
        <v>1.193E-2</v>
      </c>
      <c r="L31" s="233"/>
      <c r="M31" s="12">
        <f t="shared" si="8"/>
        <v>693812.11525000003</v>
      </c>
      <c r="N31" s="233"/>
      <c r="O31" s="226"/>
      <c r="P31" s="13">
        <f>+INDEX('2025 Billing Determinants'!B:B,MATCH('2025 GSD Rate Class E-13c'!B31,'2025 Billing Determinants'!A:A,0))</f>
        <v>53192843</v>
      </c>
      <c r="Q31" s="12" t="s">
        <v>711</v>
      </c>
      <c r="R31" s="28">
        <f>+R28*'Time of Day Inputs'!$E$4</f>
        <v>1.2432E-2</v>
      </c>
      <c r="S31" s="233"/>
      <c r="T31" s="12">
        <f t="shared" si="9"/>
        <v>661293.42417600006</v>
      </c>
      <c r="U31" s="12"/>
      <c r="V31" s="12">
        <f t="shared" si="5"/>
        <v>-32518.691073999973</v>
      </c>
      <c r="W31" s="21">
        <f t="shared" si="6"/>
        <v>-4.6869592443312368E-2</v>
      </c>
    </row>
    <row r="32" spans="1:23" x14ac:dyDescent="0.25">
      <c r="A32" s="368"/>
      <c r="B32" s="368" t="s">
        <v>56</v>
      </c>
      <c r="C32" s="368" t="s">
        <v>505</v>
      </c>
      <c r="E32" s="233">
        <f t="shared" si="0"/>
        <v>16</v>
      </c>
      <c r="F32" s="11" t="s">
        <v>726</v>
      </c>
      <c r="G32" s="233"/>
      <c r="H32" s="233"/>
      <c r="I32" s="13">
        <f>+INDEX('2025 Org Base Case BDs'!B:B,MATCH('2025 GSD Rate Class E-13c'!B32,'2025 Org Base Case BDs'!A:A,0))</f>
        <v>427280</v>
      </c>
      <c r="J32" s="12" t="s">
        <v>711</v>
      </c>
      <c r="K32" s="28">
        <f>+INDEX('2024 Base Rates'!E:E,MATCH('2025 GSD Rate Class E-13c'!C32,'2024 Base Rates'!D:D,0))</f>
        <v>1.193E-2</v>
      </c>
      <c r="L32" s="233"/>
      <c r="M32" s="12">
        <f t="shared" si="8"/>
        <v>5097.4503999999997</v>
      </c>
      <c r="N32" s="233"/>
      <c r="O32" s="226"/>
      <c r="P32" s="13">
        <f>+INDEX('2025 Billing Determinants'!B:B,MATCH('2025 GSD Rate Class E-13c'!B32,'2025 Billing Determinants'!A:A,0))</f>
        <v>390809</v>
      </c>
      <c r="Q32" s="12" t="s">
        <v>711</v>
      </c>
      <c r="R32" s="28">
        <f>+R29*'Time of Day Inputs'!$E$4</f>
        <v>1.2432E-2</v>
      </c>
      <c r="S32" s="233"/>
      <c r="T32" s="12">
        <f t="shared" si="9"/>
        <v>4858.5374879999999</v>
      </c>
      <c r="U32" s="233"/>
      <c r="V32" s="12">
        <f t="shared" si="5"/>
        <v>-238.91291199999978</v>
      </c>
      <c r="W32" s="21">
        <f t="shared" si="6"/>
        <v>-4.6869099893546741E-2</v>
      </c>
    </row>
    <row r="33" spans="1:23" x14ac:dyDescent="0.25">
      <c r="A33" s="368"/>
      <c r="B33" s="368" t="s">
        <v>58</v>
      </c>
      <c r="C33" s="368" t="s">
        <v>504</v>
      </c>
      <c r="E33" s="233">
        <f t="shared" si="0"/>
        <v>17</v>
      </c>
      <c r="F33" s="11" t="s">
        <v>727</v>
      </c>
      <c r="G33" s="233"/>
      <c r="H33" s="233"/>
      <c r="I33" s="13">
        <f>+INDEX('2025 Org Base Case BDs'!B:B,MATCH('2025 GSD Rate Class E-13c'!B33,'2025 Org Base Case BDs'!A:A,0))</f>
        <v>1404868632</v>
      </c>
      <c r="J33" s="12" t="s">
        <v>711</v>
      </c>
      <c r="K33" s="28">
        <f>+INDEX('2024 Base Rates'!E:E,MATCH('2025 GSD Rate Class E-13c'!C33,'2024 Base Rates'!D:D,0))</f>
        <v>5.7099999999999998E-3</v>
      </c>
      <c r="L33" s="233"/>
      <c r="M33" s="12">
        <f t="shared" si="8"/>
        <v>8021799.8887200002</v>
      </c>
      <c r="N33" s="233"/>
      <c r="O33" s="226"/>
      <c r="P33" s="13">
        <f>+INDEX('2025 Billing Determinants'!B:B,MATCH('2025 GSD Rate Class E-13c'!B33,'2025 Billing Determinants'!A:A,0))</f>
        <v>773068763</v>
      </c>
      <c r="Q33" s="12" t="s">
        <v>711</v>
      </c>
      <c r="R33" s="28">
        <f>+R30+'Time of Day Inputs'!$F$4</f>
        <v>8.1720000000000004E-3</v>
      </c>
      <c r="S33" s="233"/>
      <c r="T33" s="12">
        <f t="shared" si="9"/>
        <v>6317517.9312360007</v>
      </c>
      <c r="U33" s="12"/>
      <c r="V33" s="12">
        <f t="shared" si="5"/>
        <v>-1704281.9574839994</v>
      </c>
      <c r="W33" s="21">
        <f t="shared" si="6"/>
        <v>-0.21245630421178999</v>
      </c>
    </row>
    <row r="34" spans="1:23" x14ac:dyDescent="0.25">
      <c r="A34" s="368"/>
      <c r="B34" s="368" t="s">
        <v>59</v>
      </c>
      <c r="C34" s="368" t="s">
        <v>506</v>
      </c>
      <c r="E34" s="233">
        <f t="shared" si="0"/>
        <v>18</v>
      </c>
      <c r="F34" s="11" t="s">
        <v>728</v>
      </c>
      <c r="G34" s="15"/>
      <c r="H34" s="11"/>
      <c r="I34" s="13">
        <f>+INDEX('2025 Org Base Case BDs'!B:B,MATCH('2025 GSD Rate Class E-13c'!B34,'2025 Org Base Case BDs'!A:A,0))</f>
        <v>163285837</v>
      </c>
      <c r="J34" s="12" t="s">
        <v>711</v>
      </c>
      <c r="K34" s="28">
        <f>+INDEX('2024 Base Rates'!E:E,MATCH('2025 GSD Rate Class E-13c'!C34,'2024 Base Rates'!D:D,0))</f>
        <v>5.7099999999999998E-3</v>
      </c>
      <c r="L34" s="12"/>
      <c r="M34" s="12">
        <f t="shared" si="8"/>
        <v>932362.12926999992</v>
      </c>
      <c r="N34" s="12"/>
      <c r="O34" s="22"/>
      <c r="P34" s="13">
        <f>+INDEX('2025 Billing Determinants'!B:B,MATCH('2025 GSD Rate Class E-13c'!B34,'2025 Billing Determinants'!A:A,0))</f>
        <v>89852657</v>
      </c>
      <c r="Q34" s="12" t="s">
        <v>711</v>
      </c>
      <c r="R34" s="28">
        <f>+R31+'Time of Day Inputs'!$F$4</f>
        <v>8.1720000000000004E-3</v>
      </c>
      <c r="S34" s="12"/>
      <c r="T34" s="12">
        <f t="shared" si="9"/>
        <v>734275.91300400009</v>
      </c>
      <c r="U34" s="233"/>
      <c r="V34" s="12">
        <f t="shared" si="5"/>
        <v>-198086.21626599983</v>
      </c>
      <c r="W34" s="21">
        <f t="shared" si="6"/>
        <v>-0.21245630860306708</v>
      </c>
    </row>
    <row r="35" spans="1:23" x14ac:dyDescent="0.25">
      <c r="A35" s="368"/>
      <c r="B35" s="368" t="s">
        <v>60</v>
      </c>
      <c r="C35" s="368" t="s">
        <v>507</v>
      </c>
      <c r="E35" s="233">
        <f t="shared" si="0"/>
        <v>19</v>
      </c>
      <c r="F35" s="11" t="s">
        <v>729</v>
      </c>
      <c r="G35" s="233"/>
      <c r="H35" s="233"/>
      <c r="I35" s="13">
        <f>+INDEX('2025 Org Base Case BDs'!B:B,MATCH('2025 GSD Rate Class E-13c'!B35,'2025 Org Base Case BDs'!A:A,0))</f>
        <v>1192067</v>
      </c>
      <c r="J35" s="12" t="s">
        <v>711</v>
      </c>
      <c r="K35" s="28">
        <f>+INDEX('2024 Base Rates'!E:E,MATCH('2025 GSD Rate Class E-13c'!C35,'2024 Base Rates'!D:D,0))</f>
        <v>5.7099999999999998E-3</v>
      </c>
      <c r="L35" s="233"/>
      <c r="M35" s="12">
        <f t="shared" si="8"/>
        <v>6806.7025699999995</v>
      </c>
      <c r="N35" s="233"/>
      <c r="O35" s="226"/>
      <c r="P35" s="13">
        <f>+INDEX('2025 Billing Determinants'!B:B,MATCH('2025 GSD Rate Class E-13c'!B35,'2025 Billing Determinants'!A:A,0))</f>
        <v>655969</v>
      </c>
      <c r="Q35" s="12" t="s">
        <v>711</v>
      </c>
      <c r="R35" s="28">
        <f>+R32+'Time of Day Inputs'!$F$4</f>
        <v>8.1720000000000004E-3</v>
      </c>
      <c r="S35" s="233"/>
      <c r="T35" s="12">
        <f t="shared" si="9"/>
        <v>5360.5786680000001</v>
      </c>
      <c r="U35" s="233"/>
      <c r="V35" s="12">
        <f t="shared" si="5"/>
        <v>-1446.1239019999994</v>
      </c>
      <c r="W35" s="21">
        <f t="shared" si="6"/>
        <v>-0.21245586789316687</v>
      </c>
    </row>
    <row r="36" spans="1:23" x14ac:dyDescent="0.25">
      <c r="B36" s="368" t="s">
        <v>894</v>
      </c>
      <c r="C36" s="368" t="s">
        <v>1497</v>
      </c>
      <c r="E36" s="233">
        <f t="shared" si="0"/>
        <v>20</v>
      </c>
      <c r="F36" s="11" t="s">
        <v>1610</v>
      </c>
      <c r="G36" s="233"/>
      <c r="H36" s="233"/>
      <c r="I36" s="13">
        <v>0</v>
      </c>
      <c r="J36" s="12" t="s">
        <v>711</v>
      </c>
      <c r="K36" s="28">
        <v>0</v>
      </c>
      <c r="L36" s="233"/>
      <c r="M36" s="12">
        <f t="shared" ref="M36:M39" si="10">+I36*K36</f>
        <v>0</v>
      </c>
      <c r="N36" s="233"/>
      <c r="O36" s="226"/>
      <c r="P36" s="13">
        <f>+INDEX('2025 Billing Determinants'!B:B,MATCH('2025 GSD Rate Class E-13c'!B36,'2025 Billing Determinants'!A:A,0))</f>
        <v>674799755</v>
      </c>
      <c r="Q36" s="12" t="s">
        <v>711</v>
      </c>
      <c r="R36" s="28">
        <f>+R33+'Time of Day Inputs'!$G$4</f>
        <v>4.6120000000000006E-3</v>
      </c>
      <c r="S36" s="233"/>
      <c r="T36" s="12">
        <f t="shared" ref="T36:T38" si="11">+P36*R36</f>
        <v>3112176.4700600007</v>
      </c>
      <c r="U36" s="233"/>
      <c r="V36" s="12">
        <f t="shared" ref="V36:V38" si="12">+T36-M36</f>
        <v>3112176.4700600007</v>
      </c>
      <c r="W36" s="78" t="str">
        <f>+IFERROR(IF(V36=0,0,(T36-M36)/M36),"New Rate")</f>
        <v>New Rate</v>
      </c>
    </row>
    <row r="37" spans="1:23" x14ac:dyDescent="0.25">
      <c r="B37" s="368" t="s">
        <v>895</v>
      </c>
      <c r="C37" s="368" t="s">
        <v>1498</v>
      </c>
      <c r="E37" s="233">
        <f t="shared" si="0"/>
        <v>21</v>
      </c>
      <c r="F37" s="11" t="s">
        <v>1611</v>
      </c>
      <c r="G37" s="233"/>
      <c r="H37" s="233"/>
      <c r="I37" s="13">
        <v>0</v>
      </c>
      <c r="J37" s="12" t="s">
        <v>711</v>
      </c>
      <c r="K37" s="28">
        <v>0</v>
      </c>
      <c r="L37" s="233"/>
      <c r="M37" s="12">
        <f t="shared" si="10"/>
        <v>0</v>
      </c>
      <c r="N37" s="233"/>
      <c r="O37" s="226"/>
      <c r="P37" s="13">
        <f>+INDEX('2025 Billing Determinants'!B:B,MATCH('2025 GSD Rate Class E-13c'!B37,'2025 Billing Determinants'!A:A,0))</f>
        <v>78430994</v>
      </c>
      <c r="Q37" s="12" t="s">
        <v>711</v>
      </c>
      <c r="R37" s="28">
        <f>+R34+'Time of Day Inputs'!$G$4</f>
        <v>4.6120000000000006E-3</v>
      </c>
      <c r="S37" s="233"/>
      <c r="T37" s="12">
        <f t="shared" si="11"/>
        <v>361723.74432800006</v>
      </c>
      <c r="U37" s="233"/>
      <c r="V37" s="12">
        <f t="shared" si="12"/>
        <v>361723.74432800006</v>
      </c>
      <c r="W37" s="78" t="str">
        <f t="shared" ref="W37:W38" si="13">+IFERROR(IF(V37=0,0,(T37-M37)/M37),"New Rate")</f>
        <v>New Rate</v>
      </c>
    </row>
    <row r="38" spans="1:23" x14ac:dyDescent="0.25">
      <c r="B38" s="368" t="s">
        <v>896</v>
      </c>
      <c r="C38" s="368" t="s">
        <v>1499</v>
      </c>
      <c r="E38" s="233">
        <f t="shared" si="0"/>
        <v>22</v>
      </c>
      <c r="F38" s="11" t="s">
        <v>1612</v>
      </c>
      <c r="G38" s="233"/>
      <c r="H38" s="233"/>
      <c r="I38" s="13">
        <v>0</v>
      </c>
      <c r="J38" s="12" t="s">
        <v>711</v>
      </c>
      <c r="K38" s="28">
        <v>0</v>
      </c>
      <c r="L38" s="233"/>
      <c r="M38" s="12">
        <f t="shared" si="10"/>
        <v>0</v>
      </c>
      <c r="N38" s="233"/>
      <c r="O38" s="226"/>
      <c r="P38" s="13">
        <f>+INDEX('2025 Billing Determinants'!B:B,MATCH('2025 GSD Rate Class E-13c'!B38,'2025 Billing Determinants'!A:A,0))</f>
        <v>572587</v>
      </c>
      <c r="Q38" s="12" t="s">
        <v>711</v>
      </c>
      <c r="R38" s="28">
        <f>+R35+'Time of Day Inputs'!$G$4</f>
        <v>4.6120000000000006E-3</v>
      </c>
      <c r="S38" s="233"/>
      <c r="T38" s="12">
        <f t="shared" si="11"/>
        <v>2640.7712440000005</v>
      </c>
      <c r="U38" s="233"/>
      <c r="V38" s="12">
        <f t="shared" si="12"/>
        <v>2640.7712440000005</v>
      </c>
      <c r="W38" s="78" t="str">
        <f t="shared" si="13"/>
        <v>New Rate</v>
      </c>
    </row>
    <row r="39" spans="1:23" x14ac:dyDescent="0.25">
      <c r="A39" s="368"/>
      <c r="B39" s="368" t="s">
        <v>302</v>
      </c>
      <c r="C39" s="368" t="s">
        <v>1603</v>
      </c>
      <c r="E39" s="233">
        <f t="shared" si="0"/>
        <v>23</v>
      </c>
      <c r="F39" s="359" t="s">
        <v>1600</v>
      </c>
      <c r="I39" s="13">
        <f>+INDEX('2025 Billing Determinants'!B:B,MATCH('2025 GSD Rate Class E-13c'!B39,'2025 Billing Determinants'!A:A,0))</f>
        <v>14948840</v>
      </c>
      <c r="J39" s="12" t="s">
        <v>711</v>
      </c>
      <c r="K39" s="28">
        <v>6.3E-2</v>
      </c>
      <c r="M39" s="12">
        <f t="shared" si="10"/>
        <v>941776.92</v>
      </c>
      <c r="P39" s="13">
        <f>+INDEX('2025 Billing Determinants'!B:B,MATCH('2025 GSD Rate Class E-13c'!B39,'2025 Billing Determinants'!A:A,0))</f>
        <v>14948840</v>
      </c>
      <c r="Q39" s="12" t="s">
        <v>711</v>
      </c>
      <c r="R39" s="28">
        <v>6.3E-2</v>
      </c>
      <c r="T39" s="12">
        <f t="shared" ref="T39" si="14">+P39*R39</f>
        <v>941776.92</v>
      </c>
      <c r="U39" s="233"/>
      <c r="V39" s="12">
        <f t="shared" ref="V39" si="15">+T39-M39</f>
        <v>0</v>
      </c>
      <c r="W39" s="21">
        <f t="shared" ref="W39" si="16">+IF(V39=0,0,(T39-M39)/M39)</f>
        <v>0</v>
      </c>
    </row>
    <row r="40" spans="1:23" x14ac:dyDescent="0.25">
      <c r="A40" s="368"/>
      <c r="B40" s="368"/>
      <c r="C40" s="379"/>
      <c r="E40" s="233">
        <f t="shared" si="0"/>
        <v>24</v>
      </c>
      <c r="F40" s="38" t="s">
        <v>336</v>
      </c>
      <c r="G40" s="15"/>
      <c r="H40" s="233"/>
      <c r="I40" s="55">
        <f>+SUM(I27:I38)</f>
        <v>6732298086</v>
      </c>
      <c r="J40" s="12" t="s">
        <v>711</v>
      </c>
      <c r="K40" s="12"/>
      <c r="L40" s="12"/>
      <c r="M40" s="54">
        <f>+SUM(M27:M39)</f>
        <v>50473821.586379997</v>
      </c>
      <c r="N40" s="12"/>
      <c r="O40" s="22"/>
      <c r="P40" s="55">
        <f>+SUM(P27:P38)</f>
        <v>6732298086</v>
      </c>
      <c r="Q40" s="12" t="s">
        <v>711</v>
      </c>
      <c r="R40" s="12"/>
      <c r="S40" s="12"/>
      <c r="T40" s="54">
        <f>+SUM(T27:T39)</f>
        <v>53424761.468396001</v>
      </c>
      <c r="U40" s="233"/>
      <c r="V40" s="12">
        <f>+T40-M40</f>
        <v>2950939.8820160031</v>
      </c>
      <c r="W40" s="21">
        <f>+IF(V40=0,0,(T40-M40)/M40)</f>
        <v>5.8464760330576855E-2</v>
      </c>
    </row>
    <row r="41" spans="1:23" x14ac:dyDescent="0.25">
      <c r="A41" s="368"/>
      <c r="B41" s="368"/>
      <c r="C41" s="379"/>
      <c r="E41" s="233">
        <f t="shared" si="0"/>
        <v>25</v>
      </c>
      <c r="F41" s="233"/>
      <c r="G41" s="233"/>
      <c r="H41" s="233"/>
      <c r="I41" s="233"/>
      <c r="J41" s="233"/>
      <c r="K41" s="233"/>
      <c r="L41" s="233"/>
      <c r="M41" s="13"/>
      <c r="N41" s="233"/>
      <c r="O41" s="226"/>
      <c r="P41" s="233"/>
      <c r="Q41" s="233"/>
      <c r="R41" s="233"/>
      <c r="S41" s="233"/>
      <c r="T41" s="13"/>
      <c r="U41" s="233"/>
      <c r="V41" s="233"/>
      <c r="W41" s="233"/>
    </row>
    <row r="42" spans="1:23" x14ac:dyDescent="0.25">
      <c r="A42" s="368"/>
      <c r="B42" s="368"/>
      <c r="C42" s="379"/>
      <c r="E42" s="233">
        <f t="shared" si="0"/>
        <v>26</v>
      </c>
      <c r="F42" s="233" t="s">
        <v>380</v>
      </c>
      <c r="G42" s="15"/>
      <c r="H42" s="233"/>
      <c r="I42" s="233"/>
      <c r="J42" s="12"/>
      <c r="K42" s="12"/>
      <c r="L42" s="12"/>
      <c r="M42" s="30"/>
      <c r="N42" s="12"/>
      <c r="O42" s="22"/>
      <c r="P42" s="12"/>
      <c r="Q42" s="12"/>
      <c r="R42" s="12"/>
      <c r="S42" s="12"/>
      <c r="T42" s="30"/>
      <c r="U42" s="12"/>
      <c r="V42" s="12"/>
      <c r="W42" s="31"/>
    </row>
    <row r="43" spans="1:23" x14ac:dyDescent="0.25">
      <c r="A43" s="368" t="s">
        <v>8</v>
      </c>
      <c r="B43" s="368" t="s">
        <v>30</v>
      </c>
      <c r="C43" s="368" t="s">
        <v>513</v>
      </c>
      <c r="E43" s="233">
        <f t="shared" si="0"/>
        <v>27</v>
      </c>
      <c r="F43" s="11" t="s">
        <v>364</v>
      </c>
      <c r="G43" s="233"/>
      <c r="H43" s="233"/>
      <c r="I43" s="12">
        <f>+INDEX('2025 Org Base Case BDs'!B:B,MATCH('2025 GSD Rate Class E-13c'!A43,'2025 Org Base Case BDs'!A:A,0))+INDEX('2025 Org Base Case BDs'!B:B,MATCH('2025 GSD Rate Class E-13c'!B43,'2025 Org Base Case BDs'!A:A,0))</f>
        <v>11944362.060000001</v>
      </c>
      <c r="J43" s="12" t="s">
        <v>730</v>
      </c>
      <c r="K43" s="19">
        <f>+INDEX('2024 Base Rates'!E:E,MATCH('2025 GSD Rate Class E-13c'!C43,'2024 Base Rates'!D:D,0))</f>
        <v>14.2</v>
      </c>
      <c r="L43" s="12"/>
      <c r="M43" s="12">
        <f t="shared" ref="M43:M51" si="17">+I43*K43</f>
        <v>169609941.252</v>
      </c>
      <c r="N43" s="12"/>
      <c r="O43" s="22"/>
      <c r="P43" s="12">
        <f>+INDEX('2025 Billing Determinants'!B:B,MATCH('2025 GSD Rate Class E-13c'!A43,'2025 Billing Determinants'!A:A,0))+INDEX('2025 Billing Determinants'!B:B,MATCH('2025 GSD Rate Class E-13c'!B43,'2025 Billing Determinants'!A:A,0))</f>
        <v>11944362.060000001</v>
      </c>
      <c r="Q43" s="12" t="s">
        <v>730</v>
      </c>
      <c r="R43" s="19">
        <f>+INDEX('Unit Cost Rate Design Input'!D:D,MATCH('2025 GSD Rate Class E-13c'!C43,'Unit Cost Rate Design Input'!B:B,0))*(1+$C$7)-0.01</f>
        <v>19.61970957579716</v>
      </c>
      <c r="S43" s="12"/>
      <c r="T43" s="12">
        <f t="shared" ref="T43:T51" si="18">+P43*R43</f>
        <v>234344914.6853703</v>
      </c>
      <c r="U43" s="323"/>
      <c r="V43" s="12">
        <f t="shared" ref="V43:V52" si="19">+T43-M43</f>
        <v>64734973.433370292</v>
      </c>
      <c r="W43" s="21">
        <f t="shared" ref="W43:W52" si="20">+IF(V43=0,0,(T43-M43)/M43)</f>
        <v>0.38166968843641969</v>
      </c>
    </row>
    <row r="44" spans="1:23" x14ac:dyDescent="0.25">
      <c r="A44" s="368"/>
      <c r="B44" s="368" t="s">
        <v>31</v>
      </c>
      <c r="C44" s="368" t="s">
        <v>508</v>
      </c>
      <c r="E44" s="233">
        <f t="shared" si="0"/>
        <v>28</v>
      </c>
      <c r="F44" s="11" t="s">
        <v>365</v>
      </c>
      <c r="G44" s="15"/>
      <c r="H44" s="11"/>
      <c r="I44" s="13">
        <f>+INDEX('2025 Org Base Case BDs'!B:B,MATCH('2025 GSD Rate Class E-13c'!B44,'2025 Org Base Case BDs'!A:A,0))</f>
        <v>186303</v>
      </c>
      <c r="J44" s="12" t="s">
        <v>730</v>
      </c>
      <c r="K44" s="19">
        <f>+INDEX('2024 Base Rates'!E:E,MATCH('2025 GSD Rate Class E-13c'!C44,'2024 Base Rates'!D:D,0))</f>
        <v>14.2</v>
      </c>
      <c r="L44" s="12"/>
      <c r="M44" s="12">
        <f t="shared" si="17"/>
        <v>2645502.6</v>
      </c>
      <c r="N44" s="12"/>
      <c r="O44" s="22"/>
      <c r="P44" s="13">
        <f>+INDEX('2025 Billing Determinants'!B:B,MATCH('2025 GSD Rate Class E-13c'!B44,'2025 Billing Determinants'!A:A,0))</f>
        <v>186303</v>
      </c>
      <c r="Q44" s="12" t="s">
        <v>730</v>
      </c>
      <c r="R44" s="19">
        <f>+INDEX('Unit Cost Rate Design Input'!D:D,MATCH('2025 GSD Rate Class E-13c'!C44,'Unit Cost Rate Design Input'!B:B,0))*(1+$C$7)-0.01</f>
        <v>19.61970957579716</v>
      </c>
      <c r="S44" s="12"/>
      <c r="T44" s="12">
        <f t="shared" si="18"/>
        <v>3655210.7530997382</v>
      </c>
      <c r="U44" s="233"/>
      <c r="V44" s="12">
        <f t="shared" si="19"/>
        <v>1009708.1530997381</v>
      </c>
      <c r="W44" s="21">
        <f t="shared" si="20"/>
        <v>0.38166968843641963</v>
      </c>
    </row>
    <row r="45" spans="1:23" x14ac:dyDescent="0.25">
      <c r="A45" s="368"/>
      <c r="B45" s="368" t="s">
        <v>32</v>
      </c>
      <c r="C45" s="368" t="s">
        <v>509</v>
      </c>
      <c r="E45" s="233">
        <f t="shared" si="0"/>
        <v>29</v>
      </c>
      <c r="F45" s="359" t="s">
        <v>720</v>
      </c>
      <c r="G45" s="233"/>
      <c r="H45" s="233"/>
      <c r="I45" s="13">
        <f>+INDEX('2025 Org Base Case BDs'!B:B,MATCH('2025 GSD Rate Class E-13c'!B45,'2025 Org Base Case BDs'!A:A,0))</f>
        <v>0</v>
      </c>
      <c r="J45" s="12" t="s">
        <v>730</v>
      </c>
      <c r="K45" s="19">
        <f>+INDEX('2024 Base Rates'!E:E,MATCH('2025 GSD Rate Class E-13c'!C45,'2024 Base Rates'!D:D,0))</f>
        <v>14.2</v>
      </c>
      <c r="L45" s="233"/>
      <c r="M45" s="12">
        <f t="shared" si="17"/>
        <v>0</v>
      </c>
      <c r="N45" s="233"/>
      <c r="O45" s="226"/>
      <c r="P45" s="13">
        <f>+INDEX('2025 Billing Determinants'!B:B,MATCH('2025 GSD Rate Class E-13c'!B45,'2025 Billing Determinants'!A:A,0))</f>
        <v>0</v>
      </c>
      <c r="Q45" s="12" t="s">
        <v>730</v>
      </c>
      <c r="R45" s="19">
        <f>+INDEX('Unit Cost Rate Design Input'!D:D,MATCH('2025 GSD Rate Class E-13c'!C45,'Unit Cost Rate Design Input'!B:B,0))*(1+$C$7)-0.01</f>
        <v>19.61970957579716</v>
      </c>
      <c r="S45" s="233"/>
      <c r="T45" s="12">
        <f t="shared" si="18"/>
        <v>0</v>
      </c>
      <c r="U45" s="233"/>
      <c r="V45" s="12">
        <f t="shared" si="19"/>
        <v>0</v>
      </c>
      <c r="W45" s="21">
        <f t="shared" si="20"/>
        <v>0</v>
      </c>
    </row>
    <row r="46" spans="1:23" x14ac:dyDescent="0.25">
      <c r="A46" s="368"/>
      <c r="B46" s="368" t="s">
        <v>62</v>
      </c>
      <c r="C46" s="368" t="s">
        <v>822</v>
      </c>
      <c r="E46" s="233">
        <f t="shared" si="0"/>
        <v>30</v>
      </c>
      <c r="F46" s="11" t="s">
        <v>381</v>
      </c>
      <c r="G46" s="233"/>
      <c r="H46" s="233"/>
      <c r="I46" s="13">
        <f>+INDEX('2025 Org Base Case BDs'!B:B,MATCH('2025 GSD Rate Class E-13c'!B46,'2025 Org Base Case BDs'!A:A,0))</f>
        <v>3559566</v>
      </c>
      <c r="J46" s="12" t="s">
        <v>730</v>
      </c>
      <c r="K46" s="19">
        <f>+INDEX('2024 Base Rates'!E:E,MATCH('2025 GSD Rate Class E-13c'!C46,'2024 Base Rates'!D:D,0))</f>
        <v>4.55</v>
      </c>
      <c r="L46" s="12"/>
      <c r="M46" s="12">
        <f t="shared" si="17"/>
        <v>16196025.299999999</v>
      </c>
      <c r="N46" s="12"/>
      <c r="O46" s="22"/>
      <c r="P46" s="13">
        <f>+INDEX('2025 Billing Determinants'!B:B,MATCH('2025 GSD Rate Class E-13c'!B46,'2025 Billing Determinants'!A:A,0))</f>
        <v>3559503</v>
      </c>
      <c r="Q46" s="12" t="s">
        <v>730</v>
      </c>
      <c r="R46" s="19">
        <f>+INDEX('Unit Cost Rate Design Input'!D:D,MATCH('2025 GSD Rate Class E-13c'!C46,'Unit Cost Rate Design Input'!B:B,0))*(1+$C$7)-0.01</f>
        <v>5.0398852462260963</v>
      </c>
      <c r="S46" s="12"/>
      <c r="T46" s="12">
        <f t="shared" si="18"/>
        <v>17939486.65359753</v>
      </c>
      <c r="U46" s="233"/>
      <c r="V46" s="12">
        <f t="shared" si="19"/>
        <v>1743461.3535975311</v>
      </c>
      <c r="W46" s="21">
        <f t="shared" si="20"/>
        <v>0.10764748271895644</v>
      </c>
    </row>
    <row r="47" spans="1:23" x14ac:dyDescent="0.25">
      <c r="A47" s="368"/>
      <c r="B47" s="368" t="s">
        <v>63</v>
      </c>
      <c r="C47" s="368" t="s">
        <v>823</v>
      </c>
      <c r="E47" s="233">
        <f t="shared" si="0"/>
        <v>31</v>
      </c>
      <c r="F47" s="11" t="s">
        <v>382</v>
      </c>
      <c r="G47" s="233"/>
      <c r="H47" s="233"/>
      <c r="I47" s="13">
        <f>+INDEX('2025 Org Base Case BDs'!B:B,MATCH('2025 GSD Rate Class E-13c'!B47,'2025 Org Base Case BDs'!A:A,0))</f>
        <v>434177</v>
      </c>
      <c r="J47" s="12" t="s">
        <v>730</v>
      </c>
      <c r="K47" s="19">
        <f>+INDEX('2024 Base Rates'!E:E,MATCH('2025 GSD Rate Class E-13c'!C47,'2024 Base Rates'!D:D,0))</f>
        <v>4.55</v>
      </c>
      <c r="L47" s="12"/>
      <c r="M47" s="12">
        <f t="shared" si="17"/>
        <v>1975505.3499999999</v>
      </c>
      <c r="N47" s="12"/>
      <c r="O47" s="22"/>
      <c r="P47" s="13">
        <f>+INDEX('2025 Billing Determinants'!B:B,MATCH('2025 GSD Rate Class E-13c'!B47,'2025 Billing Determinants'!A:A,0))</f>
        <v>434239</v>
      </c>
      <c r="Q47" s="12" t="s">
        <v>730</v>
      </c>
      <c r="R47" s="19">
        <f>+INDEX('Unit Cost Rate Design Input'!D:D,MATCH('2025 GSD Rate Class E-13c'!C47,'Unit Cost Rate Design Input'!B:B,0))*(1+$C$7)-0.01</f>
        <v>5.0398852462260963</v>
      </c>
      <c r="S47" s="12"/>
      <c r="T47" s="12">
        <f t="shared" si="18"/>
        <v>2188514.7294359738</v>
      </c>
      <c r="U47" s="233"/>
      <c r="V47" s="12">
        <f t="shared" si="19"/>
        <v>213009.37943597394</v>
      </c>
      <c r="W47" s="21">
        <f t="shared" si="20"/>
        <v>0.10782526072934906</v>
      </c>
    </row>
    <row r="48" spans="1:23" x14ac:dyDescent="0.25">
      <c r="A48" s="368"/>
      <c r="B48" s="368" t="s">
        <v>64</v>
      </c>
      <c r="C48" s="368" t="s">
        <v>824</v>
      </c>
      <c r="E48" s="233">
        <f t="shared" si="0"/>
        <v>32</v>
      </c>
      <c r="F48" s="11" t="s">
        <v>731</v>
      </c>
      <c r="G48" s="233"/>
      <c r="H48" s="233"/>
      <c r="I48" s="13">
        <f>+INDEX('2025 Org Base Case BDs'!B:B,MATCH('2025 GSD Rate Class E-13c'!B48,'2025 Org Base Case BDs'!A:A,0))</f>
        <v>4837</v>
      </c>
      <c r="J48" s="12" t="s">
        <v>730</v>
      </c>
      <c r="K48" s="19">
        <f>+INDEX('2024 Base Rates'!E:E,MATCH('2025 GSD Rate Class E-13c'!C48,'2024 Base Rates'!D:D,0))</f>
        <v>4.55</v>
      </c>
      <c r="L48" s="233"/>
      <c r="M48" s="12">
        <f t="shared" si="17"/>
        <v>22008.35</v>
      </c>
      <c r="N48" s="233"/>
      <c r="O48" s="226"/>
      <c r="P48" s="13">
        <f>+INDEX('2025 Billing Determinants'!B:B,MATCH('2025 GSD Rate Class E-13c'!B48,'2025 Billing Determinants'!A:A,0))</f>
        <v>4837</v>
      </c>
      <c r="Q48" s="12" t="s">
        <v>730</v>
      </c>
      <c r="R48" s="19">
        <f>+INDEX('Unit Cost Rate Design Input'!D:D,MATCH('2025 GSD Rate Class E-13c'!C48,'Unit Cost Rate Design Input'!B:B,0))*(1+$C$7)-0.01</f>
        <v>5.0398852462260963</v>
      </c>
      <c r="S48" s="233"/>
      <c r="T48" s="12">
        <f t="shared" si="18"/>
        <v>24377.924935995627</v>
      </c>
      <c r="U48" s="233"/>
      <c r="V48" s="12">
        <f t="shared" si="19"/>
        <v>2369.574935995628</v>
      </c>
      <c r="W48" s="21">
        <f t="shared" si="20"/>
        <v>0.10766708708265854</v>
      </c>
    </row>
    <row r="49" spans="1:23" x14ac:dyDescent="0.25">
      <c r="A49" s="368"/>
      <c r="B49" s="368" t="s">
        <v>66</v>
      </c>
      <c r="C49" s="368" t="s">
        <v>825</v>
      </c>
      <c r="E49" s="233">
        <f t="shared" si="0"/>
        <v>33</v>
      </c>
      <c r="F49" s="11" t="s">
        <v>384</v>
      </c>
      <c r="G49" s="233"/>
      <c r="H49" s="233"/>
      <c r="I49" s="13">
        <f>+INDEX('2025 Org Base Case BDs'!B:B,MATCH('2025 GSD Rate Class E-13c'!B49,'2025 Org Base Case BDs'!A:A,0))</f>
        <v>3433414</v>
      </c>
      <c r="J49" s="12" t="s">
        <v>732</v>
      </c>
      <c r="K49" s="19">
        <f>+INDEX('2024 Base Rates'!E:E,MATCH('2025 GSD Rate Class E-13c'!C49,'2024 Base Rates'!D:D,0))</f>
        <v>9.2799999999999994</v>
      </c>
      <c r="L49" s="12"/>
      <c r="M49" s="12">
        <f t="shared" si="17"/>
        <v>31862081.919999998</v>
      </c>
      <c r="N49" s="12"/>
      <c r="O49" s="22"/>
      <c r="P49" s="13">
        <f>+INDEX('2025 Billing Determinants'!B:B,MATCH('2025 GSD Rate Class E-13c'!B49,'2025 Billing Determinants'!A:A,0))</f>
        <v>3433354</v>
      </c>
      <c r="Q49" s="12" t="s">
        <v>732</v>
      </c>
      <c r="R49" s="19">
        <f>+INDEX('Unit Cost Rate Design Input'!D:D,MATCH('2025 GSD Rate Class E-13c'!C49,'Unit Cost Rate Design Input'!B:B,0))*(1+$C$7)</f>
        <v>14.579824329571064</v>
      </c>
      <c r="S49" s="12"/>
      <c r="T49" s="12">
        <f t="shared" si="18"/>
        <v>50057698.181230128</v>
      </c>
      <c r="U49" s="233"/>
      <c r="V49" s="12">
        <f t="shared" si="19"/>
        <v>18195616.26123013</v>
      </c>
      <c r="W49" s="21">
        <f t="shared" si="20"/>
        <v>0.57107430414986926</v>
      </c>
    </row>
    <row r="50" spans="1:23" x14ac:dyDescent="0.25">
      <c r="A50" s="368"/>
      <c r="B50" s="368" t="s">
        <v>67</v>
      </c>
      <c r="C50" s="368" t="s">
        <v>826</v>
      </c>
      <c r="E50" s="233">
        <f t="shared" si="0"/>
        <v>34</v>
      </c>
      <c r="F50" s="11" t="s">
        <v>385</v>
      </c>
      <c r="G50" s="15"/>
      <c r="H50" s="11"/>
      <c r="I50" s="13">
        <f>+INDEX('2025 Org Base Case BDs'!B:B,MATCH('2025 GSD Rate Class E-13c'!B50,'2025 Org Base Case BDs'!A:A,0))</f>
        <v>420346</v>
      </c>
      <c r="J50" s="12" t="s">
        <v>732</v>
      </c>
      <c r="K50" s="19">
        <f>+INDEX('2024 Base Rates'!E:E,MATCH('2025 GSD Rate Class E-13c'!C50,'2024 Base Rates'!D:D,0))</f>
        <v>9.2799999999999994</v>
      </c>
      <c r="L50" s="12"/>
      <c r="M50" s="12">
        <f t="shared" si="17"/>
        <v>3900810.88</v>
      </c>
      <c r="N50" s="12"/>
      <c r="O50" s="22"/>
      <c r="P50" s="13">
        <f>+INDEX('2025 Billing Determinants'!B:B,MATCH('2025 GSD Rate Class E-13c'!B50,'2025 Billing Determinants'!A:A,0))</f>
        <v>420406</v>
      </c>
      <c r="Q50" s="12" t="s">
        <v>732</v>
      </c>
      <c r="R50" s="19">
        <f>+INDEX('Unit Cost Rate Design Input'!D:D,MATCH('2025 GSD Rate Class E-13c'!C50,'Unit Cost Rate Design Input'!B:B,0))*(1+$C$7)</f>
        <v>14.579824329571064</v>
      </c>
      <c r="S50" s="12"/>
      <c r="T50" s="12">
        <f t="shared" si="18"/>
        <v>6129445.6270976532</v>
      </c>
      <c r="U50" s="233"/>
      <c r="V50" s="12">
        <f t="shared" si="19"/>
        <v>2228634.7470976533</v>
      </c>
      <c r="W50" s="21">
        <f t="shared" si="20"/>
        <v>0.57132601801440153</v>
      </c>
    </row>
    <row r="51" spans="1:23" x14ac:dyDescent="0.25">
      <c r="A51" s="368"/>
      <c r="B51" s="368" t="s">
        <v>68</v>
      </c>
      <c r="C51" s="368" t="s">
        <v>827</v>
      </c>
      <c r="E51" s="233">
        <f t="shared" si="0"/>
        <v>35</v>
      </c>
      <c r="F51" s="11" t="s">
        <v>733</v>
      </c>
      <c r="G51" s="233"/>
      <c r="H51" s="233"/>
      <c r="I51" s="13">
        <f>+INDEX('2025 Org Base Case BDs'!B:B,MATCH('2025 GSD Rate Class E-13c'!B51,'2025 Org Base Case BDs'!A:A,0))</f>
        <v>4519</v>
      </c>
      <c r="J51" s="12" t="s">
        <v>732</v>
      </c>
      <c r="K51" s="19">
        <f>+INDEX('2024 Base Rates'!E:E,MATCH('2025 GSD Rate Class E-13c'!C51,'2024 Base Rates'!D:D,0))</f>
        <v>9.2799999999999994</v>
      </c>
      <c r="L51" s="233"/>
      <c r="M51" s="12">
        <f t="shared" si="17"/>
        <v>41936.32</v>
      </c>
      <c r="N51" s="233"/>
      <c r="O51" s="226"/>
      <c r="P51" s="13">
        <f>+INDEX('2025 Billing Determinants'!B:B,MATCH('2025 GSD Rate Class E-13c'!B51,'2025 Billing Determinants'!A:A,0))</f>
        <v>4519</v>
      </c>
      <c r="Q51" s="12" t="s">
        <v>732</v>
      </c>
      <c r="R51" s="19">
        <f>+INDEX('Unit Cost Rate Design Input'!D:D,MATCH('2025 GSD Rate Class E-13c'!C51,'Unit Cost Rate Design Input'!B:B,0))*(1+$C$7)</f>
        <v>14.579824329571064</v>
      </c>
      <c r="S51" s="233"/>
      <c r="T51" s="12">
        <f t="shared" si="18"/>
        <v>65886.226145331646</v>
      </c>
      <c r="U51" s="233"/>
      <c r="V51" s="12">
        <f t="shared" si="19"/>
        <v>23949.906145331646</v>
      </c>
      <c r="W51" s="21">
        <f t="shared" si="20"/>
        <v>0.57110175965205445</v>
      </c>
    </row>
    <row r="52" spans="1:23" ht="15" customHeight="1" x14ac:dyDescent="0.25">
      <c r="A52" s="368"/>
      <c r="B52" s="368"/>
      <c r="C52" s="368"/>
      <c r="E52" s="233">
        <f t="shared" si="0"/>
        <v>36</v>
      </c>
      <c r="F52" s="2" t="s">
        <v>331</v>
      </c>
      <c r="G52" s="15"/>
      <c r="H52" s="233"/>
      <c r="I52" s="55">
        <f>+SUM(I43:I48)</f>
        <v>16129245.060000001</v>
      </c>
      <c r="J52" s="12" t="s">
        <v>730</v>
      </c>
      <c r="K52" s="19"/>
      <c r="L52" s="12"/>
      <c r="M52" s="54">
        <f>+SUM(M43:M51)</f>
        <v>226253811.97199997</v>
      </c>
      <c r="N52" s="12"/>
      <c r="O52" s="22"/>
      <c r="P52" s="55">
        <f>+SUM(P43:P48)</f>
        <v>16129244.060000001</v>
      </c>
      <c r="Q52" s="12" t="s">
        <v>730</v>
      </c>
      <c r="R52" s="30"/>
      <c r="S52" s="12"/>
      <c r="T52" s="54">
        <f>+SUM(T43:T51)</f>
        <v>314405534.78091264</v>
      </c>
      <c r="U52" s="12"/>
      <c r="V52" s="12">
        <f t="shared" si="19"/>
        <v>88151722.808912665</v>
      </c>
      <c r="W52" s="21">
        <f t="shared" si="20"/>
        <v>0.38961430987877399</v>
      </c>
    </row>
    <row r="53" spans="1:23" x14ac:dyDescent="0.25">
      <c r="A53" s="368"/>
      <c r="B53" s="368"/>
      <c r="C53" s="368"/>
      <c r="E53" s="233">
        <f t="shared" si="0"/>
        <v>37</v>
      </c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368"/>
      <c r="B54" s="368"/>
      <c r="C54" s="368"/>
      <c r="E54" s="233">
        <f t="shared" si="0"/>
        <v>38</v>
      </c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12"/>
      <c r="Q54" s="12"/>
      <c r="R54" s="12"/>
      <c r="S54" s="12"/>
      <c r="T54" s="12"/>
      <c r="U54" s="12"/>
      <c r="V54" s="12"/>
      <c r="W54" s="12"/>
    </row>
    <row r="55" spans="1:23" ht="15.75" thickBot="1" x14ac:dyDescent="0.3">
      <c r="A55" s="368"/>
      <c r="B55" s="368"/>
      <c r="C55" s="368"/>
      <c r="E55" s="306">
        <f t="shared" si="0"/>
        <v>39</v>
      </c>
      <c r="F55" s="306"/>
      <c r="G55" s="306"/>
      <c r="H55" s="306"/>
      <c r="I55" s="306"/>
      <c r="J55" s="306"/>
      <c r="K55" s="306"/>
      <c r="L55" s="306"/>
      <c r="M55" s="306"/>
      <c r="N55" s="306"/>
      <c r="O55" s="314"/>
      <c r="P55" s="306"/>
      <c r="Q55" s="306"/>
      <c r="R55" s="306"/>
      <c r="S55" s="306"/>
      <c r="T55" s="306"/>
      <c r="U55" s="306"/>
      <c r="V55" s="306"/>
      <c r="W55" s="326"/>
    </row>
    <row r="56" spans="1:23" x14ac:dyDescent="0.25">
      <c r="A56" s="368"/>
      <c r="B56" s="368"/>
      <c r="C56" s="368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26"/>
      <c r="P56" s="233"/>
      <c r="Q56" s="233"/>
      <c r="R56" s="233"/>
      <c r="S56" s="233"/>
      <c r="T56" s="233"/>
      <c r="U56" s="233"/>
      <c r="V56" s="233"/>
      <c r="W56" s="233" t="s">
        <v>304</v>
      </c>
    </row>
    <row r="57" spans="1:23" x14ac:dyDescent="0.25">
      <c r="A57" s="368"/>
      <c r="B57" s="368"/>
      <c r="C57" s="368"/>
      <c r="E57" s="233"/>
      <c r="F57" s="233"/>
      <c r="G57" s="233"/>
      <c r="H57" s="233"/>
      <c r="I57" s="233"/>
      <c r="J57" s="233"/>
      <c r="K57" s="233"/>
      <c r="L57" s="590"/>
      <c r="M57" s="590"/>
      <c r="N57" s="590"/>
      <c r="O57" s="590"/>
      <c r="P57" s="590"/>
      <c r="Q57" s="233"/>
      <c r="R57" s="233"/>
      <c r="S57" s="233"/>
      <c r="T57" s="233"/>
      <c r="U57" s="233"/>
      <c r="V57" s="233"/>
      <c r="W57" s="233"/>
    </row>
    <row r="58" spans="1:23" ht="15.75" thickBot="1" x14ac:dyDescent="0.3">
      <c r="A58" s="368"/>
      <c r="B58" s="368"/>
      <c r="C58" s="368"/>
      <c r="E58" s="306" t="s">
        <v>305</v>
      </c>
      <c r="F58" s="306"/>
      <c r="G58" s="306"/>
      <c r="H58" s="306"/>
      <c r="I58" s="306"/>
      <c r="J58" s="306"/>
      <c r="K58" s="306"/>
      <c r="L58" s="591" t="s">
        <v>306</v>
      </c>
      <c r="M58" s="591"/>
      <c r="N58" s="591"/>
      <c r="O58" s="591"/>
      <c r="P58" s="591"/>
      <c r="Q58" s="306"/>
      <c r="R58" s="306"/>
      <c r="S58" s="306"/>
      <c r="T58" s="306"/>
      <c r="U58" s="306"/>
      <c r="V58" s="306"/>
      <c r="W58" s="326" t="s">
        <v>879</v>
      </c>
    </row>
    <row r="59" spans="1:23" x14ac:dyDescent="0.25">
      <c r="A59" s="368"/>
      <c r="B59" s="368"/>
      <c r="C59" s="368"/>
      <c r="E59" s="233" t="s">
        <v>307</v>
      </c>
      <c r="F59" s="233"/>
      <c r="G59" s="233"/>
      <c r="H59" s="233"/>
      <c r="I59" s="233" t="s">
        <v>308</v>
      </c>
      <c r="J59" s="233" t="s">
        <v>913</v>
      </c>
      <c r="K59" s="233"/>
      <c r="L59" s="233"/>
      <c r="M59" s="233"/>
      <c r="N59" s="233"/>
      <c r="O59" s="316"/>
      <c r="P59" s="309"/>
      <c r="Q59" s="233"/>
      <c r="R59" s="309"/>
      <c r="S59" s="309"/>
      <c r="T59" s="309" t="s">
        <v>309</v>
      </c>
      <c r="U59" s="233"/>
      <c r="V59" s="233"/>
      <c r="W59" s="310"/>
    </row>
    <row r="60" spans="1:23" x14ac:dyDescent="0.25">
      <c r="A60" s="368"/>
      <c r="B60" s="368"/>
      <c r="C60" s="368"/>
      <c r="E60" s="233"/>
      <c r="F60" s="233"/>
      <c r="G60" s="233"/>
      <c r="H60" s="233"/>
      <c r="I60" s="233"/>
      <c r="J60" s="233" t="s">
        <v>914</v>
      </c>
      <c r="K60" s="233"/>
      <c r="L60" s="233"/>
      <c r="M60" s="233"/>
      <c r="N60" s="233"/>
      <c r="O60" s="226"/>
      <c r="P60" s="310"/>
      <c r="Q60" s="233"/>
      <c r="R60" s="233"/>
      <c r="S60" s="311"/>
      <c r="T60" s="311" t="s">
        <v>919</v>
      </c>
      <c r="U60" s="310" t="s">
        <v>920</v>
      </c>
      <c r="V60" s="233"/>
      <c r="W60" s="311"/>
    </row>
    <row r="61" spans="1:23" x14ac:dyDescent="0.25">
      <c r="A61" s="368"/>
      <c r="B61" s="368"/>
      <c r="C61" s="368"/>
      <c r="E61" s="233" t="s">
        <v>310</v>
      </c>
      <c r="F61" s="233"/>
      <c r="G61" s="233"/>
      <c r="H61" s="233"/>
      <c r="I61" s="233"/>
      <c r="J61" s="233" t="s">
        <v>915</v>
      </c>
      <c r="K61" s="233"/>
      <c r="L61" s="233"/>
      <c r="M61" s="233"/>
      <c r="N61" s="233"/>
      <c r="O61" s="226"/>
      <c r="P61" s="310"/>
      <c r="Q61" s="311"/>
      <c r="R61" s="233"/>
      <c r="S61" s="233"/>
      <c r="T61" s="311"/>
      <c r="U61" s="310" t="s">
        <v>937</v>
      </c>
      <c r="V61" s="233"/>
      <c r="W61" s="311"/>
    </row>
    <row r="62" spans="1:23" x14ac:dyDescent="0.25">
      <c r="A62" s="368"/>
      <c r="B62" s="368"/>
      <c r="C62" s="368"/>
      <c r="E62" s="233"/>
      <c r="F62" s="233"/>
      <c r="G62" s="233"/>
      <c r="H62" s="233"/>
      <c r="I62" s="233"/>
      <c r="J62" s="233" t="s">
        <v>916</v>
      </c>
      <c r="K62" s="233"/>
      <c r="L62" s="233"/>
      <c r="M62" s="233"/>
      <c r="N62" s="233"/>
      <c r="O62" s="226"/>
      <c r="P62" s="310"/>
      <c r="Q62" s="311"/>
      <c r="R62" s="233"/>
      <c r="S62" s="233"/>
      <c r="T62" s="311"/>
      <c r="U62" s="310" t="s">
        <v>938</v>
      </c>
      <c r="V62" s="233"/>
      <c r="W62" s="311"/>
    </row>
    <row r="63" spans="1:23" x14ac:dyDescent="0.25">
      <c r="A63" s="368"/>
      <c r="B63" s="368"/>
      <c r="C63" s="368"/>
      <c r="E63" s="233"/>
      <c r="F63" s="233"/>
      <c r="G63" s="311"/>
      <c r="H63" s="233"/>
      <c r="I63" s="233"/>
      <c r="J63" s="233" t="s">
        <v>917</v>
      </c>
      <c r="K63" s="233"/>
      <c r="L63" s="317"/>
      <c r="M63" s="317"/>
      <c r="N63" s="317"/>
      <c r="O63" s="226"/>
      <c r="P63" s="233"/>
      <c r="Q63" s="233"/>
      <c r="R63" s="233"/>
      <c r="S63" s="233"/>
      <c r="T63" s="233"/>
      <c r="U63" s="233" t="s">
        <v>311</v>
      </c>
      <c r="V63" s="233"/>
      <c r="W63" s="233"/>
    </row>
    <row r="64" spans="1:23" ht="15.75" thickBot="1" x14ac:dyDescent="0.3">
      <c r="A64" s="368"/>
      <c r="B64" s="368"/>
      <c r="C64" s="368"/>
      <c r="E64" s="306" t="s">
        <v>1642</v>
      </c>
      <c r="F64" s="306"/>
      <c r="G64" s="326"/>
      <c r="H64" s="319"/>
      <c r="I64" s="319"/>
      <c r="J64" s="361" t="s">
        <v>918</v>
      </c>
      <c r="K64" s="361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</row>
    <row r="65" spans="1:23" x14ac:dyDescent="0.25">
      <c r="A65" s="368"/>
      <c r="B65" s="368"/>
      <c r="C65" s="368"/>
      <c r="E65" s="233"/>
      <c r="F65" s="233"/>
      <c r="G65" s="233"/>
      <c r="H65" s="233"/>
      <c r="I65" s="317"/>
      <c r="J65" s="233"/>
      <c r="K65" s="317"/>
      <c r="L65" s="362"/>
      <c r="M65" s="317"/>
      <c r="N65" s="233"/>
      <c r="O65" s="317"/>
      <c r="P65" s="233"/>
      <c r="Q65" s="362"/>
      <c r="R65" s="233"/>
      <c r="S65" s="233"/>
      <c r="T65" s="233"/>
      <c r="U65" s="233"/>
      <c r="V65" s="233"/>
      <c r="W65" s="233"/>
    </row>
    <row r="66" spans="1:23" x14ac:dyDescent="0.25">
      <c r="A66" s="368"/>
      <c r="B66" s="368"/>
      <c r="C66" s="368"/>
      <c r="E66" s="233"/>
      <c r="F66" s="233"/>
      <c r="G66" s="233"/>
      <c r="H66" s="233"/>
      <c r="I66" s="362"/>
      <c r="J66" s="233"/>
      <c r="K66" s="233"/>
      <c r="L66" s="362"/>
      <c r="M66" s="233"/>
      <c r="N66" s="233"/>
      <c r="O66" s="317"/>
      <c r="P66" s="233"/>
      <c r="Q66" s="362"/>
      <c r="R66" s="233"/>
      <c r="S66" s="233"/>
      <c r="T66" s="233"/>
      <c r="U66" s="233"/>
      <c r="V66" s="233"/>
      <c r="W66" s="233"/>
    </row>
    <row r="67" spans="1:23" x14ac:dyDescent="0.25">
      <c r="A67" s="368"/>
      <c r="B67" s="368"/>
      <c r="C67" s="368"/>
      <c r="E67" s="233"/>
      <c r="F67" s="233"/>
      <c r="G67" s="233"/>
      <c r="H67" s="233"/>
      <c r="I67" s="233"/>
      <c r="J67" s="362"/>
      <c r="K67" s="362"/>
      <c r="L67" s="363"/>
      <c r="M67" s="363" t="s">
        <v>312</v>
      </c>
      <c r="N67" s="317"/>
      <c r="O67" s="364" t="s">
        <v>719</v>
      </c>
      <c r="P67" s="362"/>
      <c r="Q67" s="233"/>
      <c r="R67" s="362"/>
      <c r="S67" s="362"/>
      <c r="T67" s="362"/>
      <c r="U67" s="362"/>
      <c r="V67" s="362"/>
      <c r="W67" s="233"/>
    </row>
    <row r="68" spans="1:23" x14ac:dyDescent="0.25">
      <c r="A68" s="368"/>
      <c r="B68" s="368"/>
      <c r="C68" s="368"/>
      <c r="E68" s="233"/>
      <c r="F68" s="233"/>
      <c r="G68" s="233"/>
      <c r="H68" s="233"/>
      <c r="I68" s="233"/>
      <c r="J68" s="362"/>
      <c r="K68" s="362"/>
      <c r="L68" s="362"/>
      <c r="M68" s="362"/>
      <c r="N68" s="362"/>
      <c r="O68" s="317"/>
      <c r="P68" s="362"/>
      <c r="Q68" s="362"/>
      <c r="R68" s="362"/>
      <c r="S68" s="362"/>
      <c r="T68" s="362"/>
      <c r="U68" s="362"/>
      <c r="V68" s="362"/>
      <c r="W68" s="362"/>
    </row>
    <row r="69" spans="1:23" x14ac:dyDescent="0.25">
      <c r="A69" s="368"/>
      <c r="B69" s="368"/>
      <c r="C69" s="368"/>
      <c r="E69" s="226" t="s">
        <v>314</v>
      </c>
      <c r="F69" s="371" t="s">
        <v>315</v>
      </c>
      <c r="G69" s="2"/>
      <c r="H69" s="3"/>
      <c r="I69" s="4"/>
      <c r="J69" s="4"/>
      <c r="K69" s="5" t="s">
        <v>316</v>
      </c>
      <c r="L69" s="4"/>
      <c r="M69" s="4"/>
      <c r="N69" s="2"/>
      <c r="O69" s="6"/>
      <c r="P69" s="4"/>
      <c r="Q69" s="5"/>
      <c r="R69" s="5" t="s">
        <v>317</v>
      </c>
      <c r="S69" s="4"/>
      <c r="T69" s="4"/>
      <c r="U69" s="2"/>
      <c r="V69" s="7" t="s">
        <v>318</v>
      </c>
      <c r="W69" s="7" t="s">
        <v>319</v>
      </c>
    </row>
    <row r="70" spans="1:23" ht="15.75" thickBot="1" x14ac:dyDescent="0.3">
      <c r="A70" s="216" t="s">
        <v>810</v>
      </c>
      <c r="B70" s="216" t="s">
        <v>552</v>
      </c>
      <c r="C70" s="216" t="s">
        <v>553</v>
      </c>
      <c r="E70" s="314" t="s">
        <v>320</v>
      </c>
      <c r="F70" s="367" t="s">
        <v>321</v>
      </c>
      <c r="G70" s="8"/>
      <c r="H70" s="306"/>
      <c r="I70" s="314" t="s">
        <v>322</v>
      </c>
      <c r="J70" s="9"/>
      <c r="K70" s="9" t="s">
        <v>323</v>
      </c>
      <c r="L70" s="9"/>
      <c r="M70" s="9" t="s">
        <v>324</v>
      </c>
      <c r="N70" s="8"/>
      <c r="O70" s="9"/>
      <c r="P70" s="9" t="s">
        <v>322</v>
      </c>
      <c r="Q70" s="9"/>
      <c r="R70" s="9" t="s">
        <v>323</v>
      </c>
      <c r="S70" s="9"/>
      <c r="T70" s="9" t="s">
        <v>324</v>
      </c>
      <c r="U70" s="8"/>
      <c r="V70" s="10" t="s">
        <v>325</v>
      </c>
      <c r="W70" s="10" t="s">
        <v>326</v>
      </c>
    </row>
    <row r="71" spans="1:23" x14ac:dyDescent="0.25">
      <c r="A71" s="368"/>
      <c r="B71" s="368"/>
      <c r="C71" s="368"/>
      <c r="E71" s="233">
        <v>1</v>
      </c>
      <c r="F71" s="592" t="s">
        <v>811</v>
      </c>
      <c r="G71" s="592"/>
      <c r="H71" s="592"/>
      <c r="I71" s="233"/>
      <c r="J71" s="15"/>
      <c r="K71" s="15"/>
      <c r="L71" s="15"/>
      <c r="M71" s="15"/>
      <c r="N71" s="11"/>
      <c r="O71" s="6"/>
      <c r="P71" s="11"/>
      <c r="Q71" s="15"/>
      <c r="R71" s="15"/>
      <c r="S71" s="15"/>
      <c r="T71" s="15"/>
      <c r="U71" s="15"/>
      <c r="V71" s="15"/>
      <c r="W71" s="15"/>
    </row>
    <row r="72" spans="1:23" x14ac:dyDescent="0.25">
      <c r="A72" s="368"/>
      <c r="B72" s="368"/>
      <c r="C72" s="368"/>
      <c r="E72" s="233">
        <v>2</v>
      </c>
      <c r="F72" s="233"/>
      <c r="G72" s="233"/>
      <c r="H72" s="233"/>
      <c r="I72" s="233"/>
      <c r="J72" s="233"/>
      <c r="K72" s="233"/>
      <c r="L72" s="233"/>
      <c r="M72" s="233"/>
      <c r="N72" s="233"/>
      <c r="O72" s="226"/>
      <c r="P72" s="233"/>
      <c r="Q72" s="233"/>
      <c r="R72" s="233"/>
      <c r="S72" s="233"/>
      <c r="T72" s="233"/>
      <c r="U72" s="233"/>
      <c r="V72" s="233"/>
      <c r="W72" s="233"/>
    </row>
    <row r="73" spans="1:23" x14ac:dyDescent="0.25">
      <c r="A73" s="368"/>
      <c r="B73" s="368"/>
      <c r="C73" s="368"/>
      <c r="E73" s="233">
        <v>3</v>
      </c>
      <c r="F73" s="11" t="s">
        <v>734</v>
      </c>
      <c r="G73" s="233"/>
      <c r="H73" s="233"/>
      <c r="I73" s="233"/>
      <c r="J73" s="233"/>
      <c r="K73" s="233"/>
      <c r="L73" s="233"/>
      <c r="M73" s="13"/>
      <c r="N73" s="233"/>
      <c r="O73" s="226"/>
      <c r="P73" s="233"/>
      <c r="Q73" s="233"/>
      <c r="R73" s="233"/>
      <c r="S73" s="233"/>
      <c r="T73" s="13"/>
      <c r="U73" s="233"/>
      <c r="V73" s="233"/>
      <c r="W73" s="233"/>
    </row>
    <row r="74" spans="1:23" x14ac:dyDescent="0.25">
      <c r="A74" s="368"/>
      <c r="B74" s="368" t="s">
        <v>34</v>
      </c>
      <c r="C74" s="368" t="s">
        <v>525</v>
      </c>
      <c r="E74" s="233">
        <v>4</v>
      </c>
      <c r="F74" s="11" t="s">
        <v>388</v>
      </c>
      <c r="G74" s="15"/>
      <c r="H74" s="233"/>
      <c r="I74" s="13">
        <f>+INDEX('2025 Org Base Case BDs'!B:B,MATCH('2025 GSD Rate Class E-13c'!B74,'2025 Org Base Case BDs'!A:A,0))</f>
        <v>128245</v>
      </c>
      <c r="J74" s="12" t="s">
        <v>730</v>
      </c>
      <c r="K74" s="19">
        <f>+INDEX('2024 Base Rates'!E:E,MATCH('2025 GSD Rate Class E-13c'!C74,'2024 Base Rates'!D:D,0))</f>
        <v>-0.49</v>
      </c>
      <c r="L74" s="12"/>
      <c r="M74" s="12">
        <f>+I74*K74</f>
        <v>-62840.049999999996</v>
      </c>
      <c r="N74" s="12"/>
      <c r="O74" s="22"/>
      <c r="P74" s="13">
        <f>+INDEX('2025 Billing Determinants'!B:B,MATCH('2025 GSD Rate Class E-13c'!B74,'2025 Billing Determinants'!A:A,0))</f>
        <v>128245</v>
      </c>
      <c r="Q74" s="12" t="s">
        <v>730</v>
      </c>
      <c r="R74" s="19">
        <f>+INDEX('Unit Cost Rate Design Input'!D:D,MATCH('2025 GSD Rate Class E-13c'!C74,'Unit Cost Rate Design Input'!B:B,0))</f>
        <v>-0.54</v>
      </c>
      <c r="S74" s="12"/>
      <c r="T74" s="12">
        <f>+P74*R74</f>
        <v>-69252.3</v>
      </c>
      <c r="U74" s="233"/>
      <c r="V74" s="12">
        <f>+T74-M74</f>
        <v>-6412.2500000000073</v>
      </c>
      <c r="W74" s="21">
        <f>+IF(V74=0,0,(T74-M74)/M74)</f>
        <v>0.10204081632653074</v>
      </c>
    </row>
    <row r="75" spans="1:23" x14ac:dyDescent="0.25">
      <c r="A75" s="368"/>
      <c r="B75" s="368" t="s">
        <v>35</v>
      </c>
      <c r="C75" s="368" t="s">
        <v>520</v>
      </c>
      <c r="E75" s="233">
        <v>5</v>
      </c>
      <c r="F75" s="359" t="s">
        <v>720</v>
      </c>
      <c r="G75" s="233"/>
      <c r="H75" s="233"/>
      <c r="I75" s="13">
        <f>+INDEX('2025 Org Base Case BDs'!B:B,MATCH('2025 GSD Rate Class E-13c'!B75,'2025 Org Base Case BDs'!A:A,0))</f>
        <v>0</v>
      </c>
      <c r="J75" s="12" t="s">
        <v>730</v>
      </c>
      <c r="K75" s="19">
        <f>+INDEX('2024 Base Rates'!E:E,MATCH('2025 GSD Rate Class E-13c'!C75,'2024 Base Rates'!D:D,0))</f>
        <v>-2.06</v>
      </c>
      <c r="L75" s="233"/>
      <c r="M75" s="12">
        <f>+I75*K75</f>
        <v>0</v>
      </c>
      <c r="N75" s="233"/>
      <c r="O75" s="226"/>
      <c r="P75" s="13">
        <f>+INDEX('2025 Billing Determinants'!B:B,MATCH('2025 GSD Rate Class E-13c'!B75,'2025 Billing Determinants'!A:A,0))</f>
        <v>0</v>
      </c>
      <c r="Q75" s="12" t="s">
        <v>730</v>
      </c>
      <c r="R75" s="19">
        <f>+INDEX('Unit Cost Rate Design Input'!D:D,MATCH('2025 GSD Rate Class E-13c'!C75,'Unit Cost Rate Design Input'!B:B,0))</f>
        <v>-3.09</v>
      </c>
      <c r="S75" s="233"/>
      <c r="T75" s="12">
        <f>+P75*R75</f>
        <v>0</v>
      </c>
      <c r="U75" s="233"/>
      <c r="V75" s="12">
        <f>+T75-M75</f>
        <v>0</v>
      </c>
      <c r="W75" s="21">
        <f>+IF(V75=0,0,(T75-M75)/M75)</f>
        <v>0</v>
      </c>
    </row>
    <row r="76" spans="1:23" x14ac:dyDescent="0.25">
      <c r="A76" s="368"/>
      <c r="B76" s="368" t="s">
        <v>70</v>
      </c>
      <c r="C76" s="368" t="s">
        <v>523</v>
      </c>
      <c r="E76" s="233">
        <v>6</v>
      </c>
      <c r="F76" s="11" t="s">
        <v>735</v>
      </c>
      <c r="G76" s="233"/>
      <c r="H76" s="233"/>
      <c r="I76" s="13">
        <f>+INDEX('2025 Org Base Case BDs'!B:B,MATCH('2025 GSD Rate Class E-13c'!B76,'2025 Org Base Case BDs'!A:A,0))</f>
        <v>68661</v>
      </c>
      <c r="J76" s="12" t="s">
        <v>730</v>
      </c>
      <c r="K76" s="19">
        <f>+INDEX('2024 Base Rates'!E:E,MATCH('2025 GSD Rate Class E-13c'!C76,'2024 Base Rates'!D:D,0))</f>
        <v>-0.49</v>
      </c>
      <c r="L76" s="233"/>
      <c r="M76" s="12">
        <f>+I76*K76</f>
        <v>-33643.89</v>
      </c>
      <c r="N76" s="12"/>
      <c r="O76" s="22"/>
      <c r="P76" s="13">
        <f>+INDEX('2025 Billing Determinants'!B:B,MATCH('2025 GSD Rate Class E-13c'!B76,'2025 Billing Determinants'!A:A,0))</f>
        <v>68661</v>
      </c>
      <c r="Q76" s="12" t="s">
        <v>730</v>
      </c>
      <c r="R76" s="19">
        <f>+INDEX('Unit Cost Rate Design Input'!D:D,MATCH('2025 GSD Rate Class E-13c'!C76,'Unit Cost Rate Design Input'!B:B,0))</f>
        <v>-0.54</v>
      </c>
      <c r="S76" s="233"/>
      <c r="T76" s="12">
        <f>+P76*R76</f>
        <v>-37076.94</v>
      </c>
      <c r="U76" s="12"/>
      <c r="V76" s="12">
        <f>+T76-M76</f>
        <v>-3433.0500000000029</v>
      </c>
      <c r="W76" s="21">
        <f>+IF(V76=0,0,(T76-M76)/M76)</f>
        <v>0.1020408163265307</v>
      </c>
    </row>
    <row r="77" spans="1:23" x14ac:dyDescent="0.25">
      <c r="A77" s="368"/>
      <c r="B77" s="368" t="s">
        <v>71</v>
      </c>
      <c r="C77" s="368" t="s">
        <v>524</v>
      </c>
      <c r="E77" s="233">
        <v>7</v>
      </c>
      <c r="F77" s="359" t="s">
        <v>736</v>
      </c>
      <c r="G77" s="233"/>
      <c r="H77" s="233"/>
      <c r="I77" s="13">
        <f>+INDEX('2025 Org Base Case BDs'!B:B,MATCH('2025 GSD Rate Class E-13c'!B77,'2025 Org Base Case BDs'!A:A,0))</f>
        <v>2562</v>
      </c>
      <c r="J77" s="12" t="s">
        <v>730</v>
      </c>
      <c r="K77" s="19">
        <f>+INDEX('2024 Base Rates'!E:E,MATCH('2025 GSD Rate Class E-13c'!C77,'2024 Base Rates'!D:D,0))</f>
        <v>-2.06</v>
      </c>
      <c r="L77" s="233"/>
      <c r="M77" s="12">
        <f>+I77*K77</f>
        <v>-5277.72</v>
      </c>
      <c r="N77" s="233"/>
      <c r="O77" s="226"/>
      <c r="P77" s="13">
        <f>+INDEX('2025 Billing Determinants'!B:B,MATCH('2025 GSD Rate Class E-13c'!B77,'2025 Billing Determinants'!A:A,0))</f>
        <v>2562</v>
      </c>
      <c r="Q77" s="12" t="s">
        <v>730</v>
      </c>
      <c r="R77" s="19">
        <f>+INDEX('Unit Cost Rate Design Input'!D:D,MATCH('2025 GSD Rate Class E-13c'!C77,'Unit Cost Rate Design Input'!B:B,0))</f>
        <v>-3.09</v>
      </c>
      <c r="S77" s="233"/>
      <c r="T77" s="12">
        <f>+P77*R77</f>
        <v>-7916.58</v>
      </c>
      <c r="U77" s="233"/>
      <c r="V77" s="12">
        <f>+T77-M77</f>
        <v>-2638.8599999999997</v>
      </c>
      <c r="W77" s="21">
        <f>+IF(V77=0,0,(T77-M77)/M77)</f>
        <v>0.49999999999999989</v>
      </c>
    </row>
    <row r="78" spans="1:23" x14ac:dyDescent="0.25">
      <c r="A78" s="368"/>
      <c r="B78" s="368"/>
      <c r="C78" s="368"/>
      <c r="E78" s="233">
        <v>8</v>
      </c>
      <c r="F78" s="2" t="s">
        <v>331</v>
      </c>
      <c r="G78" s="15"/>
      <c r="H78" s="233"/>
      <c r="I78" s="55">
        <f>+SUM(I74:I77)</f>
        <v>199468</v>
      </c>
      <c r="J78" s="12" t="s">
        <v>730</v>
      </c>
      <c r="K78" s="19"/>
      <c r="L78" s="12"/>
      <c r="M78" s="54">
        <f>+SUM(M74:M77)</f>
        <v>-101761.66</v>
      </c>
      <c r="N78" s="12"/>
      <c r="O78" s="22"/>
      <c r="P78" s="55">
        <f>+SUM(P74:P77)</f>
        <v>199468</v>
      </c>
      <c r="Q78" s="12" t="s">
        <v>730</v>
      </c>
      <c r="R78" s="19"/>
      <c r="S78" s="12"/>
      <c r="T78" s="54">
        <f>+SUM(T74:T77)</f>
        <v>-114245.82</v>
      </c>
      <c r="U78" s="12"/>
      <c r="V78" s="12">
        <f>+T78-M78</f>
        <v>-12484.160000000003</v>
      </c>
      <c r="W78" s="21">
        <f>+IF(V78=0,0,(T78-M78)/M78)</f>
        <v>0.12268038866504342</v>
      </c>
    </row>
    <row r="79" spans="1:23" x14ac:dyDescent="0.25">
      <c r="A79" s="368"/>
      <c r="B79" s="368"/>
      <c r="C79" s="368"/>
      <c r="E79" s="233">
        <v>9</v>
      </c>
      <c r="F79" s="233"/>
      <c r="G79" s="233"/>
      <c r="H79" s="233"/>
      <c r="I79" s="354"/>
      <c r="J79" s="233"/>
      <c r="K79" s="233"/>
      <c r="L79" s="233"/>
      <c r="M79" s="27"/>
      <c r="N79" s="233"/>
      <c r="O79" s="226"/>
      <c r="P79" s="354"/>
      <c r="Q79" s="233"/>
      <c r="R79" s="233"/>
      <c r="S79" s="233"/>
      <c r="T79" s="13"/>
      <c r="U79" s="233"/>
      <c r="V79" s="233"/>
      <c r="W79" s="233"/>
    </row>
    <row r="80" spans="1:23" x14ac:dyDescent="0.25">
      <c r="A80" s="368"/>
      <c r="B80" s="368"/>
      <c r="C80" s="368"/>
      <c r="E80" s="233">
        <v>10</v>
      </c>
    </row>
    <row r="81" spans="1:23" x14ac:dyDescent="0.25">
      <c r="A81" s="368"/>
      <c r="B81" s="368"/>
      <c r="C81" s="368"/>
      <c r="E81" s="233">
        <v>11</v>
      </c>
      <c r="F81" s="11" t="s">
        <v>346</v>
      </c>
      <c r="G81" s="11"/>
      <c r="H81" s="233"/>
      <c r="I81" s="354"/>
      <c r="J81" s="12"/>
      <c r="K81" s="12"/>
      <c r="L81" s="12"/>
      <c r="M81" s="19"/>
      <c r="N81" s="12"/>
      <c r="O81" s="22"/>
      <c r="P81" s="354"/>
      <c r="Q81" s="12"/>
      <c r="R81" s="12"/>
      <c r="S81" s="12"/>
      <c r="T81" s="12"/>
      <c r="U81" s="12"/>
      <c r="V81" s="12"/>
      <c r="W81" s="23"/>
    </row>
    <row r="82" spans="1:23" x14ac:dyDescent="0.25">
      <c r="A82" s="368"/>
      <c r="B82" s="368" t="s">
        <v>37</v>
      </c>
      <c r="C82" s="368" t="s">
        <v>534</v>
      </c>
      <c r="E82" s="233">
        <v>12</v>
      </c>
      <c r="F82" s="11" t="s">
        <v>393</v>
      </c>
      <c r="G82" s="15"/>
      <c r="H82" s="233"/>
      <c r="I82" s="13">
        <f>+INDEX('2025 Org Base Case BDs'!B:B,MATCH('2025 GSD Rate Class E-13c'!B82,'2025 Org Base Case BDs'!A:A,0))</f>
        <v>631383</v>
      </c>
      <c r="J82" s="12" t="s">
        <v>730</v>
      </c>
      <c r="K82" s="19">
        <f>+INDEX('2024 Base Rates'!E:E,MATCH('2025 GSD Rate Class E-13c'!C82,'2024 Base Rates'!D:D,0))</f>
        <v>0.68</v>
      </c>
      <c r="L82" s="12"/>
      <c r="M82" s="12">
        <f t="shared" ref="M82:M87" si="21">+I82*K82</f>
        <v>429340.44</v>
      </c>
      <c r="N82" s="12"/>
      <c r="O82" s="22"/>
      <c r="P82" s="13">
        <f>+INDEX('2025 Billing Determinants'!B:B,MATCH('2025 GSD Rate Class E-13c'!B82,'2025 Billing Determinants'!A:A,0))</f>
        <v>631383</v>
      </c>
      <c r="Q82" s="12" t="s">
        <v>730</v>
      </c>
      <c r="R82" s="19">
        <f>+INDEX('Unit Cost Rate Design Input'!D:D,MATCH('2025 GSD Rate Class E-13c'!C82,'Unit Cost Rate Design Input'!B:B,0))</f>
        <v>1.02</v>
      </c>
      <c r="S82" s="12"/>
      <c r="T82" s="12">
        <f t="shared" ref="T82:T87" si="22">+P82*R82</f>
        <v>644010.66</v>
      </c>
      <c r="U82" s="12"/>
      <c r="V82" s="12">
        <f t="shared" ref="V82:V88" si="23">+T82-M82</f>
        <v>214670.22000000003</v>
      </c>
      <c r="W82" s="21">
        <f t="shared" ref="W82:W88" si="24">+IF(V82=0,0,(T82-M82)/M82)</f>
        <v>0.50000000000000011</v>
      </c>
    </row>
    <row r="83" spans="1:23" x14ac:dyDescent="0.25">
      <c r="A83" s="368"/>
      <c r="B83" s="368" t="s">
        <v>38</v>
      </c>
      <c r="C83" s="368" t="s">
        <v>526</v>
      </c>
      <c r="E83" s="233">
        <v>13</v>
      </c>
      <c r="F83" s="11" t="s">
        <v>388</v>
      </c>
      <c r="G83" s="233"/>
      <c r="H83" s="233"/>
      <c r="I83" s="13">
        <f>+INDEX('2025 Org Base Case BDs'!B:B,MATCH('2025 GSD Rate Class E-13c'!B83,'2025 Org Base Case BDs'!A:A,0))</f>
        <v>23944</v>
      </c>
      <c r="J83" s="12" t="s">
        <v>730</v>
      </c>
      <c r="K83" s="19">
        <f>+INDEX('2024 Base Rates'!E:E,MATCH('2025 GSD Rate Class E-13c'!C83,'2024 Base Rates'!D:D,0))</f>
        <v>0.68</v>
      </c>
      <c r="L83" s="233"/>
      <c r="M83" s="12">
        <f t="shared" si="21"/>
        <v>16281.920000000002</v>
      </c>
      <c r="N83" s="233"/>
      <c r="O83" s="226"/>
      <c r="P83" s="13">
        <f>+INDEX('2025 Billing Determinants'!B:B,MATCH('2025 GSD Rate Class E-13c'!B83,'2025 Billing Determinants'!A:A,0))</f>
        <v>23944</v>
      </c>
      <c r="Q83" s="12" t="s">
        <v>730</v>
      </c>
      <c r="R83" s="19">
        <f>+INDEX('Unit Cost Rate Design Input'!D:D,MATCH('2025 GSD Rate Class E-13c'!C83,'Unit Cost Rate Design Input'!B:B,0))</f>
        <v>1.02</v>
      </c>
      <c r="S83" s="233"/>
      <c r="T83" s="12">
        <f t="shared" si="22"/>
        <v>24422.880000000001</v>
      </c>
      <c r="U83" s="233"/>
      <c r="V83" s="12">
        <f t="shared" si="23"/>
        <v>8140.9599999999991</v>
      </c>
      <c r="W83" s="21">
        <f t="shared" si="24"/>
        <v>0.49999999999999989</v>
      </c>
    </row>
    <row r="84" spans="1:23" x14ac:dyDescent="0.25">
      <c r="A84" s="368"/>
      <c r="B84" s="368" t="s">
        <v>39</v>
      </c>
      <c r="C84" s="368" t="s">
        <v>527</v>
      </c>
      <c r="E84" s="233">
        <v>14</v>
      </c>
      <c r="F84" s="359" t="s">
        <v>720</v>
      </c>
      <c r="G84" s="233"/>
      <c r="H84" s="233"/>
      <c r="I84" s="13">
        <f>+INDEX('2025 Org Base Case BDs'!B:B,MATCH('2025 GSD Rate Class E-13c'!B84,'2025 Org Base Case BDs'!A:A,0))</f>
        <v>0</v>
      </c>
      <c r="J84" s="12" t="s">
        <v>730</v>
      </c>
      <c r="K84" s="19">
        <f>+INDEX('2024 Base Rates'!E:E,MATCH('2025 GSD Rate Class E-13c'!C84,'2024 Base Rates'!D:D,0))</f>
        <v>0.68</v>
      </c>
      <c r="L84" s="233"/>
      <c r="M84" s="12">
        <f t="shared" si="21"/>
        <v>0</v>
      </c>
      <c r="N84" s="233"/>
      <c r="O84" s="226"/>
      <c r="P84" s="13">
        <f>+INDEX('2025 Billing Determinants'!B:B,MATCH('2025 GSD Rate Class E-13c'!B84,'2025 Billing Determinants'!A:A,0))</f>
        <v>0</v>
      </c>
      <c r="Q84" s="12" t="s">
        <v>730</v>
      </c>
      <c r="R84" s="19">
        <f>+INDEX('Unit Cost Rate Design Input'!D:D,MATCH('2025 GSD Rate Class E-13c'!C84,'Unit Cost Rate Design Input'!B:B,0))</f>
        <v>1.02</v>
      </c>
      <c r="S84" s="233"/>
      <c r="T84" s="12">
        <f t="shared" si="22"/>
        <v>0</v>
      </c>
      <c r="U84" s="233"/>
      <c r="V84" s="12">
        <f t="shared" si="23"/>
        <v>0</v>
      </c>
      <c r="W84" s="21">
        <f t="shared" si="24"/>
        <v>0</v>
      </c>
    </row>
    <row r="85" spans="1:23" x14ac:dyDescent="0.25">
      <c r="A85" s="368"/>
      <c r="B85" s="368" t="s">
        <v>73</v>
      </c>
      <c r="C85" s="368" t="s">
        <v>531</v>
      </c>
      <c r="E85" s="233">
        <v>15</v>
      </c>
      <c r="F85" s="11" t="s">
        <v>737</v>
      </c>
      <c r="G85" s="15"/>
      <c r="H85" s="233"/>
      <c r="I85" s="13">
        <f>+INDEX('2025 Org Base Case BDs'!B:B,MATCH('2025 GSD Rate Class E-13c'!B85,'2025 Org Base Case BDs'!A:A,0))</f>
        <v>713288</v>
      </c>
      <c r="J85" s="12" t="s">
        <v>730</v>
      </c>
      <c r="K85" s="19">
        <f>+INDEX('2024 Base Rates'!E:E,MATCH('2025 GSD Rate Class E-13c'!C85,'2024 Base Rates'!D:D,0))</f>
        <v>0.68</v>
      </c>
      <c r="L85" s="12"/>
      <c r="M85" s="12">
        <f t="shared" si="21"/>
        <v>485035.84</v>
      </c>
      <c r="N85" s="12"/>
      <c r="O85" s="22"/>
      <c r="P85" s="13">
        <f>+INDEX('2025 Billing Determinants'!B:B,MATCH('2025 GSD Rate Class E-13c'!B85,'2025 Billing Determinants'!A:A,0))</f>
        <v>713288</v>
      </c>
      <c r="Q85" s="12" t="s">
        <v>730</v>
      </c>
      <c r="R85" s="19">
        <f>+INDEX('Unit Cost Rate Design Input'!D:D,MATCH('2025 GSD Rate Class E-13c'!C85,'Unit Cost Rate Design Input'!B:B,0))</f>
        <v>1.02</v>
      </c>
      <c r="S85" s="12"/>
      <c r="T85" s="12">
        <f t="shared" si="22"/>
        <v>727553.76</v>
      </c>
      <c r="U85" s="233"/>
      <c r="V85" s="12">
        <f t="shared" si="23"/>
        <v>242517.91999999998</v>
      </c>
      <c r="W85" s="21">
        <f t="shared" si="24"/>
        <v>0.49999999999999994</v>
      </c>
    </row>
    <row r="86" spans="1:23" x14ac:dyDescent="0.25">
      <c r="A86" s="368"/>
      <c r="B86" s="368" t="s">
        <v>74</v>
      </c>
      <c r="C86" s="368" t="s">
        <v>532</v>
      </c>
      <c r="E86" s="233">
        <v>16</v>
      </c>
      <c r="F86" s="11" t="s">
        <v>735</v>
      </c>
      <c r="G86" s="233"/>
      <c r="H86" s="233"/>
      <c r="I86" s="13">
        <f>+INDEX('2025 Org Base Case BDs'!B:B,MATCH('2025 GSD Rate Class E-13c'!B86,'2025 Org Base Case BDs'!A:A,0))</f>
        <v>46225</v>
      </c>
      <c r="J86" s="12" t="s">
        <v>730</v>
      </c>
      <c r="K86" s="19">
        <f>+INDEX('2024 Base Rates'!E:E,MATCH('2025 GSD Rate Class E-13c'!C86,'2024 Base Rates'!D:D,0))</f>
        <v>0.68</v>
      </c>
      <c r="L86" s="233"/>
      <c r="M86" s="12">
        <f t="shared" si="21"/>
        <v>31433.000000000004</v>
      </c>
      <c r="N86" s="233"/>
      <c r="O86" s="226"/>
      <c r="P86" s="13">
        <f>+INDEX('2025 Billing Determinants'!B:B,MATCH('2025 GSD Rate Class E-13c'!B86,'2025 Billing Determinants'!A:A,0))</f>
        <v>46225</v>
      </c>
      <c r="Q86" s="12" t="s">
        <v>730</v>
      </c>
      <c r="R86" s="19">
        <f>+INDEX('Unit Cost Rate Design Input'!D:D,MATCH('2025 GSD Rate Class E-13c'!C86,'Unit Cost Rate Design Input'!B:B,0))</f>
        <v>1.02</v>
      </c>
      <c r="S86" s="233"/>
      <c r="T86" s="12">
        <f t="shared" si="22"/>
        <v>47149.5</v>
      </c>
      <c r="U86" s="233"/>
      <c r="V86" s="12">
        <f t="shared" si="23"/>
        <v>15716.499999999996</v>
      </c>
      <c r="W86" s="21">
        <f t="shared" si="24"/>
        <v>0.49999999999999983</v>
      </c>
    </row>
    <row r="87" spans="1:23" x14ac:dyDescent="0.25">
      <c r="A87" s="368"/>
      <c r="B87" s="368" t="s">
        <v>75</v>
      </c>
      <c r="C87" s="368" t="s">
        <v>533</v>
      </c>
      <c r="E87" s="233">
        <v>17</v>
      </c>
      <c r="F87" s="359" t="s">
        <v>736</v>
      </c>
      <c r="G87" s="233"/>
      <c r="H87" s="233"/>
      <c r="I87" s="13">
        <f>+INDEX('2025 Org Base Case BDs'!B:B,MATCH('2025 GSD Rate Class E-13c'!B87,'2025 Org Base Case BDs'!A:A,0))</f>
        <v>0</v>
      </c>
      <c r="J87" s="12" t="s">
        <v>730</v>
      </c>
      <c r="K87" s="19">
        <f>+INDEX('2024 Base Rates'!E:E,MATCH('2025 GSD Rate Class E-13c'!C87,'2024 Base Rates'!D:D,0))</f>
        <v>0.68</v>
      </c>
      <c r="L87" s="233"/>
      <c r="M87" s="12">
        <f t="shared" si="21"/>
        <v>0</v>
      </c>
      <c r="N87" s="233"/>
      <c r="O87" s="226"/>
      <c r="P87" s="13">
        <f>+INDEX('2025 Billing Determinants'!B:B,MATCH('2025 GSD Rate Class E-13c'!B87,'2025 Billing Determinants'!A:A,0))</f>
        <v>0</v>
      </c>
      <c r="Q87" s="12" t="s">
        <v>730</v>
      </c>
      <c r="R87" s="19">
        <f>+INDEX('Unit Cost Rate Design Input'!D:D,MATCH('2025 GSD Rate Class E-13c'!C87,'Unit Cost Rate Design Input'!B:B,0))</f>
        <v>1.02</v>
      </c>
      <c r="S87" s="233"/>
      <c r="T87" s="12">
        <f t="shared" si="22"/>
        <v>0</v>
      </c>
      <c r="U87" s="233"/>
      <c r="V87" s="12">
        <f t="shared" si="23"/>
        <v>0</v>
      </c>
      <c r="W87" s="21">
        <f t="shared" si="24"/>
        <v>0</v>
      </c>
    </row>
    <row r="88" spans="1:23" x14ac:dyDescent="0.25">
      <c r="A88" s="368"/>
      <c r="B88" s="368"/>
      <c r="C88" s="368"/>
      <c r="E88" s="233">
        <v>18</v>
      </c>
      <c r="F88" s="2" t="s">
        <v>331</v>
      </c>
      <c r="G88" s="15"/>
      <c r="H88" s="233"/>
      <c r="I88" s="55">
        <f>+SUM(I82:I87)</f>
        <v>1414840</v>
      </c>
      <c r="J88" s="12" t="s">
        <v>730</v>
      </c>
      <c r="K88" s="19"/>
      <c r="L88" s="12"/>
      <c r="M88" s="54">
        <f>+SUM(M82:M87)</f>
        <v>962091.2</v>
      </c>
      <c r="N88" s="12"/>
      <c r="O88" s="22"/>
      <c r="P88" s="55">
        <f>+SUM(P82:P87)</f>
        <v>1414840</v>
      </c>
      <c r="Q88" s="12" t="s">
        <v>730</v>
      </c>
      <c r="R88" s="19"/>
      <c r="S88" s="12"/>
      <c r="T88" s="54">
        <f>+SUM(T82:T87)</f>
        <v>1443136.8</v>
      </c>
      <c r="U88" s="12"/>
      <c r="V88" s="12">
        <f t="shared" si="23"/>
        <v>481045.60000000009</v>
      </c>
      <c r="W88" s="21">
        <f t="shared" si="24"/>
        <v>0.50000000000000011</v>
      </c>
    </row>
    <row r="89" spans="1:23" x14ac:dyDescent="0.25">
      <c r="A89" s="368"/>
      <c r="B89" s="368"/>
      <c r="C89" s="368"/>
      <c r="E89" s="233">
        <v>19</v>
      </c>
    </row>
    <row r="90" spans="1:23" x14ac:dyDescent="0.25">
      <c r="A90" s="368"/>
      <c r="E90" s="233">
        <v>20</v>
      </c>
    </row>
    <row r="91" spans="1:23" x14ac:dyDescent="0.25">
      <c r="A91" s="368"/>
      <c r="E91" s="233">
        <v>21</v>
      </c>
      <c r="F91" s="11" t="s">
        <v>812</v>
      </c>
      <c r="G91" s="11"/>
      <c r="H91" s="233"/>
      <c r="I91" s="233"/>
      <c r="J91" s="12"/>
      <c r="K91" s="12"/>
      <c r="L91" s="12"/>
      <c r="M91" s="12"/>
      <c r="N91" s="13"/>
      <c r="O91" s="22"/>
      <c r="P91" s="233"/>
      <c r="Q91" s="12"/>
      <c r="R91" s="12"/>
      <c r="S91" s="12"/>
      <c r="T91" s="12"/>
      <c r="U91" s="233"/>
      <c r="V91" s="233"/>
      <c r="W91" s="233"/>
    </row>
    <row r="92" spans="1:23" x14ac:dyDescent="0.25">
      <c r="A92" s="368"/>
      <c r="B92" s="368"/>
      <c r="C92" s="368" t="s">
        <v>514</v>
      </c>
      <c r="E92" s="233">
        <v>22</v>
      </c>
      <c r="F92" s="11" t="s">
        <v>388</v>
      </c>
      <c r="G92" s="11"/>
      <c r="H92" s="233"/>
      <c r="I92" s="13">
        <f>+M28+M44+M74+M83</f>
        <v>3136688.6063200003</v>
      </c>
      <c r="J92" s="12" t="s">
        <v>807</v>
      </c>
      <c r="K92" s="39">
        <f>+INDEX('2024 Base Rates'!E:E,MATCH('2025 GSD Rate Class E-13c'!C92,'2024 Base Rates'!D:D,0))</f>
        <v>-0.01</v>
      </c>
      <c r="L92" s="12"/>
      <c r="M92" s="12">
        <f>+I92*K92</f>
        <v>-31366.886063200003</v>
      </c>
      <c r="N92" s="13"/>
      <c r="O92" s="22"/>
      <c r="P92" s="13">
        <f>+T28+T44+T74+T83</f>
        <v>4175012.6762357382</v>
      </c>
      <c r="Q92" s="12" t="s">
        <v>807</v>
      </c>
      <c r="R92" s="39">
        <f>+K92</f>
        <v>-0.01</v>
      </c>
      <c r="S92" s="12"/>
      <c r="T92" s="12">
        <f>+P92*R92</f>
        <v>-41750.12676235738</v>
      </c>
      <c r="U92" s="233"/>
      <c r="V92" s="12">
        <f>+T92-M92</f>
        <v>-10383.240699157377</v>
      </c>
      <c r="W92" s="21">
        <f>+IF(V92=0,0,(T92-M92)/M92)</f>
        <v>0.33102554962697162</v>
      </c>
    </row>
    <row r="93" spans="1:23" x14ac:dyDescent="0.25">
      <c r="A93" s="368"/>
      <c r="B93" s="368"/>
      <c r="C93" s="368" t="s">
        <v>515</v>
      </c>
      <c r="E93" s="233">
        <v>23</v>
      </c>
      <c r="F93" s="359" t="s">
        <v>720</v>
      </c>
      <c r="G93" s="233"/>
      <c r="H93" s="233"/>
      <c r="I93" s="13">
        <f>+M29+M45+M75+M84</f>
        <v>0</v>
      </c>
      <c r="J93" s="12" t="s">
        <v>807</v>
      </c>
      <c r="K93" s="39">
        <f>+INDEX('2024 Base Rates'!E:E,MATCH('2025 GSD Rate Class E-13c'!C93,'2024 Base Rates'!D:D,0))</f>
        <v>-0.02</v>
      </c>
      <c r="L93" s="233"/>
      <c r="M93" s="12">
        <f>+I93*K93</f>
        <v>0</v>
      </c>
      <c r="N93" s="233"/>
      <c r="O93" s="226"/>
      <c r="P93" s="13">
        <f>+T29+T45+T75+T84</f>
        <v>0</v>
      </c>
      <c r="Q93" s="12" t="s">
        <v>807</v>
      </c>
      <c r="R93" s="39">
        <f>+K93</f>
        <v>-0.02</v>
      </c>
      <c r="S93" s="233"/>
      <c r="T93" s="12">
        <f>+P93*R93</f>
        <v>0</v>
      </c>
      <c r="U93" s="233"/>
      <c r="V93" s="12">
        <f>+T93-M93</f>
        <v>0</v>
      </c>
      <c r="W93" s="21">
        <f>+IF(V93=0,0,(T93-M93)/M93)</f>
        <v>0</v>
      </c>
    </row>
    <row r="94" spans="1:23" x14ac:dyDescent="0.25">
      <c r="A94" s="368"/>
      <c r="B94" s="368"/>
      <c r="C94" s="368" t="s">
        <v>518</v>
      </c>
      <c r="E94" s="233">
        <v>24</v>
      </c>
      <c r="F94" s="11" t="s">
        <v>735</v>
      </c>
      <c r="G94" s="233"/>
      <c r="H94" s="233"/>
      <c r="I94" s="13">
        <f>+M31+M34+M47+M50+M76+M86</f>
        <v>7500279.58452</v>
      </c>
      <c r="J94" s="12" t="s">
        <v>807</v>
      </c>
      <c r="K94" s="39">
        <f>+INDEX('2024 Base Rates'!E:E,MATCH('2025 GSD Rate Class E-13c'!C94,'2024 Base Rates'!D:D,0))</f>
        <v>-0.01</v>
      </c>
      <c r="L94" s="233"/>
      <c r="M94" s="12">
        <f>+I94*K94</f>
        <v>-75002.795845200002</v>
      </c>
      <c r="N94" s="12"/>
      <c r="O94" s="22"/>
      <c r="P94" s="13">
        <f>+T31+T34+T37+T47+T50+T76+T86</f>
        <v>10085325.998041628</v>
      </c>
      <c r="Q94" s="12" t="s">
        <v>807</v>
      </c>
      <c r="R94" s="39">
        <f>+K94</f>
        <v>-0.01</v>
      </c>
      <c r="S94" s="233"/>
      <c r="T94" s="12">
        <f>+P94*R94</f>
        <v>-100853.25998041627</v>
      </c>
      <c r="U94" s="12"/>
      <c r="V94" s="12">
        <f>+T94-M94</f>
        <v>-25850.464135216273</v>
      </c>
      <c r="W94" s="21">
        <f>+IF(V94=0,0,(T94-M94)/M94)</f>
        <v>0.34466000692253712</v>
      </c>
    </row>
    <row r="95" spans="1:23" x14ac:dyDescent="0.25">
      <c r="A95" s="368"/>
      <c r="B95" s="368"/>
      <c r="C95" s="368" t="s">
        <v>519</v>
      </c>
      <c r="E95" s="233">
        <v>25</v>
      </c>
      <c r="F95" s="359" t="s">
        <v>736</v>
      </c>
      <c r="G95" s="233"/>
      <c r="H95" s="233"/>
      <c r="I95" s="13">
        <f>+M32+M35+M48+M51+M77+M87</f>
        <v>70571.102970000007</v>
      </c>
      <c r="J95" s="12" t="s">
        <v>807</v>
      </c>
      <c r="K95" s="39">
        <f>+INDEX('2024 Base Rates'!E:E,MATCH('2025 GSD Rate Class E-13c'!C95,'2024 Base Rates'!D:D,0))</f>
        <v>-0.02</v>
      </c>
      <c r="L95" s="233"/>
      <c r="M95" s="12">
        <f>+I95*K95</f>
        <v>-1411.4220594000001</v>
      </c>
      <c r="N95" s="233"/>
      <c r="O95" s="226"/>
      <c r="P95" s="13">
        <f>+T32+T35+T38+T48+T51+T77+T87</f>
        <v>95207.458481327267</v>
      </c>
      <c r="Q95" s="12" t="s">
        <v>807</v>
      </c>
      <c r="R95" s="39">
        <f>+K95</f>
        <v>-0.02</v>
      </c>
      <c r="S95" s="233"/>
      <c r="T95" s="12">
        <f>+P95*R95</f>
        <v>-1904.1491696265455</v>
      </c>
      <c r="U95" s="233"/>
      <c r="V95" s="12">
        <f>+T95-M95</f>
        <v>-492.72711022654539</v>
      </c>
      <c r="W95" s="21">
        <f>+IF(V95=0,0,(T95-M95)/M95)</f>
        <v>0.34909976569021828</v>
      </c>
    </row>
    <row r="96" spans="1:23" x14ac:dyDescent="0.25">
      <c r="A96" s="368"/>
      <c r="B96" s="368"/>
      <c r="C96" s="368"/>
      <c r="E96" s="233">
        <v>26</v>
      </c>
      <c r="F96" s="2" t="s">
        <v>331</v>
      </c>
      <c r="G96" s="233"/>
      <c r="H96" s="233"/>
      <c r="I96" s="55">
        <f>+SUM(I92:I95)</f>
        <v>10707539.293810001</v>
      </c>
      <c r="J96" s="12" t="s">
        <v>807</v>
      </c>
      <c r="K96" s="233"/>
      <c r="L96" s="12"/>
      <c r="M96" s="54">
        <f>+SUM(M92:M95)</f>
        <v>-107781.10396780001</v>
      </c>
      <c r="N96" s="12"/>
      <c r="O96" s="22"/>
      <c r="P96" s="55">
        <f>+SUM(P92:P95)</f>
        <v>14355546.132758692</v>
      </c>
      <c r="Q96" s="12" t="s">
        <v>807</v>
      </c>
      <c r="R96" s="59"/>
      <c r="S96" s="12"/>
      <c r="T96" s="54">
        <f>+SUM(T92:T95)</f>
        <v>-144507.5359124002</v>
      </c>
      <c r="U96" s="233"/>
      <c r="V96" s="12">
        <f>+T96-M96</f>
        <v>-36726.43194460019</v>
      </c>
      <c r="W96" s="21">
        <f>+IF(V96=0,0,(T96-M96)/M96)</f>
        <v>0.34075019268286899</v>
      </c>
    </row>
    <row r="97" spans="1:23" x14ac:dyDescent="0.25">
      <c r="A97" s="368"/>
      <c r="B97" s="368"/>
      <c r="C97" s="368"/>
      <c r="E97" s="233">
        <v>27</v>
      </c>
      <c r="F97" s="2"/>
      <c r="G97" s="15"/>
      <c r="H97" s="233"/>
      <c r="I97" s="12"/>
      <c r="J97" s="12"/>
      <c r="K97" s="19"/>
      <c r="L97" s="12"/>
      <c r="M97" s="12"/>
      <c r="N97" s="12"/>
      <c r="O97" s="22"/>
      <c r="P97" s="12"/>
      <c r="Q97" s="12"/>
      <c r="R97" s="19"/>
      <c r="S97" s="12"/>
      <c r="T97" s="12"/>
      <c r="U97" s="12"/>
      <c r="V97" s="12"/>
      <c r="W97" s="23"/>
    </row>
    <row r="98" spans="1:23" x14ac:dyDescent="0.25">
      <c r="A98" s="368"/>
      <c r="B98" s="368"/>
      <c r="C98" s="368"/>
      <c r="E98" s="233">
        <v>28</v>
      </c>
      <c r="F98" s="11"/>
      <c r="G98" s="11"/>
      <c r="H98" s="233"/>
      <c r="I98" s="233"/>
      <c r="J98" s="12"/>
      <c r="K98" s="12"/>
      <c r="L98" s="12"/>
      <c r="M98" s="12"/>
      <c r="N98" s="13"/>
      <c r="O98" s="22"/>
      <c r="P98" s="13"/>
      <c r="Q98" s="12"/>
      <c r="R98" s="12"/>
      <c r="S98" s="12"/>
      <c r="T98" s="12"/>
      <c r="U98" s="233"/>
      <c r="V98" s="233"/>
      <c r="W98" s="233"/>
    </row>
    <row r="99" spans="1:23" x14ac:dyDescent="0.25">
      <c r="A99" s="368"/>
      <c r="B99" s="368"/>
      <c r="C99" s="368"/>
      <c r="E99" s="233">
        <v>29</v>
      </c>
      <c r="F99" s="233" t="s">
        <v>1619</v>
      </c>
      <c r="G99" s="233"/>
      <c r="H99" s="233"/>
      <c r="I99" s="354">
        <f>AVERAGE('AMI Opt Out'!K2:K13)*365</f>
        <v>1084.1242732558139</v>
      </c>
      <c r="J99" s="233" t="s">
        <v>329</v>
      </c>
      <c r="K99" s="19">
        <v>0.67</v>
      </c>
      <c r="L99" s="233"/>
      <c r="M99" s="354">
        <f>+K99*I99</f>
        <v>726.36326308139542</v>
      </c>
      <c r="N99" s="233"/>
      <c r="O99" s="226"/>
      <c r="P99" s="354">
        <f>+I99</f>
        <v>1084.1242732558139</v>
      </c>
      <c r="Q99" s="233" t="s">
        <v>329</v>
      </c>
      <c r="R99" s="19">
        <v>0.67</v>
      </c>
      <c r="S99" s="233"/>
      <c r="T99" s="354">
        <f>+R99*P99</f>
        <v>726.36326308139542</v>
      </c>
      <c r="V99" s="12">
        <f t="shared" ref="V99:V100" si="25">+T99-M99</f>
        <v>0</v>
      </c>
      <c r="W99" s="21">
        <f t="shared" ref="W99:W100" si="26">+IF(V99=0,0,(T99-M99)/M99)</f>
        <v>0</v>
      </c>
    </row>
    <row r="100" spans="1:23" x14ac:dyDescent="0.25">
      <c r="A100" s="368"/>
      <c r="B100" s="368"/>
      <c r="C100" s="368"/>
      <c r="E100" s="233">
        <v>30</v>
      </c>
      <c r="F100" s="15" t="s">
        <v>336</v>
      </c>
      <c r="G100" s="15"/>
      <c r="H100" s="233"/>
      <c r="I100" s="55">
        <f>+I99</f>
        <v>1084.1242732558139</v>
      </c>
      <c r="J100" s="44" t="s">
        <v>332</v>
      </c>
      <c r="K100" s="28"/>
      <c r="L100" s="12"/>
      <c r="M100" s="54">
        <f>+M99</f>
        <v>726.36326308139542</v>
      </c>
      <c r="N100" s="12"/>
      <c r="O100" s="22"/>
      <c r="P100" s="55"/>
      <c r="Q100" s="12" t="s">
        <v>332</v>
      </c>
      <c r="R100" s="12"/>
      <c r="S100" s="12"/>
      <c r="T100" s="54">
        <f>+T99</f>
        <v>726.36326308139542</v>
      </c>
      <c r="V100" s="12">
        <f t="shared" si="25"/>
        <v>0</v>
      </c>
      <c r="W100" s="21">
        <f t="shared" si="26"/>
        <v>0</v>
      </c>
    </row>
    <row r="101" spans="1:23" x14ac:dyDescent="0.25">
      <c r="A101" s="368"/>
      <c r="E101" s="233">
        <v>31</v>
      </c>
    </row>
    <row r="102" spans="1:23" x14ac:dyDescent="0.25">
      <c r="A102" s="368"/>
      <c r="E102" s="233">
        <v>32</v>
      </c>
      <c r="P102" s="233"/>
      <c r="Q102" s="19"/>
    </row>
    <row r="103" spans="1:23" x14ac:dyDescent="0.25">
      <c r="A103" s="368"/>
      <c r="E103" s="233">
        <v>33</v>
      </c>
      <c r="F103" s="233" t="s">
        <v>1635</v>
      </c>
      <c r="G103" s="233"/>
      <c r="H103" s="233"/>
      <c r="J103" s="233"/>
      <c r="K103" s="19"/>
      <c r="L103" s="233"/>
      <c r="M103" s="354">
        <f>+SUM('CISR &amp; EDR'!D2:D13)</f>
        <v>-89106.433333333349</v>
      </c>
      <c r="N103" s="233"/>
      <c r="P103" s="44"/>
      <c r="Q103" s="28"/>
      <c r="R103" s="19"/>
      <c r="S103" s="233"/>
      <c r="T103" s="354">
        <f>+M103</f>
        <v>-89106.433333333349</v>
      </c>
      <c r="V103" s="12">
        <f t="shared" ref="V103:V104" si="27">+T103-M103</f>
        <v>0</v>
      </c>
      <c r="W103" s="21">
        <f t="shared" ref="W103:W104" si="28">+IF(V103=0,0,(T103-M103)/M103)</f>
        <v>0</v>
      </c>
    </row>
    <row r="104" spans="1:23" x14ac:dyDescent="0.25">
      <c r="A104" s="368"/>
      <c r="E104" s="233">
        <v>34</v>
      </c>
      <c r="F104" s="15" t="s">
        <v>336</v>
      </c>
      <c r="G104" s="15"/>
      <c r="H104" s="233"/>
      <c r="J104" s="44"/>
      <c r="K104" s="28"/>
      <c r="L104" s="12"/>
      <c r="M104" s="54">
        <f>+M103</f>
        <v>-89106.433333333349</v>
      </c>
      <c r="N104" s="12"/>
      <c r="R104" s="12"/>
      <c r="S104" s="12"/>
      <c r="T104" s="54">
        <f>+T103</f>
        <v>-89106.433333333349</v>
      </c>
      <c r="V104" s="12">
        <f t="shared" si="27"/>
        <v>0</v>
      </c>
      <c r="W104" s="21">
        <f t="shared" si="28"/>
        <v>0</v>
      </c>
    </row>
    <row r="105" spans="1:23" x14ac:dyDescent="0.25">
      <c r="A105" s="368"/>
      <c r="B105" s="368"/>
      <c r="C105" s="368"/>
      <c r="E105" s="233">
        <v>35</v>
      </c>
    </row>
    <row r="106" spans="1:23" x14ac:dyDescent="0.25">
      <c r="A106" s="368"/>
      <c r="B106" s="368"/>
      <c r="C106" s="368"/>
      <c r="E106" s="233">
        <v>36</v>
      </c>
    </row>
    <row r="107" spans="1:23" ht="15.75" thickBot="1" x14ac:dyDescent="0.3">
      <c r="A107" s="368"/>
      <c r="B107" s="368"/>
      <c r="C107" s="368"/>
      <c r="E107" s="233">
        <v>37</v>
      </c>
      <c r="F107" s="11" t="s">
        <v>337</v>
      </c>
      <c r="G107" s="11"/>
      <c r="H107" s="233"/>
      <c r="I107" s="233"/>
      <c r="J107" s="12"/>
      <c r="K107" s="12"/>
      <c r="L107" s="12"/>
      <c r="M107" s="56">
        <f>+M24+M40+M52+M78+M88+M96+M100+M104</f>
        <v>284150739.0395419</v>
      </c>
      <c r="N107" s="12"/>
      <c r="O107" s="22"/>
      <c r="P107" s="12"/>
      <c r="Q107" s="12"/>
      <c r="R107" s="12"/>
      <c r="S107" s="12"/>
      <c r="T107" s="56">
        <f>+T24+T40+T52+T78+T88+T96+T100+T104</f>
        <v>379683305.68412602</v>
      </c>
      <c r="U107" s="233"/>
      <c r="V107" s="12">
        <f>+T107-M107</f>
        <v>95532566.644584119</v>
      </c>
      <c r="W107" s="21">
        <f>+IF(V107=0,0,(T107-M107)/M107)</f>
        <v>0.33620382958528916</v>
      </c>
    </row>
    <row r="108" spans="1:23" ht="15.75" thickTop="1" x14ac:dyDescent="0.25">
      <c r="A108" s="368"/>
      <c r="B108" s="368"/>
      <c r="C108" s="368"/>
      <c r="E108" s="233">
        <v>38</v>
      </c>
      <c r="F108" s="233"/>
      <c r="G108" s="233"/>
      <c r="H108" s="233"/>
      <c r="I108" s="233"/>
      <c r="J108" s="233"/>
      <c r="K108" s="233"/>
      <c r="L108" s="233"/>
      <c r="M108" s="233"/>
      <c r="N108" s="233"/>
      <c r="O108" s="226"/>
      <c r="P108" s="233"/>
      <c r="Q108" s="233"/>
      <c r="R108" s="233"/>
      <c r="S108" s="233"/>
      <c r="T108" s="233"/>
      <c r="U108" s="233"/>
      <c r="V108" s="233"/>
      <c r="W108" s="233"/>
    </row>
    <row r="109" spans="1:23" ht="15.75" thickBot="1" x14ac:dyDescent="0.3">
      <c r="A109" s="368"/>
      <c r="B109" s="368"/>
      <c r="C109" s="368"/>
      <c r="E109" s="306">
        <v>39</v>
      </c>
      <c r="F109" s="306"/>
      <c r="G109" s="306"/>
      <c r="H109" s="306"/>
      <c r="I109" s="306"/>
      <c r="J109" s="306"/>
      <c r="K109" s="306"/>
      <c r="L109" s="306"/>
      <c r="M109" s="306"/>
      <c r="N109" s="306"/>
      <c r="O109" s="314"/>
      <c r="P109" s="306"/>
      <c r="Q109" s="306"/>
      <c r="R109" s="306"/>
      <c r="S109" s="306"/>
      <c r="T109" s="306"/>
      <c r="U109" s="306"/>
      <c r="V109" s="306"/>
      <c r="W109" s="326"/>
    </row>
    <row r="110" spans="1:23" x14ac:dyDescent="0.25">
      <c r="A110" s="368"/>
      <c r="B110" s="368"/>
      <c r="C110" s="368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26"/>
      <c r="P110" s="233"/>
      <c r="Q110" s="233"/>
      <c r="R110" s="233"/>
      <c r="S110" s="233"/>
      <c r="T110" s="233"/>
      <c r="U110" s="233"/>
      <c r="V110" s="233"/>
      <c r="W110" s="233" t="s">
        <v>304</v>
      </c>
    </row>
    <row r="111" spans="1:23" x14ac:dyDescent="0.25">
      <c r="A111" s="368"/>
      <c r="B111" s="368"/>
      <c r="C111" s="368"/>
      <c r="E111" s="233"/>
      <c r="F111" s="233"/>
      <c r="G111" s="233"/>
      <c r="H111" s="233"/>
      <c r="I111" s="233"/>
      <c r="J111" s="233"/>
      <c r="K111" s="233"/>
      <c r="L111" s="590"/>
      <c r="M111" s="590"/>
      <c r="N111" s="590"/>
      <c r="O111" s="590"/>
      <c r="P111" s="590"/>
      <c r="Q111" s="233"/>
      <c r="R111" s="233"/>
      <c r="S111" s="233"/>
      <c r="T111" s="233"/>
      <c r="U111" s="233"/>
      <c r="V111" s="233"/>
      <c r="W111" s="233"/>
    </row>
    <row r="112" spans="1:23" ht="15.75" thickBot="1" x14ac:dyDescent="0.3">
      <c r="A112" s="368"/>
      <c r="B112" s="368"/>
      <c r="C112" s="368"/>
      <c r="E112" s="306" t="s">
        <v>305</v>
      </c>
      <c r="F112" s="306"/>
      <c r="G112" s="306"/>
      <c r="H112" s="306"/>
      <c r="I112" s="306"/>
      <c r="J112" s="306"/>
      <c r="K112" s="306"/>
      <c r="L112" s="591" t="s">
        <v>306</v>
      </c>
      <c r="M112" s="591"/>
      <c r="N112" s="591"/>
      <c r="O112" s="591"/>
      <c r="P112" s="591"/>
      <c r="Q112" s="306"/>
      <c r="R112" s="306"/>
      <c r="S112" s="306"/>
      <c r="T112" s="306"/>
      <c r="U112" s="306"/>
      <c r="V112" s="306"/>
      <c r="W112" s="326" t="s">
        <v>880</v>
      </c>
    </row>
    <row r="113" spans="1:23" x14ac:dyDescent="0.25">
      <c r="A113" s="368"/>
      <c r="B113" s="368"/>
      <c r="C113" s="368"/>
      <c r="E113" s="233" t="s">
        <v>307</v>
      </c>
      <c r="F113" s="233"/>
      <c r="G113" s="233"/>
      <c r="H113" s="233"/>
      <c r="I113" s="233" t="s">
        <v>308</v>
      </c>
      <c r="J113" s="233" t="s">
        <v>913</v>
      </c>
      <c r="K113" s="233"/>
      <c r="L113" s="233"/>
      <c r="M113" s="233"/>
      <c r="N113" s="233"/>
      <c r="O113" s="316"/>
      <c r="P113" s="309"/>
      <c r="Q113" s="233"/>
      <c r="R113" s="309"/>
      <c r="S113" s="309"/>
      <c r="T113" s="309" t="s">
        <v>309</v>
      </c>
      <c r="U113" s="233"/>
      <c r="V113" s="233"/>
      <c r="W113" s="310"/>
    </row>
    <row r="114" spans="1:23" x14ac:dyDescent="0.25">
      <c r="A114" s="368"/>
      <c r="B114" s="368"/>
      <c r="C114" s="368"/>
      <c r="E114" s="233"/>
      <c r="F114" s="233"/>
      <c r="G114" s="233"/>
      <c r="H114" s="233"/>
      <c r="I114" s="233"/>
      <c r="J114" s="233" t="s">
        <v>914</v>
      </c>
      <c r="K114" s="233"/>
      <c r="L114" s="233"/>
      <c r="M114" s="233"/>
      <c r="N114" s="233"/>
      <c r="O114" s="226"/>
      <c r="P114" s="310"/>
      <c r="Q114" s="233"/>
      <c r="R114" s="233"/>
      <c r="S114" s="311"/>
      <c r="T114" s="311" t="s">
        <v>919</v>
      </c>
      <c r="U114" s="310" t="s">
        <v>920</v>
      </c>
      <c r="V114" s="233"/>
      <c r="W114" s="311"/>
    </row>
    <row r="115" spans="1:23" x14ac:dyDescent="0.25">
      <c r="A115" s="368"/>
      <c r="B115" s="368"/>
      <c r="C115" s="368"/>
      <c r="E115" s="233" t="s">
        <v>310</v>
      </c>
      <c r="F115" s="233"/>
      <c r="G115" s="233"/>
      <c r="H115" s="233"/>
      <c r="I115" s="233"/>
      <c r="J115" s="233" t="s">
        <v>915</v>
      </c>
      <c r="K115" s="233"/>
      <c r="L115" s="233"/>
      <c r="M115" s="233"/>
      <c r="N115" s="233"/>
      <c r="O115" s="226"/>
      <c r="P115" s="310"/>
      <c r="Q115" s="311"/>
      <c r="R115" s="233"/>
      <c r="S115" s="233"/>
      <c r="T115" s="311"/>
      <c r="U115" s="310" t="s">
        <v>937</v>
      </c>
      <c r="V115" s="233"/>
      <c r="W115" s="311"/>
    </row>
    <row r="116" spans="1:23" x14ac:dyDescent="0.25">
      <c r="A116" s="368"/>
      <c r="B116" s="368"/>
      <c r="C116" s="368"/>
      <c r="E116" s="233"/>
      <c r="F116" s="233"/>
      <c r="G116" s="233"/>
      <c r="H116" s="233"/>
      <c r="I116" s="233"/>
      <c r="J116" s="233" t="s">
        <v>916</v>
      </c>
      <c r="K116" s="233"/>
      <c r="L116" s="233"/>
      <c r="M116" s="233"/>
      <c r="N116" s="233"/>
      <c r="O116" s="226"/>
      <c r="P116" s="310"/>
      <c r="Q116" s="311"/>
      <c r="R116" s="233"/>
      <c r="S116" s="233"/>
      <c r="T116" s="311"/>
      <c r="U116" s="310" t="s">
        <v>938</v>
      </c>
      <c r="V116" s="233"/>
      <c r="W116" s="311"/>
    </row>
    <row r="117" spans="1:23" x14ac:dyDescent="0.25">
      <c r="A117" s="368"/>
      <c r="B117" s="368"/>
      <c r="C117" s="368"/>
      <c r="E117" s="233"/>
      <c r="F117" s="233"/>
      <c r="G117" s="311"/>
      <c r="H117" s="233"/>
      <c r="I117" s="233"/>
      <c r="J117" s="233" t="s">
        <v>917</v>
      </c>
      <c r="K117" s="233"/>
      <c r="L117" s="317"/>
      <c r="M117" s="317"/>
      <c r="N117" s="317"/>
      <c r="O117" s="226"/>
      <c r="P117" s="233"/>
      <c r="Q117" s="233"/>
      <c r="R117" s="233"/>
      <c r="S117" s="233"/>
      <c r="T117" s="233"/>
      <c r="U117" s="233" t="s">
        <v>311</v>
      </c>
      <c r="V117" s="233"/>
      <c r="W117" s="233"/>
    </row>
    <row r="118" spans="1:23" ht="15.75" thickBot="1" x14ac:dyDescent="0.3">
      <c r="A118" s="368"/>
      <c r="B118" s="368"/>
      <c r="C118" s="368"/>
      <c r="E118" s="306" t="s">
        <v>1642</v>
      </c>
      <c r="F118" s="306"/>
      <c r="G118" s="326"/>
      <c r="H118" s="319"/>
      <c r="I118" s="319"/>
      <c r="J118" s="361" t="s">
        <v>918</v>
      </c>
      <c r="K118" s="361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19"/>
      <c r="W118" s="319"/>
    </row>
    <row r="119" spans="1:23" x14ac:dyDescent="0.25">
      <c r="A119" s="368"/>
      <c r="B119" s="368"/>
      <c r="C119" s="368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26"/>
      <c r="P119" s="233"/>
      <c r="Q119" s="233"/>
      <c r="R119" s="233"/>
      <c r="S119" s="233"/>
      <c r="T119" s="233"/>
      <c r="U119" s="233"/>
      <c r="V119" s="233"/>
      <c r="W119" s="233"/>
    </row>
    <row r="120" spans="1:23" x14ac:dyDescent="0.25">
      <c r="A120" s="368"/>
      <c r="B120" s="368"/>
      <c r="C120" s="368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26"/>
      <c r="P120" s="233"/>
      <c r="Q120" s="233"/>
      <c r="R120" s="233"/>
      <c r="S120" s="233"/>
      <c r="T120" s="233"/>
      <c r="U120" s="233"/>
      <c r="V120" s="233"/>
      <c r="W120" s="233"/>
    </row>
    <row r="121" spans="1:23" x14ac:dyDescent="0.25">
      <c r="A121" s="368"/>
      <c r="B121" s="368"/>
      <c r="C121" s="368"/>
      <c r="E121" s="233"/>
      <c r="F121" s="233"/>
      <c r="G121" s="233"/>
      <c r="H121" s="233"/>
      <c r="I121" s="233"/>
      <c r="J121" s="362"/>
      <c r="K121" s="362"/>
      <c r="L121" s="363"/>
      <c r="M121" s="363" t="s">
        <v>312</v>
      </c>
      <c r="N121" s="317"/>
      <c r="O121" s="364" t="s">
        <v>717</v>
      </c>
      <c r="P121" s="362"/>
      <c r="Q121" s="233"/>
      <c r="R121" s="362"/>
      <c r="S121" s="362"/>
      <c r="T121" s="362"/>
      <c r="U121" s="362"/>
      <c r="V121" s="362"/>
      <c r="W121" s="233"/>
    </row>
    <row r="122" spans="1:23" x14ac:dyDescent="0.25">
      <c r="A122" s="368"/>
      <c r="B122" s="368"/>
      <c r="C122" s="368"/>
      <c r="E122" s="233"/>
      <c r="F122" s="233"/>
      <c r="G122" s="233"/>
      <c r="H122" s="233"/>
      <c r="I122" s="233"/>
      <c r="J122" s="362"/>
      <c r="K122" s="362"/>
      <c r="L122" s="362"/>
      <c r="M122" s="362"/>
      <c r="N122" s="362"/>
      <c r="O122" s="317"/>
      <c r="P122" s="362"/>
      <c r="Q122" s="362"/>
      <c r="R122" s="362"/>
      <c r="S122" s="362"/>
      <c r="T122" s="362"/>
      <c r="U122" s="362"/>
      <c r="V122" s="362"/>
      <c r="W122" s="362"/>
    </row>
    <row r="123" spans="1:23" x14ac:dyDescent="0.25">
      <c r="A123" s="368"/>
      <c r="B123" s="368"/>
      <c r="C123" s="368"/>
      <c r="E123" s="226" t="s">
        <v>314</v>
      </c>
      <c r="F123" s="371" t="s">
        <v>315</v>
      </c>
      <c r="G123" s="2"/>
      <c r="H123" s="3"/>
      <c r="I123" s="4"/>
      <c r="J123" s="4"/>
      <c r="K123" s="5" t="s">
        <v>316</v>
      </c>
      <c r="L123" s="4"/>
      <c r="M123" s="4"/>
      <c r="N123" s="2"/>
      <c r="O123" s="6"/>
      <c r="P123" s="4"/>
      <c r="Q123" s="5"/>
      <c r="R123" s="5" t="s">
        <v>317</v>
      </c>
      <c r="S123" s="4"/>
      <c r="T123" s="4"/>
      <c r="U123" s="2"/>
      <c r="V123" s="7" t="s">
        <v>318</v>
      </c>
      <c r="W123" s="7" t="s">
        <v>319</v>
      </c>
    </row>
    <row r="124" spans="1:23" ht="15.75" thickBot="1" x14ac:dyDescent="0.3">
      <c r="A124" s="216" t="s">
        <v>810</v>
      </c>
      <c r="B124" s="216" t="s">
        <v>552</v>
      </c>
      <c r="C124" s="216" t="s">
        <v>553</v>
      </c>
      <c r="E124" s="314" t="s">
        <v>320</v>
      </c>
      <c r="F124" s="367" t="s">
        <v>321</v>
      </c>
      <c r="G124" s="8"/>
      <c r="H124" s="306"/>
      <c r="I124" s="314" t="s">
        <v>322</v>
      </c>
      <c r="J124" s="9"/>
      <c r="K124" s="9" t="s">
        <v>323</v>
      </c>
      <c r="L124" s="9"/>
      <c r="M124" s="9" t="s">
        <v>324</v>
      </c>
      <c r="N124" s="9"/>
      <c r="O124" s="9"/>
      <c r="P124" s="9" t="s">
        <v>322</v>
      </c>
      <c r="Q124" s="9"/>
      <c r="R124" s="9" t="s">
        <v>323</v>
      </c>
      <c r="S124" s="9"/>
      <c r="T124" s="9" t="s">
        <v>324</v>
      </c>
      <c r="U124" s="8"/>
      <c r="V124" s="10" t="s">
        <v>325</v>
      </c>
      <c r="W124" s="10" t="s">
        <v>326</v>
      </c>
    </row>
    <row r="125" spans="1:23" x14ac:dyDescent="0.25">
      <c r="A125" s="368"/>
      <c r="B125" s="368"/>
      <c r="C125" s="368"/>
      <c r="E125" s="233">
        <v>1</v>
      </c>
      <c r="F125" s="11" t="s">
        <v>327</v>
      </c>
      <c r="G125" s="11"/>
      <c r="H125" s="233"/>
      <c r="I125" s="233"/>
      <c r="J125" s="12"/>
      <c r="K125" s="12"/>
      <c r="L125" s="12"/>
      <c r="M125" s="12"/>
      <c r="N125" s="13"/>
      <c r="O125" s="22"/>
      <c r="P125" s="13"/>
      <c r="Q125" s="12"/>
      <c r="R125" s="12"/>
      <c r="S125" s="12"/>
      <c r="T125" s="12"/>
      <c r="U125" s="12"/>
      <c r="V125" s="12"/>
      <c r="W125" s="12"/>
    </row>
    <row r="126" spans="1:23" x14ac:dyDescent="0.25">
      <c r="A126" s="368"/>
      <c r="B126" s="368" t="s">
        <v>79</v>
      </c>
      <c r="C126" s="368" t="s">
        <v>544</v>
      </c>
      <c r="E126" s="233">
        <v>2</v>
      </c>
      <c r="F126" s="359" t="s">
        <v>738</v>
      </c>
      <c r="G126" s="233"/>
      <c r="H126" s="233"/>
      <c r="I126" s="13">
        <f>+INDEX('2025 Org Base Case BDs'!B:B,MATCH('2025 GSD Rate Class E-13c'!B126,'2025 Org Base Case BDs'!A:A,0))</f>
        <v>609685.46</v>
      </c>
      <c r="J126" s="12" t="s">
        <v>329</v>
      </c>
      <c r="K126" s="19">
        <f>+INDEX('2024 Base Rates'!E:E,MATCH('2025 GSD Rate Class E-13c'!C126,'2024 Base Rates'!D:D,0))</f>
        <v>1.08</v>
      </c>
      <c r="L126" s="233"/>
      <c r="M126" s="12">
        <f>+I126*K126</f>
        <v>658460.29680000001</v>
      </c>
      <c r="N126" s="233"/>
      <c r="O126" s="16"/>
      <c r="P126" s="13">
        <f>+INDEX('2025 Billing Determinants'!B:B,MATCH('2025 GSD Rate Class E-13c'!B126,'2025 Billing Determinants'!A:A,0))</f>
        <v>609685.46</v>
      </c>
      <c r="Q126" s="12" t="s">
        <v>329</v>
      </c>
      <c r="R126" s="19">
        <f>+INDEX('Unit Cost Rate Design Input'!D:D,MATCH('2025 GSD Rate Class E-13c'!C126,'Unit Cost Rate Design Input'!B:B,0))</f>
        <v>1.72</v>
      </c>
      <c r="S126" s="233"/>
      <c r="T126" s="12">
        <f>+P126*R126</f>
        <v>1048658.9911999998</v>
      </c>
      <c r="U126" s="40"/>
      <c r="V126" s="12">
        <f t="shared" ref="V126:V129" si="29">+T126-M126</f>
        <v>390198.6943999998</v>
      </c>
      <c r="W126" s="21">
        <f t="shared" ref="W126:W129" si="30">+IF(V126=0,0,(T126-M126)/M126)</f>
        <v>0.59259259259259234</v>
      </c>
    </row>
    <row r="127" spans="1:23" x14ac:dyDescent="0.25">
      <c r="A127" s="368"/>
      <c r="B127" s="368" t="s">
        <v>80</v>
      </c>
      <c r="C127" s="368" t="s">
        <v>545</v>
      </c>
      <c r="E127" s="233">
        <v>3</v>
      </c>
      <c r="F127" s="359" t="s">
        <v>739</v>
      </c>
      <c r="G127" s="233"/>
      <c r="H127" s="233"/>
      <c r="I127" s="13">
        <f>+INDEX('2025 Org Base Case BDs'!B:B,MATCH('2025 GSD Rate Class E-13c'!B127,'2025 Org Base Case BDs'!A:A,0))</f>
        <v>7206.29</v>
      </c>
      <c r="J127" s="12" t="s">
        <v>329</v>
      </c>
      <c r="K127" s="19">
        <f>+INDEX('2024 Base Rates'!E:E,MATCH('2025 GSD Rate Class E-13c'!C127,'2024 Base Rates'!D:D,0))</f>
        <v>5.98</v>
      </c>
      <c r="L127" s="233"/>
      <c r="M127" s="12">
        <f t="shared" ref="M127:M128" si="31">+I127*K127</f>
        <v>43093.614200000004</v>
      </c>
      <c r="N127" s="233"/>
      <c r="O127" s="226"/>
      <c r="P127" s="13">
        <f>+INDEX('2025 Billing Determinants'!B:B,MATCH('2025 GSD Rate Class E-13c'!B127,'2025 Billing Determinants'!A:A,0))</f>
        <v>7206.29</v>
      </c>
      <c r="Q127" s="12" t="s">
        <v>329</v>
      </c>
      <c r="R127" s="19">
        <f>+INDEX('Unit Cost Rate Design Input'!D:D,MATCH('2025 GSD Rate Class E-13c'!C127,'Unit Cost Rate Design Input'!B:B,0))</f>
        <v>9.36</v>
      </c>
      <c r="S127" s="233"/>
      <c r="T127" s="12">
        <f t="shared" ref="T127:T128" si="32">+P127*R127</f>
        <v>67450.874400000001</v>
      </c>
      <c r="U127" s="40"/>
      <c r="V127" s="12">
        <f t="shared" si="29"/>
        <v>24357.260199999997</v>
      </c>
      <c r="W127" s="21">
        <f t="shared" si="30"/>
        <v>0.56521739130434767</v>
      </c>
    </row>
    <row r="128" spans="1:23" x14ac:dyDescent="0.25">
      <c r="A128" s="368"/>
      <c r="B128" s="368" t="s">
        <v>81</v>
      </c>
      <c r="C128" s="368" t="s">
        <v>546</v>
      </c>
      <c r="E128" s="233">
        <v>4</v>
      </c>
      <c r="F128" s="359" t="s">
        <v>740</v>
      </c>
      <c r="G128" s="233"/>
      <c r="H128" s="233"/>
      <c r="I128" s="13">
        <f>+INDEX('2025 Org Base Case BDs'!B:B,MATCH('2025 GSD Rate Class E-13c'!B128,'2025 Org Base Case BDs'!A:A,0))</f>
        <v>0</v>
      </c>
      <c r="J128" s="12" t="s">
        <v>329</v>
      </c>
      <c r="K128" s="19">
        <f>+INDEX('2024 Base Rates'!E:E,MATCH('2025 GSD Rate Class E-13c'!C128,'2024 Base Rates'!D:D,0))</f>
        <v>17.48</v>
      </c>
      <c r="L128" s="233"/>
      <c r="M128" s="12">
        <f t="shared" si="31"/>
        <v>0</v>
      </c>
      <c r="N128" s="233"/>
      <c r="O128" s="226"/>
      <c r="P128" s="13">
        <f>+INDEX('2025 Billing Determinants'!B:B,MATCH('2025 GSD Rate Class E-13c'!B128,'2025 Billing Determinants'!A:A,0))</f>
        <v>0</v>
      </c>
      <c r="Q128" s="12" t="s">
        <v>329</v>
      </c>
      <c r="R128" s="19">
        <f>+INDEX('Unit Cost Rate Design Input'!D:D,MATCH('2025 GSD Rate Class E-13c'!C128,'Unit Cost Rate Design Input'!B:B,0))</f>
        <v>25.76</v>
      </c>
      <c r="S128" s="233"/>
      <c r="T128" s="12">
        <f t="shared" si="32"/>
        <v>0</v>
      </c>
      <c r="U128" s="40"/>
      <c r="V128" s="12">
        <f t="shared" si="29"/>
        <v>0</v>
      </c>
      <c r="W128" s="21">
        <f t="shared" si="30"/>
        <v>0</v>
      </c>
    </row>
    <row r="129" spans="1:23" x14ac:dyDescent="0.25">
      <c r="A129" s="368"/>
      <c r="B129" s="368"/>
      <c r="C129" s="368"/>
      <c r="E129" s="233">
        <v>5</v>
      </c>
      <c r="F129" s="233" t="s">
        <v>336</v>
      </c>
      <c r="G129" s="233"/>
      <c r="H129" s="233"/>
      <c r="I129" s="382">
        <f>+SUM(I126:I128)</f>
        <v>616891.75</v>
      </c>
      <c r="J129" s="12" t="s">
        <v>342</v>
      </c>
      <c r="K129" s="19"/>
      <c r="L129" s="233"/>
      <c r="M129" s="54">
        <f>+SUM(M126:M128)</f>
        <v>701553.91099999996</v>
      </c>
      <c r="N129" s="233"/>
      <c r="O129" s="226"/>
      <c r="P129" s="382">
        <f>+SUM(P126:P128)</f>
        <v>616891.75</v>
      </c>
      <c r="Q129" s="12" t="s">
        <v>342</v>
      </c>
      <c r="R129" s="19"/>
      <c r="S129" s="233"/>
      <c r="T129" s="54">
        <f>+SUM(T126:T128)</f>
        <v>1116109.8655999999</v>
      </c>
      <c r="U129" s="383"/>
      <c r="V129" s="12">
        <f t="shared" si="29"/>
        <v>414555.95459999994</v>
      </c>
      <c r="W129" s="21">
        <f t="shared" si="30"/>
        <v>0.59091104489616331</v>
      </c>
    </row>
    <row r="130" spans="1:23" x14ac:dyDescent="0.25">
      <c r="A130" s="368"/>
      <c r="B130" s="368"/>
      <c r="C130" s="368"/>
      <c r="E130" s="233">
        <v>6</v>
      </c>
      <c r="F130" s="233"/>
      <c r="G130" s="233"/>
      <c r="H130" s="233"/>
      <c r="I130" s="233"/>
      <c r="J130" s="233"/>
      <c r="K130" s="233"/>
      <c r="L130" s="233"/>
      <c r="M130" s="27"/>
      <c r="N130" s="233"/>
      <c r="O130" s="233"/>
      <c r="P130" s="233"/>
      <c r="Q130" s="233"/>
      <c r="R130" s="233"/>
      <c r="S130" s="233"/>
      <c r="T130" s="233"/>
      <c r="U130" s="233"/>
      <c r="V130" s="233"/>
      <c r="W130" s="233"/>
    </row>
    <row r="131" spans="1:23" x14ac:dyDescent="0.25">
      <c r="A131" s="368"/>
      <c r="B131" s="368"/>
      <c r="C131" s="368"/>
      <c r="E131" s="233">
        <v>7</v>
      </c>
      <c r="F131" s="11" t="s">
        <v>343</v>
      </c>
      <c r="G131" s="233"/>
      <c r="H131" s="233"/>
      <c r="I131" s="233"/>
      <c r="J131" s="233"/>
      <c r="K131" s="233"/>
      <c r="L131" s="233"/>
      <c r="M131" s="27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</row>
    <row r="132" spans="1:23" x14ac:dyDescent="0.25">
      <c r="A132" s="368"/>
      <c r="B132" s="368" t="s">
        <v>83</v>
      </c>
      <c r="C132" s="368" t="s">
        <v>499</v>
      </c>
      <c r="E132" s="233">
        <v>8</v>
      </c>
      <c r="F132" s="359" t="s">
        <v>738</v>
      </c>
      <c r="G132" s="233"/>
      <c r="H132" s="233"/>
      <c r="I132" s="13">
        <f>+INDEX('2025 Org Base Case BDs'!B:B,MATCH('2025 GSD Rate Class E-13c'!B132,'2025 Org Base Case BDs'!A:A,0))</f>
        <v>353684044</v>
      </c>
      <c r="J132" s="12" t="s">
        <v>711</v>
      </c>
      <c r="K132" s="28">
        <f>+INDEX('2024 Base Rates'!E:E,MATCH('2025 GSD Rate Class E-13c'!C132,'2024 Base Rates'!D:D,0))</f>
        <v>7.1150000000000005E-2</v>
      </c>
      <c r="L132" s="12"/>
      <c r="M132" s="12">
        <f>+I132*K132</f>
        <v>25164619.730600003</v>
      </c>
      <c r="N132" s="12"/>
      <c r="O132" s="22"/>
      <c r="P132" s="13">
        <f>+INDEX('2025 Billing Determinants'!B:B,MATCH('2025 GSD Rate Class E-13c'!B132,'2025 Billing Determinants'!A:A,0))</f>
        <v>353684044</v>
      </c>
      <c r="Q132" s="12" t="s">
        <v>711</v>
      </c>
      <c r="R132" s="28">
        <f>+((R27*18000)+(R43*70))/18000</f>
        <v>8.4026870572544515E-2</v>
      </c>
      <c r="S132" s="12"/>
      <c r="T132" s="12">
        <f>+P132*R132</f>
        <v>29718963.388762139</v>
      </c>
      <c r="U132" s="12"/>
      <c r="V132" s="12">
        <f t="shared" ref="V132:V135" si="33">+T132-M132</f>
        <v>4554343.6581621356</v>
      </c>
      <c r="W132" s="21">
        <f t="shared" ref="W132:W135" si="34">+IF(V132=0,0,(T132-M132)/M132)</f>
        <v>0.18098201788537599</v>
      </c>
    </row>
    <row r="133" spans="1:23" x14ac:dyDescent="0.25">
      <c r="A133" s="368"/>
      <c r="B133" s="368" t="s">
        <v>84</v>
      </c>
      <c r="C133" s="368" t="s">
        <v>500</v>
      </c>
      <c r="E133" s="233">
        <v>9</v>
      </c>
      <c r="F133" s="359" t="s">
        <v>739</v>
      </c>
      <c r="G133" s="233"/>
      <c r="H133" s="233"/>
      <c r="I133" s="13">
        <f>+INDEX('2025 Org Base Case BDs'!B:B,MATCH('2025 GSD Rate Class E-13c'!B133,'2025 Org Base Case BDs'!A:A,0))</f>
        <v>6254543</v>
      </c>
      <c r="J133" s="12" t="s">
        <v>711</v>
      </c>
      <c r="K133" s="28">
        <f>+INDEX('2024 Base Rates'!E:E,MATCH('2025 GSD Rate Class E-13c'!C133,'2024 Base Rates'!D:D,0))</f>
        <v>7.1150000000000005E-2</v>
      </c>
      <c r="L133" s="12"/>
      <c r="M133" s="12">
        <f t="shared" ref="M133:M134" si="35">+I133*K133</f>
        <v>445010.73445000005</v>
      </c>
      <c r="N133" s="12"/>
      <c r="O133" s="22"/>
      <c r="P133" s="13">
        <f>+INDEX('2025 Billing Determinants'!B:B,MATCH('2025 GSD Rate Class E-13c'!B133,'2025 Billing Determinants'!A:A,0))</f>
        <v>6254543</v>
      </c>
      <c r="Q133" s="12" t="s">
        <v>711</v>
      </c>
      <c r="R133" s="28">
        <f t="shared" ref="R133:R134" si="36">+((R28*18000)+(R44*70))/18000</f>
        <v>8.4026870572544515E-2</v>
      </c>
      <c r="S133" s="12"/>
      <c r="T133" s="12">
        <f t="shared" ref="T133:T134" si="37">+P133*R133</f>
        <v>525549.67515141424</v>
      </c>
      <c r="U133" s="12"/>
      <c r="V133" s="12">
        <f t="shared" si="33"/>
        <v>80538.940701414191</v>
      </c>
      <c r="W133" s="21">
        <f t="shared" si="34"/>
        <v>0.18098201788537593</v>
      </c>
    </row>
    <row r="134" spans="1:23" x14ac:dyDescent="0.25">
      <c r="A134" s="368"/>
      <c r="B134" s="368" t="s">
        <v>85</v>
      </c>
      <c r="C134" s="368" t="s">
        <v>501</v>
      </c>
      <c r="E134" s="233">
        <v>10</v>
      </c>
      <c r="F134" s="359" t="s">
        <v>740</v>
      </c>
      <c r="G134" s="233"/>
      <c r="H134" s="233"/>
      <c r="I134" s="13">
        <f>+INDEX('2025 Org Base Case BDs'!B:B,MATCH('2025 GSD Rate Class E-13c'!B134,'2025 Org Base Case BDs'!A:A,0))</f>
        <v>0</v>
      </c>
      <c r="J134" s="12" t="s">
        <v>711</v>
      </c>
      <c r="K134" s="28">
        <f>+INDEX('2024 Base Rates'!E:E,MATCH('2025 GSD Rate Class E-13c'!C134,'2024 Base Rates'!D:D,0))</f>
        <v>7.1150000000000005E-2</v>
      </c>
      <c r="L134" s="12"/>
      <c r="M134" s="12">
        <f t="shared" si="35"/>
        <v>0</v>
      </c>
      <c r="N134" s="12"/>
      <c r="O134" s="22"/>
      <c r="P134" s="13">
        <f>+INDEX('2025 Billing Determinants'!B:B,MATCH('2025 GSD Rate Class E-13c'!B134,'2025 Billing Determinants'!A:A,0))</f>
        <v>0</v>
      </c>
      <c r="Q134" s="12" t="s">
        <v>711</v>
      </c>
      <c r="R134" s="28">
        <f t="shared" si="36"/>
        <v>8.4026870572544515E-2</v>
      </c>
      <c r="S134" s="12"/>
      <c r="T134" s="12">
        <f t="shared" si="37"/>
        <v>0</v>
      </c>
      <c r="U134" s="12"/>
      <c r="V134" s="12">
        <f t="shared" si="33"/>
        <v>0</v>
      </c>
      <c r="W134" s="21">
        <f t="shared" si="34"/>
        <v>0</v>
      </c>
    </row>
    <row r="135" spans="1:23" x14ac:dyDescent="0.25">
      <c r="A135" s="368"/>
      <c r="B135" s="368"/>
      <c r="C135" s="368"/>
      <c r="E135" s="233">
        <v>11</v>
      </c>
      <c r="F135" s="233" t="s">
        <v>336</v>
      </c>
      <c r="G135" s="233"/>
      <c r="H135" s="233"/>
      <c r="I135" s="382">
        <f>+SUM(I132:I134)</f>
        <v>359938587</v>
      </c>
      <c r="J135" s="12" t="s">
        <v>711</v>
      </c>
      <c r="K135" s="19"/>
      <c r="L135" s="233"/>
      <c r="M135" s="54">
        <f>+SUM(M132:M134)</f>
        <v>25609630.465050004</v>
      </c>
      <c r="N135" s="233"/>
      <c r="O135" s="226"/>
      <c r="P135" s="382">
        <f>+SUM(P132:P134)</f>
        <v>359938587</v>
      </c>
      <c r="Q135" s="12" t="s">
        <v>711</v>
      </c>
      <c r="R135" s="19"/>
      <c r="S135" s="233"/>
      <c r="T135" s="54">
        <f>+SUM(T132:T134)</f>
        <v>30244513.063913554</v>
      </c>
      <c r="U135" s="12"/>
      <c r="V135" s="12">
        <f t="shared" si="33"/>
        <v>4634882.5988635495</v>
      </c>
      <c r="W135" s="21">
        <f t="shared" si="34"/>
        <v>0.18098201788537599</v>
      </c>
    </row>
    <row r="136" spans="1:23" x14ac:dyDescent="0.25">
      <c r="A136" s="368"/>
      <c r="B136" s="368"/>
      <c r="C136" s="368"/>
      <c r="E136" s="233">
        <v>12</v>
      </c>
      <c r="F136" s="233"/>
      <c r="G136" s="233"/>
      <c r="H136" s="233"/>
      <c r="I136" s="384"/>
      <c r="J136" s="233"/>
      <c r="K136" s="233"/>
      <c r="L136" s="233"/>
      <c r="M136" s="27"/>
      <c r="N136" s="233"/>
      <c r="O136" s="226"/>
      <c r="P136" s="384"/>
      <c r="Q136" s="233"/>
      <c r="R136" s="233"/>
      <c r="S136" s="233"/>
      <c r="T136" s="233"/>
      <c r="U136" s="233"/>
      <c r="V136" s="233"/>
      <c r="W136" s="233"/>
    </row>
    <row r="137" spans="1:23" x14ac:dyDescent="0.25">
      <c r="A137" s="368"/>
      <c r="B137" s="368"/>
      <c r="C137" s="368"/>
      <c r="E137" s="233">
        <v>13</v>
      </c>
      <c r="F137" s="233" t="s">
        <v>380</v>
      </c>
      <c r="G137" s="233"/>
      <c r="H137" s="233"/>
      <c r="I137" s="12"/>
      <c r="J137" s="12"/>
      <c r="K137" s="19"/>
      <c r="L137" s="233"/>
      <c r="M137" s="19"/>
      <c r="N137" s="233"/>
      <c r="O137" s="226"/>
      <c r="P137" s="12"/>
      <c r="Q137" s="12"/>
      <c r="R137" s="19"/>
      <c r="S137" s="233"/>
      <c r="T137" s="12"/>
      <c r="U137" s="233"/>
      <c r="V137" s="233"/>
      <c r="W137" s="23"/>
    </row>
    <row r="138" spans="1:23" x14ac:dyDescent="0.25">
      <c r="A138" s="368"/>
      <c r="B138" s="368" t="s">
        <v>94</v>
      </c>
      <c r="C138" s="368" t="s">
        <v>510</v>
      </c>
      <c r="E138" s="233">
        <v>14</v>
      </c>
      <c r="F138" s="359" t="s">
        <v>738</v>
      </c>
      <c r="G138" s="233"/>
      <c r="H138" s="233"/>
      <c r="I138" s="13">
        <f>+INDEX('2025 Org Base Case BDs'!B:B,MATCH('2025 GSD Rate Class E-13c'!B138,'2025 Org Base Case BDs'!A:A,0))</f>
        <v>1992622</v>
      </c>
      <c r="J138" s="12" t="s">
        <v>730</v>
      </c>
      <c r="K138" s="19">
        <f>+INDEX('2024 Base Rates'!E:E,MATCH('2025 GSD Rate Class E-13c'!C138,'2024 Base Rates'!D:D,0))</f>
        <v>0</v>
      </c>
      <c r="L138" s="12"/>
      <c r="M138" s="12">
        <f>+I138*K138</f>
        <v>0</v>
      </c>
      <c r="N138" s="12"/>
      <c r="O138" s="22"/>
      <c r="P138" s="13">
        <f>+INDEX('2025 Billing Determinants'!B:B,MATCH('2025 GSD Rate Class E-13c'!B138,'2025 Billing Determinants'!A:A,0))</f>
        <v>1992622</v>
      </c>
      <c r="Q138" s="12" t="s">
        <v>730</v>
      </c>
      <c r="R138" s="19">
        <f>+K138*(1+$C$7)</f>
        <v>0</v>
      </c>
      <c r="S138" s="12"/>
      <c r="T138" s="12">
        <f>+P138*R138</f>
        <v>0</v>
      </c>
      <c r="U138" s="12"/>
      <c r="V138" s="12">
        <f t="shared" ref="V138:V141" si="38">+T138-M138</f>
        <v>0</v>
      </c>
      <c r="W138" s="21">
        <f t="shared" ref="W138:W141" si="39">+IF(V138=0,0,(T138-M138)/M138)</f>
        <v>0</v>
      </c>
    </row>
    <row r="139" spans="1:23" x14ac:dyDescent="0.25">
      <c r="A139" s="368"/>
      <c r="B139" s="368" t="s">
        <v>95</v>
      </c>
      <c r="C139" s="368" t="s">
        <v>511</v>
      </c>
      <c r="E139" s="233">
        <v>15</v>
      </c>
      <c r="F139" s="359" t="s">
        <v>739</v>
      </c>
      <c r="G139" s="233"/>
      <c r="H139" s="233"/>
      <c r="I139" s="13">
        <f>+INDEX('2025 Org Base Case BDs'!B:B,MATCH('2025 GSD Rate Class E-13c'!B139,'2025 Org Base Case BDs'!A:A,0))</f>
        <v>53831</v>
      </c>
      <c r="J139" s="12" t="s">
        <v>730</v>
      </c>
      <c r="K139" s="19">
        <f>+INDEX('2024 Base Rates'!E:E,MATCH('2025 GSD Rate Class E-13c'!C139,'2024 Base Rates'!D:D,0))</f>
        <v>0</v>
      </c>
      <c r="L139" s="12"/>
      <c r="M139" s="12">
        <f t="shared" ref="M139:M140" si="40">+I139*K139</f>
        <v>0</v>
      </c>
      <c r="N139" s="12"/>
      <c r="O139" s="22"/>
      <c r="P139" s="13">
        <f>+INDEX('2025 Billing Determinants'!B:B,MATCH('2025 GSD Rate Class E-13c'!B139,'2025 Billing Determinants'!A:A,0))</f>
        <v>53831</v>
      </c>
      <c r="Q139" s="12" t="s">
        <v>730</v>
      </c>
      <c r="R139" s="19">
        <f t="shared" ref="R139:R140" si="41">+K139*(1+$C$7)</f>
        <v>0</v>
      </c>
      <c r="S139" s="12"/>
      <c r="T139" s="12">
        <f t="shared" ref="T139:T140" si="42">+P139*R139</f>
        <v>0</v>
      </c>
      <c r="U139" s="12"/>
      <c r="V139" s="12">
        <f t="shared" si="38"/>
        <v>0</v>
      </c>
      <c r="W139" s="21">
        <f t="shared" si="39"/>
        <v>0</v>
      </c>
    </row>
    <row r="140" spans="1:23" x14ac:dyDescent="0.25">
      <c r="A140" s="368"/>
      <c r="B140" s="368" t="s">
        <v>96</v>
      </c>
      <c r="C140" s="368" t="s">
        <v>512</v>
      </c>
      <c r="E140" s="233">
        <v>16</v>
      </c>
      <c r="F140" s="359" t="s">
        <v>740</v>
      </c>
      <c r="G140" s="233"/>
      <c r="H140" s="233"/>
      <c r="I140" s="13">
        <f>+INDEX('2025 Org Base Case BDs'!B:B,MATCH('2025 GSD Rate Class E-13c'!B140,'2025 Org Base Case BDs'!A:A,0))</f>
        <v>0</v>
      </c>
      <c r="J140" s="12" t="s">
        <v>730</v>
      </c>
      <c r="K140" s="19">
        <f>+INDEX('2024 Base Rates'!E:E,MATCH('2025 GSD Rate Class E-13c'!C140,'2024 Base Rates'!D:D,0))</f>
        <v>0</v>
      </c>
      <c r="L140" s="12"/>
      <c r="M140" s="53">
        <f t="shared" si="40"/>
        <v>0</v>
      </c>
      <c r="N140" s="12"/>
      <c r="O140" s="22"/>
      <c r="P140" s="13">
        <f>+INDEX('2025 Billing Determinants'!B:B,MATCH('2025 GSD Rate Class E-13c'!B140,'2025 Billing Determinants'!A:A,0))</f>
        <v>0</v>
      </c>
      <c r="Q140" s="12" t="s">
        <v>730</v>
      </c>
      <c r="R140" s="19">
        <f t="shared" si="41"/>
        <v>0</v>
      </c>
      <c r="S140" s="12"/>
      <c r="T140" s="53">
        <f t="shared" si="42"/>
        <v>0</v>
      </c>
      <c r="U140" s="12"/>
      <c r="V140" s="12">
        <f t="shared" si="38"/>
        <v>0</v>
      </c>
      <c r="W140" s="21">
        <f t="shared" si="39"/>
        <v>0</v>
      </c>
    </row>
    <row r="141" spans="1:23" x14ac:dyDescent="0.25">
      <c r="A141" s="368"/>
      <c r="B141" s="368"/>
      <c r="C141" s="368"/>
      <c r="E141" s="233">
        <v>17</v>
      </c>
      <c r="F141" s="11" t="s">
        <v>336</v>
      </c>
      <c r="G141" s="233"/>
      <c r="H141" s="233"/>
      <c r="I141" s="382">
        <f>+SUM(I138:I140)</f>
        <v>2046453</v>
      </c>
      <c r="J141" s="12" t="s">
        <v>730</v>
      </c>
      <c r="K141" s="19"/>
      <c r="L141" s="233"/>
      <c r="M141" s="53">
        <f>+SUM(M138:M140)</f>
        <v>0</v>
      </c>
      <c r="N141" s="233"/>
      <c r="O141" s="226"/>
      <c r="P141" s="382">
        <f>+SUM(P138:P140)</f>
        <v>2046453</v>
      </c>
      <c r="Q141" s="12"/>
      <c r="R141" s="19"/>
      <c r="S141" s="233"/>
      <c r="T141" s="53">
        <f>+SUM(T138:T140)</f>
        <v>0</v>
      </c>
      <c r="U141" s="233"/>
      <c r="V141" s="12">
        <f t="shared" si="38"/>
        <v>0</v>
      </c>
      <c r="W141" s="21">
        <f t="shared" si="39"/>
        <v>0</v>
      </c>
    </row>
    <row r="142" spans="1:23" x14ac:dyDescent="0.25">
      <c r="A142" s="368"/>
      <c r="B142" s="368"/>
      <c r="C142" s="368"/>
      <c r="E142" s="233">
        <v>18</v>
      </c>
      <c r="F142" s="233"/>
      <c r="G142" s="233"/>
      <c r="H142" s="233"/>
      <c r="I142" s="30"/>
      <c r="J142" s="12"/>
      <c r="K142" s="19"/>
      <c r="L142" s="12"/>
      <c r="M142" s="19"/>
      <c r="N142" s="12"/>
      <c r="O142" s="22"/>
      <c r="P142" s="30"/>
      <c r="Q142" s="12"/>
      <c r="R142" s="19"/>
      <c r="S142" s="12"/>
      <c r="T142" s="12"/>
      <c r="U142" s="233"/>
      <c r="V142" s="233"/>
      <c r="W142" s="23"/>
    </row>
    <row r="143" spans="1:23" x14ac:dyDescent="0.25">
      <c r="A143" s="368"/>
      <c r="B143" s="368"/>
      <c r="C143" s="368"/>
      <c r="E143" s="233">
        <v>19</v>
      </c>
      <c r="F143" s="11" t="s">
        <v>841</v>
      </c>
      <c r="G143" s="233"/>
      <c r="H143" s="233"/>
      <c r="I143" s="12"/>
      <c r="J143" s="12"/>
      <c r="K143" s="19"/>
      <c r="L143" s="233"/>
      <c r="M143" s="19"/>
      <c r="N143" s="233"/>
      <c r="O143" s="226"/>
      <c r="P143" s="12"/>
      <c r="Q143" s="12"/>
      <c r="R143" s="19"/>
      <c r="S143" s="233"/>
      <c r="T143" s="12"/>
      <c r="U143" s="233"/>
      <c r="V143" s="233"/>
      <c r="W143" s="23"/>
    </row>
    <row r="144" spans="1:23" x14ac:dyDescent="0.25">
      <c r="A144" s="368"/>
      <c r="B144" s="368" t="s">
        <v>87</v>
      </c>
      <c r="C144" s="368" t="s">
        <v>521</v>
      </c>
      <c r="E144" s="233">
        <v>20</v>
      </c>
      <c r="F144" s="359" t="s">
        <v>739</v>
      </c>
      <c r="G144" s="15"/>
      <c r="H144" s="233"/>
      <c r="I144" s="13">
        <f>+INDEX('2025 Org Base Case BDs'!B:B,MATCH('2025 GSD Rate Class E-13c'!B144,'2025 Org Base Case BDs'!A:A,0))</f>
        <v>2471303</v>
      </c>
      <c r="J144" s="12" t="s">
        <v>711</v>
      </c>
      <c r="K144" s="28">
        <f>+INDEX('2024 Base Rates'!E:E,MATCH('2025 GSD Rate Class E-13c'!C144,'2024 Base Rates'!D:D,0))</f>
        <v>-1.23E-3</v>
      </c>
      <c r="L144" s="12"/>
      <c r="M144" s="12">
        <f>+I144*K144</f>
        <v>-3039.7026900000001</v>
      </c>
      <c r="N144" s="12"/>
      <c r="O144" s="22"/>
      <c r="P144" s="13">
        <f>+INDEX('2025 Billing Determinants'!B:B,MATCH('2025 GSD Rate Class E-13c'!B144,'2025 Billing Determinants'!A:A,0))</f>
        <v>2471303</v>
      </c>
      <c r="Q144" s="12" t="s">
        <v>711</v>
      </c>
      <c r="R144" s="28">
        <f>+INDEX('Unit Cost Rate Design Input'!D:D,MATCH('2025 GSD Rate Class E-13c'!C144,'Unit Cost Rate Design Input'!B:B,0))</f>
        <v>-1.3824130183384699E-3</v>
      </c>
      <c r="S144" s="12"/>
      <c r="T144" s="12">
        <f>+P144*R144</f>
        <v>-3416.3614394589158</v>
      </c>
      <c r="U144" s="12"/>
      <c r="V144" s="12">
        <f t="shared" ref="V144:V146" si="43">+T144-M144</f>
        <v>-376.65874945891574</v>
      </c>
      <c r="W144" s="21">
        <f t="shared" ref="W144:W146" si="44">+IF(V144=0,0,(T144-M144)/M144)</f>
        <v>0.12391302303940643</v>
      </c>
    </row>
    <row r="145" spans="1:23" ht="16.5" x14ac:dyDescent="0.35">
      <c r="A145" s="368"/>
      <c r="B145" s="368" t="s">
        <v>88</v>
      </c>
      <c r="C145" s="368" t="s">
        <v>522</v>
      </c>
      <c r="E145" s="233">
        <v>21</v>
      </c>
      <c r="F145" s="359" t="s">
        <v>740</v>
      </c>
      <c r="G145" s="15"/>
      <c r="H145" s="233"/>
      <c r="I145" s="13">
        <f>+INDEX('2025 Org Base Case BDs'!B:B,MATCH('2025 GSD Rate Class E-13c'!B145,'2025 Org Base Case BDs'!A:A,0))</f>
        <v>0</v>
      </c>
      <c r="J145" s="12" t="s">
        <v>711</v>
      </c>
      <c r="K145" s="28">
        <f>+INDEX('2024 Base Rates'!E:E,MATCH('2025 GSD Rate Class E-13c'!C145,'2024 Base Rates'!D:D,0))</f>
        <v>-5.28E-3</v>
      </c>
      <c r="L145" s="12"/>
      <c r="M145" s="58">
        <f>+I145*K145</f>
        <v>0</v>
      </c>
      <c r="N145" s="12"/>
      <c r="O145" s="22"/>
      <c r="P145" s="13">
        <f>+INDEX('2025 Billing Determinants'!B:B,MATCH('2025 GSD Rate Class E-13c'!B145,'2025 Billing Determinants'!A:A,0))</f>
        <v>0</v>
      </c>
      <c r="Q145" s="12" t="s">
        <v>711</v>
      </c>
      <c r="R145" s="28">
        <f>+INDEX('Unit Cost Rate Design Input'!D:D,MATCH('2025 GSD Rate Class E-13c'!C145,'Unit Cost Rate Design Input'!B:B,0))</f>
        <v>-7.9145209896204303E-3</v>
      </c>
      <c r="S145" s="12"/>
      <c r="T145" s="58">
        <f>+P145*R145</f>
        <v>0</v>
      </c>
      <c r="U145" s="12"/>
      <c r="V145" s="12">
        <f t="shared" si="43"/>
        <v>0</v>
      </c>
      <c r="W145" s="21">
        <f t="shared" si="44"/>
        <v>0</v>
      </c>
    </row>
    <row r="146" spans="1:23" x14ac:dyDescent="0.25">
      <c r="A146" s="368"/>
      <c r="B146" s="368"/>
      <c r="C146" s="368"/>
      <c r="E146" s="233">
        <v>22</v>
      </c>
      <c r="F146" s="310" t="s">
        <v>336</v>
      </c>
      <c r="G146" s="233"/>
      <c r="H146" s="233"/>
      <c r="I146" s="55">
        <f>+SUM(I144:I145)</f>
        <v>2471303</v>
      </c>
      <c r="J146" s="12" t="s">
        <v>711</v>
      </c>
      <c r="K146" s="19"/>
      <c r="L146" s="233"/>
      <c r="M146" s="53">
        <f>+SUM(M144:M145)</f>
        <v>-3039.7026900000001</v>
      </c>
      <c r="N146" s="233"/>
      <c r="O146" s="226"/>
      <c r="P146" s="55">
        <f>+SUM(P144:P145)</f>
        <v>2471303</v>
      </c>
      <c r="Q146" s="12" t="s">
        <v>711</v>
      </c>
      <c r="R146" s="19"/>
      <c r="S146" s="233"/>
      <c r="T146" s="53">
        <f>+SUM(T144:T145)</f>
        <v>-3416.3614394589158</v>
      </c>
      <c r="U146" s="12"/>
      <c r="V146" s="12">
        <f t="shared" si="43"/>
        <v>-376.65874945891574</v>
      </c>
      <c r="W146" s="21">
        <f t="shared" si="44"/>
        <v>0.12391302303940643</v>
      </c>
    </row>
    <row r="147" spans="1:23" x14ac:dyDescent="0.25">
      <c r="A147" s="368"/>
      <c r="B147" s="368"/>
      <c r="C147" s="368"/>
      <c r="E147" s="233">
        <v>23</v>
      </c>
    </row>
    <row r="148" spans="1:23" x14ac:dyDescent="0.25">
      <c r="A148" s="368"/>
      <c r="B148" s="368"/>
      <c r="C148" s="368"/>
      <c r="E148" s="233">
        <v>24</v>
      </c>
    </row>
    <row r="149" spans="1:23" x14ac:dyDescent="0.25">
      <c r="A149" s="368"/>
      <c r="B149" s="368"/>
      <c r="C149" s="368"/>
      <c r="E149" s="233">
        <v>25</v>
      </c>
      <c r="F149" s="233" t="s">
        <v>741</v>
      </c>
      <c r="G149" s="233"/>
      <c r="H149" s="233"/>
      <c r="I149" s="233"/>
      <c r="J149" s="233"/>
      <c r="K149" s="233"/>
      <c r="L149" s="233"/>
      <c r="M149" s="27"/>
      <c r="N149" s="233"/>
      <c r="O149" s="233"/>
      <c r="P149" s="233"/>
      <c r="Q149" s="233"/>
      <c r="R149" s="233"/>
      <c r="S149" s="233"/>
      <c r="T149" s="233"/>
      <c r="U149" s="233"/>
      <c r="V149" s="233"/>
      <c r="W149" s="23"/>
    </row>
    <row r="150" spans="1:23" x14ac:dyDescent="0.25">
      <c r="A150" s="368"/>
      <c r="B150" s="368" t="s">
        <v>90</v>
      </c>
      <c r="C150" s="368" t="s">
        <v>528</v>
      </c>
      <c r="E150" s="233">
        <v>26</v>
      </c>
      <c r="F150" s="359" t="s">
        <v>738</v>
      </c>
      <c r="G150" s="38"/>
      <c r="H150" s="233"/>
      <c r="I150" s="13">
        <f>+INDEX('2025 Org Base Case BDs'!B:B,MATCH('2025 GSD Rate Class E-13c'!B150,'2025 Org Base Case BDs'!A:A,0))</f>
        <v>16331549</v>
      </c>
      <c r="J150" s="12" t="s">
        <v>711</v>
      </c>
      <c r="K150" s="28">
        <f>+INDEX('2024 Base Rates'!E:E,MATCH('2025 GSD Rate Class E-13c'!C150,'2024 Base Rates'!D:D,0))</f>
        <v>1.7099999999999999E-3</v>
      </c>
      <c r="L150" s="41"/>
      <c r="M150" s="12">
        <f>+I150*K150</f>
        <v>27926.948789999999</v>
      </c>
      <c r="N150" s="12"/>
      <c r="O150" s="22"/>
      <c r="P150" s="13">
        <f>+INDEX('2025 Billing Determinants'!B:B,MATCH('2025 GSD Rate Class E-13c'!B150,'2025 Billing Determinants'!A:A,0))</f>
        <v>16331549</v>
      </c>
      <c r="Q150" s="12" t="s">
        <v>711</v>
      </c>
      <c r="R150" s="28">
        <f>+INDEX('Unit Cost Rate Design Input'!D:D,MATCH('2025 GSD Rate Class E-13c'!C150,'Unit Cost Rate Design Input'!B:B,0))</f>
        <v>2.5699999999999998E-3</v>
      </c>
      <c r="S150" s="12"/>
      <c r="T150" s="12">
        <f>+P150*R150</f>
        <v>41972.080929999996</v>
      </c>
      <c r="U150" s="12"/>
      <c r="V150" s="12">
        <f t="shared" ref="V150:V153" si="45">+T150-M150</f>
        <v>14045.132139999998</v>
      </c>
      <c r="W150" s="21">
        <f t="shared" ref="W150:W153" si="46">+IF(V150=0,0,(T150-M150)/M150)</f>
        <v>0.50292397660818711</v>
      </c>
    </row>
    <row r="151" spans="1:23" x14ac:dyDescent="0.25">
      <c r="A151" s="368"/>
      <c r="B151" s="368" t="s">
        <v>91</v>
      </c>
      <c r="C151" s="368" t="s">
        <v>529</v>
      </c>
      <c r="E151" s="233">
        <v>27</v>
      </c>
      <c r="F151" s="359" t="s">
        <v>739</v>
      </c>
      <c r="G151" s="38"/>
      <c r="H151" s="233"/>
      <c r="I151" s="13">
        <f>+INDEX('2025 Org Base Case BDs'!B:B,MATCH('2025 GSD Rate Class E-13c'!B151,'2025 Org Base Case BDs'!A:A,0))</f>
        <v>0</v>
      </c>
      <c r="J151" s="12" t="s">
        <v>711</v>
      </c>
      <c r="K151" s="28">
        <f>+INDEX('2024 Base Rates'!E:E,MATCH('2025 GSD Rate Class E-13c'!C151,'2024 Base Rates'!D:D,0))</f>
        <v>1.7099999999999999E-3</v>
      </c>
      <c r="L151" s="41"/>
      <c r="M151" s="12">
        <f>+I151*K151</f>
        <v>0</v>
      </c>
      <c r="N151" s="233"/>
      <c r="O151" s="226"/>
      <c r="P151" s="13">
        <f>+INDEX('2025 Billing Determinants'!B:B,MATCH('2025 GSD Rate Class E-13c'!B151,'2025 Billing Determinants'!A:A,0))</f>
        <v>0</v>
      </c>
      <c r="Q151" s="12" t="s">
        <v>711</v>
      </c>
      <c r="R151" s="28">
        <f>+INDEX('Unit Cost Rate Design Input'!D:D,MATCH('2025 GSD Rate Class E-13c'!C151,'Unit Cost Rate Design Input'!B:B,0))</f>
        <v>2.5699999999999998E-3</v>
      </c>
      <c r="S151" s="233"/>
      <c r="T151" s="12">
        <f t="shared" ref="T151:T152" si="47">+P151*R151</f>
        <v>0</v>
      </c>
      <c r="U151" s="233"/>
      <c r="V151" s="12">
        <f t="shared" si="45"/>
        <v>0</v>
      </c>
      <c r="W151" s="21">
        <f t="shared" si="46"/>
        <v>0</v>
      </c>
    </row>
    <row r="152" spans="1:23" ht="16.5" x14ac:dyDescent="0.35">
      <c r="A152" s="368"/>
      <c r="B152" s="368" t="s">
        <v>92</v>
      </c>
      <c r="C152" s="368" t="s">
        <v>530</v>
      </c>
      <c r="E152" s="233">
        <v>28</v>
      </c>
      <c r="F152" s="359" t="s">
        <v>740</v>
      </c>
      <c r="G152" s="38"/>
      <c r="H152" s="233"/>
      <c r="I152" s="13">
        <f>+INDEX('2025 Org Base Case BDs'!B:B,MATCH('2025 GSD Rate Class E-13c'!B152,'2025 Org Base Case BDs'!A:A,0))</f>
        <v>0</v>
      </c>
      <c r="J152" s="12" t="s">
        <v>711</v>
      </c>
      <c r="K152" s="28">
        <f>+INDEX('2024 Base Rates'!E:E,MATCH('2025 GSD Rate Class E-13c'!C152,'2024 Base Rates'!D:D,0))</f>
        <v>1.7099999999999999E-3</v>
      </c>
      <c r="L152" s="41"/>
      <c r="M152" s="58">
        <f>+I152*K152</f>
        <v>0</v>
      </c>
      <c r="N152" s="233"/>
      <c r="O152" s="226"/>
      <c r="P152" s="13">
        <f>+INDEX('2025 Billing Determinants'!B:B,MATCH('2025 GSD Rate Class E-13c'!B152,'2025 Billing Determinants'!A:A,0))</f>
        <v>0</v>
      </c>
      <c r="Q152" s="12" t="s">
        <v>711</v>
      </c>
      <c r="R152" s="28">
        <f>+INDEX('Unit Cost Rate Design Input'!D:D,MATCH('2025 GSD Rate Class E-13c'!C152,'Unit Cost Rate Design Input'!B:B,0))</f>
        <v>2.5699999999999998E-3</v>
      </c>
      <c r="S152" s="233"/>
      <c r="T152" s="58">
        <f t="shared" si="47"/>
        <v>0</v>
      </c>
      <c r="U152" s="233"/>
      <c r="V152" s="12">
        <f t="shared" si="45"/>
        <v>0</v>
      </c>
      <c r="W152" s="21">
        <f t="shared" si="46"/>
        <v>0</v>
      </c>
    </row>
    <row r="153" spans="1:23" x14ac:dyDescent="0.25">
      <c r="A153" s="368"/>
      <c r="B153" s="368"/>
      <c r="C153" s="368"/>
      <c r="E153" s="233">
        <v>29</v>
      </c>
      <c r="F153" s="11" t="s">
        <v>336</v>
      </c>
      <c r="G153" s="233"/>
      <c r="H153" s="233"/>
      <c r="I153" s="382">
        <f>+SUM(I150:I152)</f>
        <v>16331549</v>
      </c>
      <c r="J153" s="12" t="s">
        <v>711</v>
      </c>
      <c r="K153" s="19"/>
      <c r="L153" s="233"/>
      <c r="M153" s="53">
        <f>+SUM(M150:M152)</f>
        <v>27926.948789999999</v>
      </c>
      <c r="N153" s="233"/>
      <c r="O153" s="226"/>
      <c r="P153" s="382">
        <f>+SUM(P150:P152)</f>
        <v>16331549</v>
      </c>
      <c r="Q153" s="12" t="s">
        <v>711</v>
      </c>
      <c r="R153" s="19"/>
      <c r="S153" s="233"/>
      <c r="T153" s="53">
        <f>+SUM(T150:T152)</f>
        <v>41972.080929999996</v>
      </c>
      <c r="U153" s="233"/>
      <c r="V153" s="12">
        <f t="shared" si="45"/>
        <v>14045.132139999998</v>
      </c>
      <c r="W153" s="21">
        <f t="shared" si="46"/>
        <v>0.50292397660818711</v>
      </c>
    </row>
    <row r="154" spans="1:23" x14ac:dyDescent="0.25">
      <c r="A154" s="368"/>
      <c r="B154" s="368"/>
      <c r="C154" s="368"/>
      <c r="E154" s="233">
        <v>30</v>
      </c>
    </row>
    <row r="155" spans="1:23" x14ac:dyDescent="0.25">
      <c r="A155" s="368"/>
      <c r="E155" s="233">
        <v>31</v>
      </c>
    </row>
    <row r="156" spans="1:23" x14ac:dyDescent="0.25">
      <c r="A156" s="368"/>
      <c r="E156" s="233">
        <v>32</v>
      </c>
      <c r="F156" s="11" t="s">
        <v>813</v>
      </c>
      <c r="G156" s="233"/>
      <c r="H156" s="233"/>
      <c r="I156" s="13"/>
      <c r="J156" s="12"/>
      <c r="K156" s="19"/>
      <c r="L156" s="233"/>
      <c r="M156" s="19"/>
      <c r="N156" s="233"/>
      <c r="O156" s="226"/>
      <c r="P156" s="13"/>
      <c r="Q156" s="12"/>
      <c r="R156" s="19"/>
      <c r="S156" s="233"/>
      <c r="T156" s="12"/>
      <c r="U156" s="12"/>
      <c r="V156" s="12"/>
      <c r="W156" s="233"/>
    </row>
    <row r="157" spans="1:23" x14ac:dyDescent="0.25">
      <c r="A157" s="368"/>
      <c r="B157" s="368"/>
      <c r="C157" s="368" t="s">
        <v>516</v>
      </c>
      <c r="E157" s="233">
        <v>33</v>
      </c>
      <c r="F157" s="359" t="s">
        <v>739</v>
      </c>
      <c r="G157" s="233"/>
      <c r="H157" s="233"/>
      <c r="I157" s="13">
        <f>+M133+M139+M144+M151</f>
        <v>441971.03176000004</v>
      </c>
      <c r="J157" s="12" t="s">
        <v>807</v>
      </c>
      <c r="K157" s="39">
        <f>+INDEX('2024 Base Rates'!E:E,MATCH('2025 GSD Rate Class E-13c'!C157,'2024 Base Rates'!D:D,0))</f>
        <v>-0.01</v>
      </c>
      <c r="L157" s="12"/>
      <c r="M157" s="12">
        <f>+I157*K157</f>
        <v>-4419.710317600001</v>
      </c>
      <c r="N157" s="13"/>
      <c r="O157" s="22"/>
      <c r="P157" s="13">
        <f>+T133+T139+T144+T151</f>
        <v>522133.31371195533</v>
      </c>
      <c r="Q157" s="12" t="s">
        <v>807</v>
      </c>
      <c r="R157" s="39">
        <f>+K157</f>
        <v>-0.01</v>
      </c>
      <c r="S157" s="12"/>
      <c r="T157" s="12">
        <f>+P157*R157</f>
        <v>-5221.3331371195536</v>
      </c>
      <c r="U157" s="233"/>
      <c r="V157" s="12">
        <f t="shared" ref="V157:V159" si="48">+T157-M157</f>
        <v>-801.62281951955265</v>
      </c>
      <c r="W157" s="21">
        <f t="shared" ref="W157:W159" si="49">+IF(V157=0,0,(T157-M157)/M157)</f>
        <v>0.1813745159557994</v>
      </c>
    </row>
    <row r="158" spans="1:23" ht="16.5" x14ac:dyDescent="0.35">
      <c r="A158" s="368"/>
      <c r="B158" s="368"/>
      <c r="C158" s="368" t="s">
        <v>517</v>
      </c>
      <c r="E158" s="233">
        <v>34</v>
      </c>
      <c r="F158" s="359" t="s">
        <v>740</v>
      </c>
      <c r="G158" s="233"/>
      <c r="H158" s="233"/>
      <c r="I158" s="13">
        <f>+M134+M140+M145+M152</f>
        <v>0</v>
      </c>
      <c r="J158" s="12"/>
      <c r="K158" s="39">
        <f>+INDEX('2024 Base Rates'!E:E,MATCH('2025 GSD Rate Class E-13c'!C158,'2024 Base Rates'!D:D,0))</f>
        <v>-0.02</v>
      </c>
      <c r="L158" s="12"/>
      <c r="M158" s="58">
        <f>+I158*K158</f>
        <v>0</v>
      </c>
      <c r="N158" s="13"/>
      <c r="O158" s="22"/>
      <c r="P158" s="13">
        <f>+T134+T140+T145+T152</f>
        <v>0</v>
      </c>
      <c r="Q158" s="12"/>
      <c r="R158" s="39">
        <f>+K158</f>
        <v>-0.02</v>
      </c>
      <c r="S158" s="12"/>
      <c r="T158" s="58">
        <f>+P158*R158</f>
        <v>0</v>
      </c>
      <c r="U158" s="233"/>
      <c r="V158" s="12">
        <f t="shared" si="48"/>
        <v>0</v>
      </c>
      <c r="W158" s="21">
        <f t="shared" si="49"/>
        <v>0</v>
      </c>
    </row>
    <row r="159" spans="1:23" x14ac:dyDescent="0.25">
      <c r="A159" s="368"/>
      <c r="B159" s="368"/>
      <c r="C159" s="368"/>
      <c r="E159" s="233">
        <v>35</v>
      </c>
      <c r="F159" s="310" t="s">
        <v>336</v>
      </c>
      <c r="G159" s="233"/>
      <c r="H159" s="233"/>
      <c r="I159" s="55">
        <f>+SUM(I157:I158)</f>
        <v>441971.03176000004</v>
      </c>
      <c r="J159" s="12" t="s">
        <v>807</v>
      </c>
      <c r="K159" s="39"/>
      <c r="L159" s="233"/>
      <c r="M159" s="53">
        <f>+SUM(M157:M158)</f>
        <v>-4419.710317600001</v>
      </c>
      <c r="N159" s="233"/>
      <c r="O159" s="226"/>
      <c r="P159" s="55">
        <f>+SUM(P157:P158)</f>
        <v>522133.31371195533</v>
      </c>
      <c r="Q159" s="12" t="s">
        <v>807</v>
      </c>
      <c r="R159" s="39"/>
      <c r="S159" s="233"/>
      <c r="T159" s="53">
        <f>+SUM(T157:T158)</f>
        <v>-5221.3331371195536</v>
      </c>
      <c r="U159" s="233"/>
      <c r="V159" s="12">
        <f t="shared" si="48"/>
        <v>-801.62281951955265</v>
      </c>
      <c r="W159" s="21">
        <f t="shared" si="49"/>
        <v>0.1813745159557994</v>
      </c>
    </row>
    <row r="160" spans="1:23" x14ac:dyDescent="0.25">
      <c r="A160" s="368"/>
      <c r="B160" s="368"/>
      <c r="C160" s="368"/>
      <c r="E160" s="233">
        <v>36</v>
      </c>
      <c r="T160" s="385"/>
    </row>
    <row r="161" spans="1:23" x14ac:dyDescent="0.25">
      <c r="A161" s="368"/>
      <c r="B161" s="368"/>
      <c r="C161" s="368"/>
      <c r="E161" s="233">
        <v>37</v>
      </c>
    </row>
    <row r="162" spans="1:23" ht="15.75" thickBot="1" x14ac:dyDescent="0.3">
      <c r="A162" s="368"/>
      <c r="E162" s="233">
        <v>38</v>
      </c>
      <c r="F162" s="11" t="s">
        <v>337</v>
      </c>
      <c r="G162" s="233"/>
      <c r="H162" s="233"/>
      <c r="I162" s="354"/>
      <c r="J162" s="233"/>
      <c r="K162" s="233"/>
      <c r="L162" s="233"/>
      <c r="M162" s="56">
        <f>+M129+M135+M141+M146+M153+M159</f>
        <v>26331651.9118324</v>
      </c>
      <c r="N162" s="323"/>
      <c r="O162" s="386"/>
      <c r="P162" s="42"/>
      <c r="Q162" s="42"/>
      <c r="R162" s="43"/>
      <c r="S162" s="42"/>
      <c r="T162" s="56">
        <f>+T129+T135+T141+T146+T153+T159</f>
        <v>31393957.315866973</v>
      </c>
      <c r="U162" s="233"/>
      <c r="V162" s="12">
        <f t="shared" ref="V162" si="50">+T162-M162</f>
        <v>5062305.4040345736</v>
      </c>
      <c r="W162" s="21">
        <f t="shared" ref="W162" si="51">+IF(V162=0,0,(T162-M162)/M162)</f>
        <v>0.19225172127388537</v>
      </c>
    </row>
    <row r="163" spans="1:23" ht="16.5" thickTop="1" thickBot="1" x14ac:dyDescent="0.3">
      <c r="A163" s="368"/>
      <c r="E163" s="306">
        <v>39</v>
      </c>
      <c r="F163" s="380"/>
      <c r="G163" s="306"/>
      <c r="H163" s="306"/>
      <c r="I163" s="306"/>
      <c r="J163" s="306"/>
      <c r="K163" s="306"/>
      <c r="L163" s="306"/>
      <c r="M163" s="306"/>
      <c r="N163" s="306"/>
      <c r="O163" s="314"/>
      <c r="P163" s="306"/>
      <c r="Q163" s="306"/>
      <c r="R163" s="306"/>
      <c r="S163" s="306"/>
      <c r="T163" s="306"/>
      <c r="U163" s="306"/>
      <c r="V163" s="306"/>
      <c r="W163" s="306"/>
    </row>
    <row r="164" spans="1:23" x14ac:dyDescent="0.25"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26"/>
      <c r="P164" s="233"/>
      <c r="Q164" s="233"/>
      <c r="R164" s="233"/>
      <c r="S164" s="233"/>
      <c r="T164" s="233"/>
      <c r="U164" s="233"/>
      <c r="V164" s="233"/>
      <c r="W164" s="233" t="s">
        <v>304</v>
      </c>
    </row>
    <row r="165" spans="1:23" x14ac:dyDescent="0.25">
      <c r="E165" s="233"/>
      <c r="F165" s="233"/>
      <c r="G165" s="233"/>
      <c r="H165" s="233"/>
      <c r="I165" s="233"/>
      <c r="J165" s="233"/>
      <c r="K165" s="233"/>
      <c r="L165" s="590"/>
      <c r="M165" s="590"/>
      <c r="N165" s="590"/>
      <c r="O165" s="590"/>
      <c r="P165" s="590"/>
      <c r="Q165" s="233"/>
      <c r="R165" s="233"/>
      <c r="S165" s="233"/>
      <c r="T165" s="233"/>
      <c r="U165" s="233"/>
      <c r="V165" s="233"/>
      <c r="W165" s="233"/>
    </row>
    <row r="166" spans="1:23" ht="15.75" thickBot="1" x14ac:dyDescent="0.3">
      <c r="E166" s="306" t="s">
        <v>305</v>
      </c>
      <c r="F166" s="306"/>
      <c r="G166" s="306"/>
      <c r="H166" s="306"/>
      <c r="I166" s="306"/>
      <c r="J166" s="306"/>
      <c r="K166" s="306"/>
      <c r="L166" s="591" t="s">
        <v>306</v>
      </c>
      <c r="M166" s="591"/>
      <c r="N166" s="591"/>
      <c r="O166" s="591"/>
      <c r="P166" s="591"/>
      <c r="Q166" s="306"/>
      <c r="R166" s="306"/>
      <c r="S166" s="306"/>
      <c r="T166" s="306"/>
      <c r="U166" s="306"/>
      <c r="V166" s="306"/>
      <c r="W166" s="326" t="s">
        <v>881</v>
      </c>
    </row>
    <row r="167" spans="1:23" x14ac:dyDescent="0.25">
      <c r="E167" s="233" t="s">
        <v>307</v>
      </c>
      <c r="F167" s="233"/>
      <c r="G167" s="233"/>
      <c r="H167" s="233"/>
      <c r="I167" s="233" t="s">
        <v>308</v>
      </c>
      <c r="J167" s="233" t="s">
        <v>913</v>
      </c>
      <c r="K167" s="233"/>
      <c r="L167" s="233"/>
      <c r="M167" s="233"/>
      <c r="N167" s="233"/>
      <c r="O167" s="316"/>
      <c r="P167" s="309"/>
      <c r="Q167" s="233"/>
      <c r="R167" s="309"/>
      <c r="S167" s="309"/>
      <c r="T167" s="309" t="s">
        <v>309</v>
      </c>
      <c r="U167" s="233"/>
      <c r="V167" s="233"/>
      <c r="W167" s="310"/>
    </row>
    <row r="168" spans="1:23" x14ac:dyDescent="0.25">
      <c r="E168" s="233"/>
      <c r="F168" s="233"/>
      <c r="G168" s="233"/>
      <c r="H168" s="233"/>
      <c r="I168" s="233"/>
      <c r="J168" s="233" t="s">
        <v>914</v>
      </c>
      <c r="K168" s="233"/>
      <c r="L168" s="233"/>
      <c r="M168" s="233"/>
      <c r="N168" s="233"/>
      <c r="O168" s="226"/>
      <c r="P168" s="310"/>
      <c r="Q168" s="233"/>
      <c r="R168" s="233"/>
      <c r="S168" s="311"/>
      <c r="T168" s="311" t="s">
        <v>919</v>
      </c>
      <c r="U168" s="310" t="s">
        <v>920</v>
      </c>
      <c r="V168" s="233"/>
      <c r="W168" s="311"/>
    </row>
    <row r="169" spans="1:23" x14ac:dyDescent="0.25">
      <c r="E169" s="233" t="s">
        <v>310</v>
      </c>
      <c r="F169" s="233"/>
      <c r="G169" s="233"/>
      <c r="H169" s="233"/>
      <c r="I169" s="233"/>
      <c r="J169" s="233" t="s">
        <v>915</v>
      </c>
      <c r="K169" s="233"/>
      <c r="L169" s="233"/>
      <c r="M169" s="233"/>
      <c r="N169" s="233"/>
      <c r="O169" s="226"/>
      <c r="P169" s="310"/>
      <c r="Q169" s="311"/>
      <c r="R169" s="233"/>
      <c r="S169" s="233"/>
      <c r="T169" s="311"/>
      <c r="U169" s="310" t="s">
        <v>937</v>
      </c>
      <c r="V169" s="233"/>
      <c r="W169" s="311"/>
    </row>
    <row r="170" spans="1:23" x14ac:dyDescent="0.25">
      <c r="E170" s="233"/>
      <c r="F170" s="233"/>
      <c r="G170" s="233"/>
      <c r="H170" s="233"/>
      <c r="I170" s="233"/>
      <c r="J170" s="233" t="s">
        <v>916</v>
      </c>
      <c r="K170" s="233"/>
      <c r="L170" s="233"/>
      <c r="M170" s="233"/>
      <c r="N170" s="233"/>
      <c r="O170" s="226"/>
      <c r="P170" s="310"/>
      <c r="Q170" s="311"/>
      <c r="R170" s="233"/>
      <c r="S170" s="233"/>
      <c r="T170" s="311"/>
      <c r="U170" s="310" t="s">
        <v>938</v>
      </c>
      <c r="V170" s="233"/>
      <c r="W170" s="311"/>
    </row>
    <row r="171" spans="1:23" x14ac:dyDescent="0.25">
      <c r="E171" s="233"/>
      <c r="F171" s="233"/>
      <c r="G171" s="311"/>
      <c r="H171" s="233"/>
      <c r="I171" s="233"/>
      <c r="J171" s="233" t="s">
        <v>917</v>
      </c>
      <c r="K171" s="233"/>
      <c r="L171" s="317"/>
      <c r="M171" s="317"/>
      <c r="N171" s="317"/>
      <c r="O171" s="226"/>
      <c r="P171" s="233"/>
      <c r="Q171" s="233"/>
      <c r="R171" s="233"/>
      <c r="S171" s="233"/>
      <c r="T171" s="233"/>
      <c r="U171" s="233" t="s">
        <v>311</v>
      </c>
      <c r="V171" s="233"/>
      <c r="W171" s="233"/>
    </row>
    <row r="172" spans="1:23" ht="15.75" thickBot="1" x14ac:dyDescent="0.3">
      <c r="E172" s="306" t="s">
        <v>1642</v>
      </c>
      <c r="F172" s="306"/>
      <c r="G172" s="326"/>
      <c r="H172" s="319"/>
      <c r="I172" s="319"/>
      <c r="J172" s="361" t="s">
        <v>918</v>
      </c>
      <c r="K172" s="361"/>
      <c r="L172" s="319"/>
      <c r="M172" s="319"/>
      <c r="N172" s="319"/>
      <c r="O172" s="319"/>
      <c r="P172" s="319"/>
      <c r="Q172" s="319"/>
      <c r="R172" s="319"/>
      <c r="S172" s="319"/>
      <c r="T172" s="319"/>
      <c r="U172" s="319"/>
      <c r="V172" s="319"/>
      <c r="W172" s="319"/>
    </row>
    <row r="173" spans="1:23" x14ac:dyDescent="0.25">
      <c r="E173" s="233"/>
      <c r="F173" s="233"/>
      <c r="G173" s="233"/>
      <c r="H173" s="233"/>
      <c r="I173" s="317"/>
      <c r="J173" s="233"/>
      <c r="K173" s="317"/>
      <c r="L173" s="362"/>
      <c r="M173" s="317"/>
      <c r="N173" s="233"/>
      <c r="O173" s="317"/>
      <c r="P173" s="233"/>
      <c r="Q173" s="362"/>
      <c r="R173" s="233"/>
      <c r="S173" s="233"/>
      <c r="T173" s="233"/>
      <c r="U173" s="233"/>
      <c r="V173" s="233"/>
      <c r="W173" s="233"/>
    </row>
    <row r="174" spans="1:23" x14ac:dyDescent="0.25">
      <c r="E174" s="233"/>
      <c r="F174" s="233"/>
      <c r="G174" s="233"/>
      <c r="H174" s="233"/>
      <c r="I174" s="362"/>
      <c r="J174" s="233"/>
      <c r="K174" s="233"/>
      <c r="L174" s="362"/>
      <c r="M174" s="233"/>
      <c r="N174" s="233"/>
      <c r="O174" s="317"/>
      <c r="P174" s="233"/>
      <c r="Q174" s="362"/>
      <c r="R174" s="233"/>
      <c r="S174" s="233"/>
      <c r="T174" s="233"/>
      <c r="U174" s="233"/>
      <c r="V174" s="233"/>
      <c r="W174" s="233"/>
    </row>
    <row r="175" spans="1:23" x14ac:dyDescent="0.25">
      <c r="E175" s="233"/>
      <c r="F175" s="233"/>
      <c r="G175" s="233"/>
      <c r="H175" s="233"/>
      <c r="I175" s="233"/>
      <c r="J175" s="362"/>
      <c r="K175" s="362"/>
      <c r="L175" s="363"/>
      <c r="M175" s="363" t="s">
        <v>312</v>
      </c>
      <c r="N175" s="317"/>
      <c r="O175" s="364" t="s">
        <v>396</v>
      </c>
      <c r="P175" s="362"/>
      <c r="Q175" s="233"/>
      <c r="R175" s="362"/>
      <c r="S175" s="362"/>
      <c r="T175" s="362"/>
      <c r="U175" s="362"/>
      <c r="V175" s="362"/>
      <c r="W175" s="233"/>
    </row>
    <row r="176" spans="1:23" x14ac:dyDescent="0.25">
      <c r="E176" s="233"/>
      <c r="F176" s="233"/>
      <c r="G176" s="233"/>
      <c r="H176" s="233"/>
      <c r="I176" s="233"/>
      <c r="J176" s="362"/>
      <c r="K176" s="362"/>
      <c r="L176" s="362"/>
      <c r="M176" s="362"/>
      <c r="N176" s="362"/>
      <c r="O176" s="317"/>
      <c r="P176" s="362"/>
      <c r="Q176" s="362"/>
      <c r="R176" s="362"/>
      <c r="S176" s="362"/>
      <c r="T176" s="362"/>
      <c r="U176" s="362"/>
      <c r="V176" s="362"/>
      <c r="W176" s="362"/>
    </row>
    <row r="177" spans="1:23" x14ac:dyDescent="0.25">
      <c r="E177" s="226" t="s">
        <v>314</v>
      </c>
      <c r="F177" s="371" t="s">
        <v>315</v>
      </c>
      <c r="G177" s="2"/>
      <c r="H177" s="3"/>
      <c r="I177" s="4"/>
      <c r="J177" s="4"/>
      <c r="K177" s="5" t="s">
        <v>316</v>
      </c>
      <c r="L177" s="4"/>
      <c r="M177" s="4"/>
      <c r="N177" s="2"/>
      <c r="O177" s="6"/>
      <c r="P177" s="4"/>
      <c r="Q177" s="5"/>
      <c r="R177" s="5" t="s">
        <v>317</v>
      </c>
      <c r="S177" s="4"/>
      <c r="T177" s="4"/>
      <c r="U177" s="2"/>
      <c r="V177" s="7" t="s">
        <v>318</v>
      </c>
      <c r="W177" s="7" t="s">
        <v>319</v>
      </c>
    </row>
    <row r="178" spans="1:23" ht="15.75" thickBot="1" x14ac:dyDescent="0.3">
      <c r="A178" s="216" t="s">
        <v>810</v>
      </c>
      <c r="B178" s="216" t="s">
        <v>552</v>
      </c>
      <c r="C178" s="216" t="s">
        <v>553</v>
      </c>
      <c r="E178" s="314" t="s">
        <v>320</v>
      </c>
      <c r="F178" s="367" t="s">
        <v>321</v>
      </c>
      <c r="G178" s="8"/>
      <c r="H178" s="306"/>
      <c r="I178" s="314" t="s">
        <v>322</v>
      </c>
      <c r="J178" s="9"/>
      <c r="K178" s="9" t="s">
        <v>323</v>
      </c>
      <c r="L178" s="9"/>
      <c r="M178" s="9" t="s">
        <v>324</v>
      </c>
      <c r="N178" s="9"/>
      <c r="O178" s="9"/>
      <c r="P178" s="9" t="s">
        <v>322</v>
      </c>
      <c r="Q178" s="9"/>
      <c r="R178" s="9" t="s">
        <v>323</v>
      </c>
      <c r="S178" s="9"/>
      <c r="T178" s="9" t="s">
        <v>324</v>
      </c>
      <c r="U178" s="8"/>
      <c r="V178" s="10" t="s">
        <v>325</v>
      </c>
      <c r="W178" s="10" t="s">
        <v>326</v>
      </c>
    </row>
    <row r="179" spans="1:23" x14ac:dyDescent="0.25">
      <c r="E179" s="233">
        <v>1</v>
      </c>
      <c r="F179" s="353"/>
      <c r="G179" s="11"/>
      <c r="H179" s="233"/>
      <c r="I179" s="233"/>
      <c r="J179" s="15"/>
      <c r="K179" s="15"/>
      <c r="L179" s="15"/>
      <c r="M179" s="15"/>
      <c r="N179" s="11"/>
      <c r="O179" s="6"/>
      <c r="P179" s="11"/>
      <c r="Q179" s="15"/>
      <c r="R179" s="15"/>
      <c r="S179" s="15"/>
      <c r="T179" s="15"/>
      <c r="U179" s="15"/>
      <c r="V179" s="15"/>
      <c r="W179" s="15"/>
    </row>
    <row r="180" spans="1:23" x14ac:dyDescent="0.25">
      <c r="E180" s="233">
        <f>+E179+1</f>
        <v>2</v>
      </c>
      <c r="F180" s="11" t="s">
        <v>327</v>
      </c>
      <c r="G180" s="233"/>
      <c r="H180" s="233"/>
      <c r="I180" s="233"/>
      <c r="J180" s="233"/>
      <c r="K180" s="233"/>
      <c r="L180" s="233"/>
      <c r="M180" s="233"/>
      <c r="N180" s="233"/>
      <c r="O180" s="226"/>
      <c r="P180" s="233"/>
      <c r="Q180" s="233"/>
      <c r="R180" s="233"/>
      <c r="S180" s="233"/>
      <c r="T180" s="233"/>
      <c r="U180" s="233"/>
      <c r="V180" s="233"/>
      <c r="W180" s="233"/>
    </row>
    <row r="181" spans="1:23" x14ac:dyDescent="0.25">
      <c r="B181" t="s">
        <v>100</v>
      </c>
      <c r="C181" t="s">
        <v>554</v>
      </c>
      <c r="E181" s="233">
        <f t="shared" ref="E181:E217" si="52">+E180+1</f>
        <v>3</v>
      </c>
      <c r="F181" s="359" t="s">
        <v>773</v>
      </c>
      <c r="G181" s="233"/>
      <c r="H181" s="233"/>
      <c r="I181" s="233">
        <f>+INDEX('2025 Org Base Case BDs'!B:B,MATCH('2025 GSD Rate Class E-13c'!B181,'2025 Org Base Case BDs'!A:A,0))</f>
        <v>0</v>
      </c>
      <c r="J181" s="12" t="s">
        <v>329</v>
      </c>
      <c r="K181" s="27">
        <f>+INDEX('2024 Base Rates'!E:E,MATCH('2025 GSD Rate Class E-13c'!C181,'2024 Base Rates'!D:D,0))</f>
        <v>1.91</v>
      </c>
      <c r="L181" s="233"/>
      <c r="M181" s="13">
        <f>+I181*K181</f>
        <v>0</v>
      </c>
      <c r="N181" s="233"/>
      <c r="O181" s="226"/>
      <c r="P181" s="233">
        <f>+INDEX('2025 Billing Determinants'!B:B,MATCH('2025 GSD Rate Class E-13c'!B181,'2025 Billing Determinants'!A:A,0))</f>
        <v>0</v>
      </c>
      <c r="Q181" s="12" t="s">
        <v>329</v>
      </c>
      <c r="R181" s="19">
        <f>+INDEX('Unit Cost Rate Design Input'!D:D,MATCH('2025 GSD Rate Class E-13c'!C181,'Unit Cost Rate Design Input'!B:B,0))</f>
        <v>1.72</v>
      </c>
      <c r="S181" s="233"/>
      <c r="T181" s="13">
        <f>+P181*R181</f>
        <v>0</v>
      </c>
      <c r="U181" s="233"/>
      <c r="V181" s="12">
        <f t="shared" ref="V181:V187" si="53">+T181-M181</f>
        <v>0</v>
      </c>
      <c r="W181" s="21">
        <f t="shared" ref="W181:W187" si="54">+IF(V181=0,0,(T181-M181)/M181)</f>
        <v>0</v>
      </c>
    </row>
    <row r="182" spans="1:23" x14ac:dyDescent="0.25">
      <c r="B182" t="s">
        <v>101</v>
      </c>
      <c r="C182" t="s">
        <v>555</v>
      </c>
      <c r="E182" s="233">
        <f t="shared" si="52"/>
        <v>4</v>
      </c>
      <c r="F182" s="359" t="s">
        <v>746</v>
      </c>
      <c r="G182" s="233"/>
      <c r="H182" s="233"/>
      <c r="I182" s="233">
        <f>+INDEX('2025 Org Base Case BDs'!B:B,MATCH('2025 GSD Rate Class E-13c'!B182,'2025 Org Base Case BDs'!A:A,0))</f>
        <v>0</v>
      </c>
      <c r="J182" s="12" t="s">
        <v>329</v>
      </c>
      <c r="K182" s="27">
        <f>+INDEX('2024 Base Rates'!E:E,MATCH('2025 GSD Rate Class E-13c'!C182,'2024 Base Rates'!D:D,0))</f>
        <v>6.8</v>
      </c>
      <c r="L182" s="233"/>
      <c r="M182" s="13">
        <f t="shared" ref="M182:M186" si="55">+I182*K182</f>
        <v>0</v>
      </c>
      <c r="N182" s="233"/>
      <c r="O182" s="226"/>
      <c r="P182" s="233">
        <f>+INDEX('2025 Billing Determinants'!B:B,MATCH('2025 GSD Rate Class E-13c'!B182,'2025 Billing Determinants'!A:A,0))</f>
        <v>0</v>
      </c>
      <c r="Q182" s="12" t="s">
        <v>329</v>
      </c>
      <c r="R182" s="19">
        <f>+INDEX('Unit Cost Rate Design Input'!D:D,MATCH('2025 GSD Rate Class E-13c'!C182,'Unit Cost Rate Design Input'!B:B,0))</f>
        <v>9.36</v>
      </c>
      <c r="S182" s="233"/>
      <c r="T182" s="13">
        <f t="shared" ref="T182:T186" si="56">+P182*R182</f>
        <v>0</v>
      </c>
      <c r="U182" s="233"/>
      <c r="V182" s="12">
        <f t="shared" si="53"/>
        <v>0</v>
      </c>
      <c r="W182" s="21">
        <f t="shared" si="54"/>
        <v>0</v>
      </c>
    </row>
    <row r="183" spans="1:23" x14ac:dyDescent="0.25">
      <c r="B183" t="s">
        <v>102</v>
      </c>
      <c r="C183" t="s">
        <v>556</v>
      </c>
      <c r="E183" s="233">
        <f t="shared" si="52"/>
        <v>5</v>
      </c>
      <c r="F183" s="359" t="s">
        <v>769</v>
      </c>
      <c r="G183" s="233"/>
      <c r="H183" s="233"/>
      <c r="I183" s="233">
        <f>+INDEX('2025 Org Base Case BDs'!B:B,MATCH('2025 GSD Rate Class E-13c'!B183,'2025 Org Base Case BDs'!A:A,0))</f>
        <v>0</v>
      </c>
      <c r="J183" s="12" t="s">
        <v>329</v>
      </c>
      <c r="K183" s="27">
        <f>+INDEX('2024 Base Rates'!E:E,MATCH('2025 GSD Rate Class E-13c'!C183,'2024 Base Rates'!D:D,0))</f>
        <v>18.309999999999999</v>
      </c>
      <c r="L183" s="233"/>
      <c r="M183" s="13">
        <f t="shared" si="55"/>
        <v>0</v>
      </c>
      <c r="N183" s="233"/>
      <c r="O183" s="226"/>
      <c r="P183" s="233">
        <f>+INDEX('2025 Billing Determinants'!B:B,MATCH('2025 GSD Rate Class E-13c'!B183,'2025 Billing Determinants'!A:A,0))</f>
        <v>0</v>
      </c>
      <c r="Q183" s="12" t="s">
        <v>329</v>
      </c>
      <c r="R183" s="19">
        <f>+INDEX('Unit Cost Rate Design Input'!D:D,MATCH('2025 GSD Rate Class E-13c'!C183,'Unit Cost Rate Design Input'!B:B,0))</f>
        <v>25.76</v>
      </c>
      <c r="S183" s="233"/>
      <c r="T183" s="13">
        <f t="shared" si="56"/>
        <v>0</v>
      </c>
      <c r="U183" s="233"/>
      <c r="V183" s="12">
        <f t="shared" si="53"/>
        <v>0</v>
      </c>
      <c r="W183" s="21">
        <f t="shared" si="54"/>
        <v>0</v>
      </c>
    </row>
    <row r="184" spans="1:23" x14ac:dyDescent="0.25">
      <c r="B184" t="s">
        <v>141</v>
      </c>
      <c r="C184" t="s">
        <v>557</v>
      </c>
      <c r="E184" s="233">
        <f t="shared" si="52"/>
        <v>6</v>
      </c>
      <c r="F184" s="233" t="s">
        <v>774</v>
      </c>
      <c r="G184" s="233"/>
      <c r="H184" s="233"/>
      <c r="I184" s="233">
        <f>+INDEX('2025 Org Base Case BDs'!B:B,MATCH('2025 GSD Rate Class E-13c'!B184,'2025 Org Base Case BDs'!A:A,0))</f>
        <v>0</v>
      </c>
      <c r="J184" s="12" t="s">
        <v>329</v>
      </c>
      <c r="K184" s="27">
        <f>+INDEX('2024 Base Rates'!E:E,MATCH('2025 GSD Rate Class E-13c'!C184,'2024 Base Rates'!D:D,0))</f>
        <v>1.91</v>
      </c>
      <c r="L184" s="233"/>
      <c r="M184" s="13">
        <f t="shared" si="55"/>
        <v>0</v>
      </c>
      <c r="N184" s="233"/>
      <c r="O184" s="226"/>
      <c r="P184" s="233">
        <f>+INDEX('2025 Billing Determinants'!B:B,MATCH('2025 GSD Rate Class E-13c'!B184,'2025 Billing Determinants'!A:A,0))</f>
        <v>0</v>
      </c>
      <c r="Q184" s="12" t="s">
        <v>329</v>
      </c>
      <c r="R184" s="19">
        <f>+INDEX('Unit Cost Rate Design Input'!D:D,MATCH('2025 GSD Rate Class E-13c'!C184,'Unit Cost Rate Design Input'!B:B,0))</f>
        <v>1.72</v>
      </c>
      <c r="S184" s="233"/>
      <c r="T184" s="13">
        <f t="shared" si="56"/>
        <v>0</v>
      </c>
      <c r="U184" s="233"/>
      <c r="V184" s="12">
        <f t="shared" si="53"/>
        <v>0</v>
      </c>
      <c r="W184" s="21">
        <f t="shared" si="54"/>
        <v>0</v>
      </c>
    </row>
    <row r="185" spans="1:23" x14ac:dyDescent="0.25">
      <c r="B185" t="s">
        <v>142</v>
      </c>
      <c r="C185" t="s">
        <v>558</v>
      </c>
      <c r="E185" s="233">
        <f t="shared" si="52"/>
        <v>7</v>
      </c>
      <c r="F185" s="233" t="s">
        <v>747</v>
      </c>
      <c r="G185" s="11"/>
      <c r="H185" s="233"/>
      <c r="I185" s="233">
        <f>+INDEX('2025 Org Base Case BDs'!B:B,MATCH('2025 GSD Rate Class E-13c'!B185,'2025 Org Base Case BDs'!A:A,0))</f>
        <v>0</v>
      </c>
      <c r="J185" s="12" t="s">
        <v>329</v>
      </c>
      <c r="K185" s="27">
        <f>+INDEX('2024 Base Rates'!E:E,MATCH('2025 GSD Rate Class E-13c'!C185,'2024 Base Rates'!D:D,0))</f>
        <v>6.8</v>
      </c>
      <c r="L185" s="12"/>
      <c r="M185" s="13">
        <f t="shared" si="55"/>
        <v>0</v>
      </c>
      <c r="N185" s="13"/>
      <c r="O185" s="22"/>
      <c r="P185" s="233">
        <f>+INDEX('2025 Billing Determinants'!B:B,MATCH('2025 GSD Rate Class E-13c'!B185,'2025 Billing Determinants'!A:A,0))</f>
        <v>0</v>
      </c>
      <c r="Q185" s="12" t="s">
        <v>329</v>
      </c>
      <c r="R185" s="19">
        <f>+INDEX('Unit Cost Rate Design Input'!D:D,MATCH('2025 GSD Rate Class E-13c'!C185,'Unit Cost Rate Design Input'!B:B,0))</f>
        <v>9.36</v>
      </c>
      <c r="S185" s="12"/>
      <c r="T185" s="13">
        <f t="shared" si="56"/>
        <v>0</v>
      </c>
      <c r="U185" s="233"/>
      <c r="V185" s="12">
        <f t="shared" si="53"/>
        <v>0</v>
      </c>
      <c r="W185" s="21">
        <f t="shared" si="54"/>
        <v>0</v>
      </c>
    </row>
    <row r="186" spans="1:23" x14ac:dyDescent="0.25">
      <c r="B186" t="s">
        <v>143</v>
      </c>
      <c r="C186" t="s">
        <v>559</v>
      </c>
      <c r="E186" s="233">
        <f t="shared" si="52"/>
        <v>8</v>
      </c>
      <c r="F186" s="233" t="s">
        <v>770</v>
      </c>
      <c r="G186" s="233"/>
      <c r="H186" s="233"/>
      <c r="I186" s="376">
        <f>+INDEX('2025 Org Base Case BDs'!B:B,MATCH('2025 GSD Rate Class E-13c'!B186,'2025 Org Base Case BDs'!A:A,0))</f>
        <v>0</v>
      </c>
      <c r="J186" s="12" t="s">
        <v>329</v>
      </c>
      <c r="K186" s="27">
        <f>+INDEX('2024 Base Rates'!E:E,MATCH('2025 GSD Rate Class E-13c'!C186,'2024 Base Rates'!D:D,0))</f>
        <v>18.309999999999999</v>
      </c>
      <c r="L186" s="233"/>
      <c r="M186" s="13">
        <f t="shared" si="55"/>
        <v>0</v>
      </c>
      <c r="N186" s="233"/>
      <c r="O186" s="226"/>
      <c r="P186" s="376">
        <f>+INDEX('2025 Billing Determinants'!B:B,MATCH('2025 GSD Rate Class E-13c'!B186,'2025 Billing Determinants'!A:A,0))</f>
        <v>0</v>
      </c>
      <c r="Q186" s="12" t="s">
        <v>329</v>
      </c>
      <c r="R186" s="19">
        <f>+INDEX('Unit Cost Rate Design Input'!D:D,MATCH('2025 GSD Rate Class E-13c'!C186,'Unit Cost Rate Design Input'!B:B,0))</f>
        <v>25.76</v>
      </c>
      <c r="S186" s="233"/>
      <c r="T186" s="13">
        <f t="shared" si="56"/>
        <v>0</v>
      </c>
      <c r="U186" s="233"/>
      <c r="V186" s="12">
        <f t="shared" si="53"/>
        <v>0</v>
      </c>
      <c r="W186" s="21">
        <f t="shared" si="54"/>
        <v>0</v>
      </c>
    </row>
    <row r="187" spans="1:23" x14ac:dyDescent="0.25">
      <c r="E187" s="233">
        <f t="shared" si="52"/>
        <v>9</v>
      </c>
      <c r="F187" s="11" t="s">
        <v>748</v>
      </c>
      <c r="G187" s="11"/>
      <c r="H187" s="233"/>
      <c r="I187" s="233">
        <f>+SUM(I181:I186)</f>
        <v>0</v>
      </c>
      <c r="J187" s="12" t="s">
        <v>342</v>
      </c>
      <c r="K187" s="27"/>
      <c r="L187" s="12"/>
      <c r="M187" s="54">
        <f>+SUM(M181:M186)</f>
        <v>0</v>
      </c>
      <c r="N187" s="12"/>
      <c r="O187" s="22"/>
      <c r="P187" s="233">
        <f>+SUM(P181:P186)</f>
        <v>0</v>
      </c>
      <c r="Q187" s="12" t="s">
        <v>342</v>
      </c>
      <c r="R187" s="27"/>
      <c r="S187" s="12"/>
      <c r="T187" s="54">
        <f>+SUM(T181:T186)</f>
        <v>0</v>
      </c>
      <c r="U187" s="233"/>
      <c r="V187" s="12">
        <f t="shared" si="53"/>
        <v>0</v>
      </c>
      <c r="W187" s="21">
        <f t="shared" si="54"/>
        <v>0</v>
      </c>
    </row>
    <row r="188" spans="1:23" x14ac:dyDescent="0.25">
      <c r="E188" s="233">
        <f t="shared" si="52"/>
        <v>10</v>
      </c>
      <c r="F188" s="233"/>
      <c r="G188" s="233"/>
      <c r="H188" s="233"/>
      <c r="I188" s="233"/>
      <c r="J188" s="233"/>
      <c r="K188" s="233"/>
      <c r="L188" s="233"/>
      <c r="M188" s="13"/>
      <c r="N188" s="233"/>
      <c r="O188" s="226"/>
      <c r="P188" s="233"/>
      <c r="Q188" s="233"/>
      <c r="R188" s="233"/>
      <c r="S188" s="233"/>
      <c r="T188" s="13"/>
      <c r="U188" s="233"/>
      <c r="V188" s="233"/>
      <c r="W188" s="233"/>
    </row>
    <row r="189" spans="1:23" x14ac:dyDescent="0.25">
      <c r="E189" s="233">
        <f t="shared" si="52"/>
        <v>11</v>
      </c>
      <c r="F189" s="11" t="s">
        <v>401</v>
      </c>
      <c r="G189" s="233"/>
      <c r="H189" s="233"/>
      <c r="I189" s="233"/>
      <c r="J189" s="233"/>
      <c r="K189" s="233"/>
      <c r="L189" s="233"/>
      <c r="M189" s="13"/>
      <c r="N189" s="233"/>
      <c r="O189" s="226"/>
      <c r="P189" s="233"/>
      <c r="Q189" s="233"/>
      <c r="R189" s="233"/>
      <c r="S189" s="233"/>
      <c r="T189" s="13"/>
      <c r="U189" s="233"/>
      <c r="V189" s="233"/>
      <c r="W189" s="233"/>
    </row>
    <row r="190" spans="1:23" x14ac:dyDescent="0.25">
      <c r="B190" t="s">
        <v>111</v>
      </c>
      <c r="C190" t="s">
        <v>568</v>
      </c>
      <c r="E190" s="233">
        <f t="shared" si="52"/>
        <v>12</v>
      </c>
      <c r="F190" s="359" t="s">
        <v>773</v>
      </c>
      <c r="G190" s="233"/>
      <c r="H190" s="233"/>
      <c r="I190" s="233">
        <f>+INDEX('2025 Org Base Case BDs'!B:B,MATCH('2025 GSD Rate Class E-13c'!B190,'2025 Org Base Case BDs'!A:A,0))</f>
        <v>0</v>
      </c>
      <c r="J190" s="12" t="s">
        <v>711</v>
      </c>
      <c r="K190" s="60">
        <f>+INDEX('2024 Base Rates'!E:E,MATCH('2025 GSD Rate Class E-13c'!C190,'2024 Base Rates'!D:D,0))</f>
        <v>7.3600000000000002E-3</v>
      </c>
      <c r="L190" s="233"/>
      <c r="M190" s="13">
        <f>+I190*K190</f>
        <v>0</v>
      </c>
      <c r="N190" s="233"/>
      <c r="O190" s="226"/>
      <c r="P190" s="233">
        <f>+INDEX('2025 Billing Determinants'!B:B,MATCH('2025 GSD Rate Class E-13c'!B190,'2025 Billing Determinants'!A:A,0))</f>
        <v>0</v>
      </c>
      <c r="Q190" s="12" t="s">
        <v>711</v>
      </c>
      <c r="R190" s="28">
        <f>+K190*(1+0.05)</f>
        <v>7.7280000000000005E-3</v>
      </c>
      <c r="S190" s="233"/>
      <c r="T190" s="13">
        <f>+P190*R190</f>
        <v>0</v>
      </c>
      <c r="U190" s="233"/>
      <c r="V190" s="12">
        <f t="shared" ref="V190:V198" si="57">+T190-M190</f>
        <v>0</v>
      </c>
      <c r="W190" s="21">
        <f t="shared" ref="W190:W198" si="58">+IF(V190=0,0,(T190-M190)/M190)</f>
        <v>0</v>
      </c>
    </row>
    <row r="191" spans="1:23" x14ac:dyDescent="0.25">
      <c r="B191" t="s">
        <v>112</v>
      </c>
      <c r="C191" t="s">
        <v>569</v>
      </c>
      <c r="E191" s="233">
        <f t="shared" si="52"/>
        <v>13</v>
      </c>
      <c r="F191" s="359" t="s">
        <v>746</v>
      </c>
      <c r="G191" s="233"/>
      <c r="H191" s="233"/>
      <c r="I191" s="233">
        <f>+INDEX('2025 Org Base Case BDs'!B:B,MATCH('2025 GSD Rate Class E-13c'!B191,'2025 Org Base Case BDs'!A:A,0))</f>
        <v>0</v>
      </c>
      <c r="J191" s="12" t="s">
        <v>711</v>
      </c>
      <c r="K191" s="60">
        <f>+INDEX('2024 Base Rates'!E:E,MATCH('2025 GSD Rate Class E-13c'!C191,'2024 Base Rates'!D:D,0))</f>
        <v>7.3600000000000002E-3</v>
      </c>
      <c r="L191" s="233"/>
      <c r="M191" s="13">
        <f t="shared" ref="M191:M201" si="59">+I191*K191</f>
        <v>0</v>
      </c>
      <c r="N191" s="233"/>
      <c r="O191" s="226"/>
      <c r="P191" s="233">
        <f>+INDEX('2025 Billing Determinants'!B:B,MATCH('2025 GSD Rate Class E-13c'!B191,'2025 Billing Determinants'!A:A,0))</f>
        <v>0</v>
      </c>
      <c r="Q191" s="12" t="s">
        <v>711</v>
      </c>
      <c r="R191" s="28">
        <f t="shared" ref="R191:R192" si="60">+K191*(1+0.05)</f>
        <v>7.7280000000000005E-3</v>
      </c>
      <c r="S191" s="233"/>
      <c r="T191" s="13">
        <f t="shared" ref="T191:T201" si="61">+P191*R191</f>
        <v>0</v>
      </c>
      <c r="U191" s="233"/>
      <c r="V191" s="12">
        <f t="shared" si="57"/>
        <v>0</v>
      </c>
      <c r="W191" s="21">
        <f t="shared" si="58"/>
        <v>0</v>
      </c>
    </row>
    <row r="192" spans="1:23" x14ac:dyDescent="0.25">
      <c r="B192" t="s">
        <v>113</v>
      </c>
      <c r="C192" t="s">
        <v>570</v>
      </c>
      <c r="E192" s="233">
        <f t="shared" si="52"/>
        <v>14</v>
      </c>
      <c r="F192" s="359" t="s">
        <v>769</v>
      </c>
      <c r="G192" s="233"/>
      <c r="H192" s="233"/>
      <c r="I192" s="233">
        <f>+INDEX('2025 Org Base Case BDs'!B:B,MATCH('2025 GSD Rate Class E-13c'!B192,'2025 Org Base Case BDs'!A:A,0))</f>
        <v>0</v>
      </c>
      <c r="J192" s="12" t="s">
        <v>711</v>
      </c>
      <c r="K192" s="60">
        <f>+INDEX('2024 Base Rates'!E:E,MATCH('2025 GSD Rate Class E-13c'!C192,'2024 Base Rates'!D:D,0))</f>
        <v>7.3600000000000002E-3</v>
      </c>
      <c r="L192" s="233"/>
      <c r="M192" s="13">
        <f t="shared" si="59"/>
        <v>0</v>
      </c>
      <c r="N192" s="233"/>
      <c r="O192" s="226"/>
      <c r="P192" s="233">
        <f>+INDEX('2025 Billing Determinants'!B:B,MATCH('2025 GSD Rate Class E-13c'!B192,'2025 Billing Determinants'!A:A,0))</f>
        <v>0</v>
      </c>
      <c r="Q192" s="12" t="s">
        <v>711</v>
      </c>
      <c r="R192" s="28">
        <f t="shared" si="60"/>
        <v>7.7280000000000005E-3</v>
      </c>
      <c r="S192" s="233"/>
      <c r="T192" s="13">
        <f t="shared" si="61"/>
        <v>0</v>
      </c>
      <c r="U192" s="233"/>
      <c r="V192" s="12">
        <f t="shared" si="57"/>
        <v>0</v>
      </c>
      <c r="W192" s="21">
        <f t="shared" si="58"/>
        <v>0</v>
      </c>
    </row>
    <row r="193" spans="2:23" x14ac:dyDescent="0.25">
      <c r="B193" t="s">
        <v>156</v>
      </c>
      <c r="C193" t="s">
        <v>571</v>
      </c>
      <c r="E193" s="233">
        <f t="shared" si="52"/>
        <v>15</v>
      </c>
      <c r="F193" s="233" t="s">
        <v>775</v>
      </c>
      <c r="G193" s="233"/>
      <c r="H193" s="233"/>
      <c r="I193" s="233">
        <f>+INDEX('2025 Org Base Case BDs'!B:B,MATCH('2025 GSD Rate Class E-13c'!B193,'2025 Org Base Case BDs'!A:A,0))</f>
        <v>0</v>
      </c>
      <c r="J193" s="12" t="s">
        <v>711</v>
      </c>
      <c r="K193" s="60">
        <f>+INDEX('2024 Base Rates'!E:E,MATCH('2025 GSD Rate Class E-13c'!C193,'2024 Base Rates'!D:D,0))</f>
        <v>1.193E-2</v>
      </c>
      <c r="L193" s="233"/>
      <c r="M193" s="13">
        <f t="shared" si="59"/>
        <v>0</v>
      </c>
      <c r="N193" s="233"/>
      <c r="O193" s="226"/>
      <c r="P193" s="233">
        <f>+INDEX('2025 Billing Determinants'!B:B,MATCH('2025 GSD Rate Class E-13c'!B193,'2025 Billing Determinants'!A:A,0))</f>
        <v>0</v>
      </c>
      <c r="Q193" s="12" t="s">
        <v>711</v>
      </c>
      <c r="R193" s="60">
        <f>+R190*'Time of Day Inputs'!$E$4</f>
        <v>1.2432E-2</v>
      </c>
      <c r="S193" s="233"/>
      <c r="T193" s="13">
        <f t="shared" si="61"/>
        <v>0</v>
      </c>
      <c r="U193" s="233"/>
      <c r="V193" s="12">
        <f t="shared" si="57"/>
        <v>0</v>
      </c>
      <c r="W193" s="21">
        <f t="shared" si="58"/>
        <v>0</v>
      </c>
    </row>
    <row r="194" spans="2:23" x14ac:dyDescent="0.25">
      <c r="B194" t="s">
        <v>157</v>
      </c>
      <c r="C194" t="s">
        <v>572</v>
      </c>
      <c r="E194" s="233">
        <f t="shared" si="52"/>
        <v>16</v>
      </c>
      <c r="F194" s="233" t="s">
        <v>749</v>
      </c>
      <c r="G194" s="233"/>
      <c r="H194" s="233"/>
      <c r="I194" s="233">
        <f>+INDEX('2025 Org Base Case BDs'!B:B,MATCH('2025 GSD Rate Class E-13c'!B194,'2025 Org Base Case BDs'!A:A,0))</f>
        <v>0</v>
      </c>
      <c r="J194" s="12" t="s">
        <v>711</v>
      </c>
      <c r="K194" s="60">
        <f>+INDEX('2024 Base Rates'!E:E,MATCH('2025 GSD Rate Class E-13c'!C194,'2024 Base Rates'!D:D,0))</f>
        <v>1.193E-2</v>
      </c>
      <c r="L194" s="233"/>
      <c r="M194" s="13">
        <f t="shared" si="59"/>
        <v>0</v>
      </c>
      <c r="N194" s="233"/>
      <c r="O194" s="226"/>
      <c r="P194" s="233">
        <f>+INDEX('2025 Billing Determinants'!B:B,MATCH('2025 GSD Rate Class E-13c'!B194,'2025 Billing Determinants'!A:A,0))</f>
        <v>0</v>
      </c>
      <c r="Q194" s="12" t="s">
        <v>711</v>
      </c>
      <c r="R194" s="60">
        <f>+R191*'Time of Day Inputs'!$E$4</f>
        <v>1.2432E-2</v>
      </c>
      <c r="S194" s="12"/>
      <c r="T194" s="13">
        <f t="shared" si="61"/>
        <v>0</v>
      </c>
      <c r="U194" s="233"/>
      <c r="V194" s="12">
        <f t="shared" si="57"/>
        <v>0</v>
      </c>
      <c r="W194" s="21">
        <f t="shared" si="58"/>
        <v>0</v>
      </c>
    </row>
    <row r="195" spans="2:23" x14ac:dyDescent="0.25">
      <c r="B195" t="s">
        <v>158</v>
      </c>
      <c r="C195" t="s">
        <v>573</v>
      </c>
      <c r="E195" s="233">
        <f t="shared" si="52"/>
        <v>17</v>
      </c>
      <c r="F195" s="233" t="s">
        <v>776</v>
      </c>
      <c r="G195" s="15"/>
      <c r="H195" s="233"/>
      <c r="I195" s="233">
        <f>+INDEX('2025 Org Base Case BDs'!B:B,MATCH('2025 GSD Rate Class E-13c'!B195,'2025 Org Base Case BDs'!A:A,0))</f>
        <v>0</v>
      </c>
      <c r="J195" s="12" t="s">
        <v>711</v>
      </c>
      <c r="K195" s="60">
        <f>+INDEX('2024 Base Rates'!E:E,MATCH('2025 GSD Rate Class E-13c'!C195,'2024 Base Rates'!D:D,0))</f>
        <v>1.193E-2</v>
      </c>
      <c r="L195" s="12"/>
      <c r="M195" s="13">
        <f t="shared" si="59"/>
        <v>0</v>
      </c>
      <c r="N195" s="12"/>
      <c r="O195" s="22"/>
      <c r="P195" s="233">
        <f>+INDEX('2025 Billing Determinants'!B:B,MATCH('2025 GSD Rate Class E-13c'!B195,'2025 Billing Determinants'!A:A,0))</f>
        <v>0</v>
      </c>
      <c r="Q195" s="12" t="s">
        <v>711</v>
      </c>
      <c r="R195" s="60">
        <f>+R192*'Time of Day Inputs'!$E$4</f>
        <v>1.2432E-2</v>
      </c>
      <c r="S195" s="233"/>
      <c r="T195" s="13">
        <f t="shared" si="61"/>
        <v>0</v>
      </c>
      <c r="U195" s="233"/>
      <c r="V195" s="12">
        <f t="shared" si="57"/>
        <v>0</v>
      </c>
      <c r="W195" s="21">
        <f t="shared" si="58"/>
        <v>0</v>
      </c>
    </row>
    <row r="196" spans="2:23" x14ac:dyDescent="0.25">
      <c r="B196" t="s">
        <v>160</v>
      </c>
      <c r="C196" t="s">
        <v>576</v>
      </c>
      <c r="E196" s="233">
        <f t="shared" si="52"/>
        <v>18</v>
      </c>
      <c r="F196" s="233" t="s">
        <v>777</v>
      </c>
      <c r="G196" s="233"/>
      <c r="H196" s="233"/>
      <c r="I196" s="233">
        <f>+INDEX('2025 Org Base Case BDs'!B:B,MATCH('2025 GSD Rate Class E-13c'!B196,'2025 Org Base Case BDs'!A:A,0))</f>
        <v>0</v>
      </c>
      <c r="J196" s="12" t="s">
        <v>711</v>
      </c>
      <c r="K196" s="60">
        <f>+INDEX('2024 Base Rates'!E:E,MATCH('2025 GSD Rate Class E-13c'!C196,'2024 Base Rates'!D:D,0))</f>
        <v>5.7099999999999998E-3</v>
      </c>
      <c r="L196" s="233"/>
      <c r="M196" s="13">
        <f t="shared" si="59"/>
        <v>0</v>
      </c>
      <c r="N196" s="233"/>
      <c r="O196" s="226"/>
      <c r="P196" s="233">
        <f>+INDEX('2025 Billing Determinants'!B:B,MATCH('2025 GSD Rate Class E-13c'!B196,'2025 Billing Determinants'!A:A,0))</f>
        <v>0</v>
      </c>
      <c r="Q196" s="12" t="s">
        <v>711</v>
      </c>
      <c r="R196" s="60">
        <f>+R193+'Time of Day Inputs'!$F$4</f>
        <v>8.1720000000000004E-3</v>
      </c>
      <c r="S196" s="233"/>
      <c r="T196" s="13">
        <f t="shared" si="61"/>
        <v>0</v>
      </c>
      <c r="U196" s="233"/>
      <c r="V196" s="12">
        <f t="shared" si="57"/>
        <v>0</v>
      </c>
      <c r="W196" s="21">
        <f t="shared" si="58"/>
        <v>0</v>
      </c>
    </row>
    <row r="197" spans="2:23" x14ac:dyDescent="0.25">
      <c r="B197" t="s">
        <v>161</v>
      </c>
      <c r="C197" t="s">
        <v>574</v>
      </c>
      <c r="E197" s="233">
        <f t="shared" si="52"/>
        <v>19</v>
      </c>
      <c r="F197" s="233" t="s">
        <v>750</v>
      </c>
      <c r="G197" s="15"/>
      <c r="H197" s="233"/>
      <c r="I197" s="233">
        <f>+INDEX('2025 Org Base Case BDs'!B:B,MATCH('2025 GSD Rate Class E-13c'!B197,'2025 Org Base Case BDs'!A:A,0))</f>
        <v>0</v>
      </c>
      <c r="J197" s="12" t="s">
        <v>711</v>
      </c>
      <c r="K197" s="60">
        <f>+INDEX('2024 Base Rates'!E:E,MATCH('2025 GSD Rate Class E-13c'!C197,'2024 Base Rates'!D:D,0))</f>
        <v>5.7099999999999998E-3</v>
      </c>
      <c r="L197" s="12"/>
      <c r="M197" s="13">
        <f t="shared" si="59"/>
        <v>0</v>
      </c>
      <c r="N197" s="12"/>
      <c r="O197" s="22"/>
      <c r="P197" s="233">
        <f>+INDEX('2025 Billing Determinants'!B:B,MATCH('2025 GSD Rate Class E-13c'!B197,'2025 Billing Determinants'!A:A,0))</f>
        <v>0</v>
      </c>
      <c r="Q197" s="12" t="s">
        <v>711</v>
      </c>
      <c r="R197" s="60">
        <f>+R194+'Time of Day Inputs'!$F$4</f>
        <v>8.1720000000000004E-3</v>
      </c>
      <c r="S197" s="233"/>
      <c r="T197" s="13">
        <f t="shared" si="61"/>
        <v>0</v>
      </c>
      <c r="U197" s="233"/>
      <c r="V197" s="12">
        <f t="shared" si="57"/>
        <v>0</v>
      </c>
      <c r="W197" s="21">
        <f t="shared" si="58"/>
        <v>0</v>
      </c>
    </row>
    <row r="198" spans="2:23" x14ac:dyDescent="0.25">
      <c r="B198" t="s">
        <v>162</v>
      </c>
      <c r="C198" t="s">
        <v>575</v>
      </c>
      <c r="E198" s="233">
        <f t="shared" si="52"/>
        <v>20</v>
      </c>
      <c r="F198" s="233" t="s">
        <v>778</v>
      </c>
      <c r="G198" s="233"/>
      <c r="H198" s="233"/>
      <c r="I198" s="233">
        <f>+INDEX('2025 Org Base Case BDs'!B:B,MATCH('2025 GSD Rate Class E-13c'!B198,'2025 Org Base Case BDs'!A:A,0))</f>
        <v>0</v>
      </c>
      <c r="J198" s="12" t="s">
        <v>711</v>
      </c>
      <c r="K198" s="60">
        <f>+INDEX('2024 Base Rates'!E:E,MATCH('2025 GSD Rate Class E-13c'!C198,'2024 Base Rates'!D:D,0))</f>
        <v>5.7099999999999998E-3</v>
      </c>
      <c r="L198" s="233"/>
      <c r="M198" s="13">
        <f t="shared" si="59"/>
        <v>0</v>
      </c>
      <c r="N198" s="233"/>
      <c r="O198" s="226"/>
      <c r="P198" s="233">
        <f>+INDEX('2025 Billing Determinants'!B:B,MATCH('2025 GSD Rate Class E-13c'!B198,'2025 Billing Determinants'!A:A,0))</f>
        <v>0</v>
      </c>
      <c r="Q198" s="12" t="s">
        <v>711</v>
      </c>
      <c r="R198" s="60">
        <f>+R195+'Time of Day Inputs'!$F$4</f>
        <v>8.1720000000000004E-3</v>
      </c>
      <c r="S198" s="233"/>
      <c r="T198" s="13">
        <f t="shared" si="61"/>
        <v>0</v>
      </c>
      <c r="U198" s="233"/>
      <c r="V198" s="12">
        <f t="shared" si="57"/>
        <v>0</v>
      </c>
      <c r="W198" s="21">
        <f t="shared" si="58"/>
        <v>0</v>
      </c>
    </row>
    <row r="199" spans="2:23" x14ac:dyDescent="0.25">
      <c r="B199" t="s">
        <v>898</v>
      </c>
      <c r="C199" t="s">
        <v>1500</v>
      </c>
      <c r="E199" s="233">
        <f t="shared" si="52"/>
        <v>21</v>
      </c>
      <c r="F199" s="233" t="s">
        <v>1613</v>
      </c>
      <c r="I199" s="233">
        <v>0</v>
      </c>
      <c r="J199" s="12" t="s">
        <v>711</v>
      </c>
      <c r="K199" s="60">
        <v>0</v>
      </c>
      <c r="M199" s="13">
        <f t="shared" si="59"/>
        <v>0</v>
      </c>
      <c r="P199" s="233">
        <f>+INDEX('2025 Billing Determinants'!B:B,MATCH('2025 GSD Rate Class E-13c'!B199,'2025 Billing Determinants'!A:A,0))</f>
        <v>0</v>
      </c>
      <c r="Q199" s="12" t="s">
        <v>711</v>
      </c>
      <c r="R199" s="60">
        <f>+R196+'Time of Day Inputs'!$G$4</f>
        <v>4.6120000000000006E-3</v>
      </c>
      <c r="T199" s="13">
        <f t="shared" si="61"/>
        <v>0</v>
      </c>
      <c r="V199" s="12">
        <f t="shared" ref="V199:V201" si="62">+T199-M199</f>
        <v>0</v>
      </c>
      <c r="W199" s="21">
        <f t="shared" ref="W199:W201" si="63">+IF(V199=0,0,(T199-M199)/M199)</f>
        <v>0</v>
      </c>
    </row>
    <row r="200" spans="2:23" x14ac:dyDescent="0.25">
      <c r="B200" t="s">
        <v>899</v>
      </c>
      <c r="C200" t="s">
        <v>1501</v>
      </c>
      <c r="E200" s="233">
        <f t="shared" si="52"/>
        <v>22</v>
      </c>
      <c r="F200" s="233" t="s">
        <v>1614</v>
      </c>
      <c r="I200" s="233">
        <v>0</v>
      </c>
      <c r="J200" s="12" t="s">
        <v>711</v>
      </c>
      <c r="K200" s="60">
        <v>0</v>
      </c>
      <c r="M200" s="13">
        <f t="shared" si="59"/>
        <v>0</v>
      </c>
      <c r="P200" s="233">
        <f>+INDEX('2025 Billing Determinants'!B:B,MATCH('2025 GSD Rate Class E-13c'!B200,'2025 Billing Determinants'!A:A,0))</f>
        <v>0</v>
      </c>
      <c r="Q200" s="12" t="s">
        <v>711</v>
      </c>
      <c r="R200" s="60">
        <f>+R197+'Time of Day Inputs'!$G$4</f>
        <v>4.6120000000000006E-3</v>
      </c>
      <c r="T200" s="13">
        <f t="shared" si="61"/>
        <v>0</v>
      </c>
      <c r="V200" s="12">
        <f t="shared" si="62"/>
        <v>0</v>
      </c>
      <c r="W200" s="21">
        <f t="shared" si="63"/>
        <v>0</v>
      </c>
    </row>
    <row r="201" spans="2:23" x14ac:dyDescent="0.25">
      <c r="B201" t="s">
        <v>900</v>
      </c>
      <c r="C201" t="s">
        <v>1502</v>
      </c>
      <c r="E201" s="233">
        <f t="shared" si="52"/>
        <v>23</v>
      </c>
      <c r="F201" s="233" t="s">
        <v>1615</v>
      </c>
      <c r="I201" s="376">
        <v>0</v>
      </c>
      <c r="J201" s="12" t="s">
        <v>711</v>
      </c>
      <c r="K201" s="60">
        <v>0</v>
      </c>
      <c r="M201" s="13">
        <f t="shared" si="59"/>
        <v>0</v>
      </c>
      <c r="P201" s="376">
        <f>+INDEX('2025 Billing Determinants'!B:B,MATCH('2025 GSD Rate Class E-13c'!B201,'2025 Billing Determinants'!A:A,0))</f>
        <v>0</v>
      </c>
      <c r="Q201" s="12" t="s">
        <v>711</v>
      </c>
      <c r="R201" s="60">
        <f>+R198+'Time of Day Inputs'!$G$4</f>
        <v>4.6120000000000006E-3</v>
      </c>
      <c r="T201" s="13">
        <f t="shared" si="61"/>
        <v>0</v>
      </c>
      <c r="V201" s="12">
        <f t="shared" si="62"/>
        <v>0</v>
      </c>
      <c r="W201" s="21">
        <f t="shared" si="63"/>
        <v>0</v>
      </c>
    </row>
    <row r="202" spans="2:23" x14ac:dyDescent="0.25">
      <c r="E202" s="233">
        <f t="shared" si="52"/>
        <v>24</v>
      </c>
      <c r="F202" s="233" t="s">
        <v>336</v>
      </c>
      <c r="G202" s="233"/>
      <c r="H202" s="233"/>
      <c r="I202" s="233">
        <f>+SUM(I190:I201)</f>
        <v>0</v>
      </c>
      <c r="J202" s="12"/>
      <c r="K202" s="27"/>
      <c r="L202" s="233"/>
      <c r="M202" s="54">
        <f>+SUM(M190:M201)</f>
        <v>0</v>
      </c>
      <c r="N202" s="233"/>
      <c r="O202" s="226"/>
      <c r="P202" s="233">
        <f>+SUM(P190:P201)</f>
        <v>0</v>
      </c>
      <c r="Q202" s="12"/>
      <c r="R202" s="27"/>
      <c r="S202" s="233"/>
      <c r="T202" s="54">
        <f>+SUM(T190:T201)</f>
        <v>0</v>
      </c>
      <c r="U202" s="233"/>
      <c r="V202" s="12">
        <f>+T202-M202</f>
        <v>0</v>
      </c>
      <c r="W202" s="21">
        <f>+IF(V202=0,0,(T202-M202)/M202)</f>
        <v>0</v>
      </c>
    </row>
    <row r="203" spans="2:23" x14ac:dyDescent="0.25">
      <c r="E203" s="233">
        <f t="shared" si="52"/>
        <v>25</v>
      </c>
      <c r="F203" s="233"/>
      <c r="G203" s="233"/>
      <c r="H203" s="233"/>
      <c r="I203" s="13"/>
      <c r="J203" s="12"/>
      <c r="K203" s="27"/>
      <c r="L203" s="233"/>
      <c r="M203" s="13"/>
      <c r="N203" s="233"/>
      <c r="O203" s="226"/>
      <c r="P203" s="13"/>
      <c r="Q203" s="12"/>
      <c r="R203" s="27"/>
      <c r="S203" s="233"/>
      <c r="T203" s="13"/>
      <c r="U203" s="233"/>
      <c r="V203" s="233"/>
      <c r="W203" s="23"/>
    </row>
    <row r="204" spans="2:23" x14ac:dyDescent="0.25">
      <c r="E204" s="233">
        <f t="shared" si="52"/>
        <v>26</v>
      </c>
      <c r="F204" s="11" t="s">
        <v>408</v>
      </c>
      <c r="G204" s="233"/>
      <c r="H204" s="233"/>
      <c r="I204" s="233"/>
      <c r="J204" s="233"/>
      <c r="K204" s="27"/>
      <c r="L204" s="233"/>
      <c r="M204" s="13"/>
      <c r="N204" s="233"/>
      <c r="O204" s="226"/>
      <c r="P204" s="233"/>
      <c r="Q204" s="233"/>
      <c r="R204" s="27"/>
      <c r="S204" s="233"/>
      <c r="T204" s="13"/>
      <c r="U204" s="233"/>
      <c r="V204" s="233"/>
      <c r="W204" s="233"/>
    </row>
    <row r="205" spans="2:23" x14ac:dyDescent="0.25">
      <c r="B205" t="s">
        <v>122</v>
      </c>
      <c r="C205" t="s">
        <v>585</v>
      </c>
      <c r="E205" s="233">
        <f t="shared" si="52"/>
        <v>27</v>
      </c>
      <c r="F205" s="11" t="s">
        <v>361</v>
      </c>
      <c r="G205" s="233"/>
      <c r="H205" s="233"/>
      <c r="I205" s="233">
        <f>+INDEX('2025 Org Base Case BDs'!B:B,MATCH('2025 GSD Rate Class E-13c'!B205,'2025 Org Base Case BDs'!A:A,0))</f>
        <v>0</v>
      </c>
      <c r="J205" s="12" t="s">
        <v>711</v>
      </c>
      <c r="K205" s="60">
        <f>+INDEX('2024 Base Rates'!E:E,MATCH('2025 GSD Rate Class E-13c'!C205,'2024 Base Rates'!D:D,0))</f>
        <v>8.5699999999999995E-3</v>
      </c>
      <c r="L205" s="233"/>
      <c r="M205" s="13">
        <f>+I205*K205</f>
        <v>0</v>
      </c>
      <c r="N205" s="233"/>
      <c r="O205" s="226"/>
      <c r="P205" s="233">
        <f>+INDEX('2025 Billing Determinants'!B:B,MATCH('2025 GSD Rate Class E-13c'!B205,'2025 Billing Determinants'!A:A,0))</f>
        <v>0</v>
      </c>
      <c r="Q205" s="12" t="s">
        <v>711</v>
      </c>
      <c r="R205" s="28">
        <f>+K205*(1+0.05)</f>
        <v>8.9984999999999996E-3</v>
      </c>
      <c r="S205" s="233"/>
      <c r="T205" s="13">
        <f>+P205*R205</f>
        <v>0</v>
      </c>
      <c r="U205" s="233"/>
      <c r="V205" s="12">
        <f t="shared" ref="V205:V213" si="64">+T205-M205</f>
        <v>0</v>
      </c>
      <c r="W205" s="21">
        <f t="shared" ref="W205:W213" si="65">+IF(V205=0,0,(T205-M205)/M205)</f>
        <v>0</v>
      </c>
    </row>
    <row r="206" spans="2:23" x14ac:dyDescent="0.25">
      <c r="B206" t="s">
        <v>123</v>
      </c>
      <c r="C206" t="s">
        <v>577</v>
      </c>
      <c r="E206" s="233">
        <f t="shared" si="52"/>
        <v>28</v>
      </c>
      <c r="F206" s="11" t="s">
        <v>442</v>
      </c>
      <c r="G206" s="233"/>
      <c r="H206" s="233"/>
      <c r="I206" s="233">
        <f>+INDEX('2025 Org Base Case BDs'!B:B,MATCH('2025 GSD Rate Class E-13c'!B206,'2025 Org Base Case BDs'!A:A,0))</f>
        <v>0</v>
      </c>
      <c r="J206" s="12" t="s">
        <v>711</v>
      </c>
      <c r="K206" s="60">
        <f>+INDEX('2024 Base Rates'!E:E,MATCH('2025 GSD Rate Class E-13c'!C206,'2024 Base Rates'!D:D,0))</f>
        <v>8.5699999999999995E-3</v>
      </c>
      <c r="L206" s="233"/>
      <c r="M206" s="13">
        <f t="shared" ref="M206:M213" si="66">+I206*K206</f>
        <v>0</v>
      </c>
      <c r="N206" s="233"/>
      <c r="O206" s="226"/>
      <c r="P206" s="233">
        <f>+INDEX('2025 Billing Determinants'!B:B,MATCH('2025 GSD Rate Class E-13c'!B206,'2025 Billing Determinants'!A:A,0))</f>
        <v>0</v>
      </c>
      <c r="Q206" s="12" t="s">
        <v>711</v>
      </c>
      <c r="R206" s="28">
        <f>+R205</f>
        <v>8.9984999999999996E-3</v>
      </c>
      <c r="S206" s="233"/>
      <c r="T206" s="13">
        <f t="shared" ref="T206:T213" si="67">+P206*R206</f>
        <v>0</v>
      </c>
      <c r="U206" s="233"/>
      <c r="V206" s="12">
        <f t="shared" si="64"/>
        <v>0</v>
      </c>
      <c r="W206" s="21">
        <f t="shared" si="65"/>
        <v>0</v>
      </c>
    </row>
    <row r="207" spans="2:23" x14ac:dyDescent="0.25">
      <c r="B207" t="s">
        <v>124</v>
      </c>
      <c r="C207" t="s">
        <v>578</v>
      </c>
      <c r="E207" s="233">
        <f t="shared" si="52"/>
        <v>29</v>
      </c>
      <c r="F207" s="11" t="s">
        <v>779</v>
      </c>
      <c r="G207" s="233"/>
      <c r="H207" s="233"/>
      <c r="I207" s="233">
        <f>+INDEX('2025 Org Base Case BDs'!B:B,MATCH('2025 GSD Rate Class E-13c'!B207,'2025 Org Base Case BDs'!A:A,0))</f>
        <v>0</v>
      </c>
      <c r="J207" s="12" t="s">
        <v>711</v>
      </c>
      <c r="K207" s="60">
        <f>+INDEX('2024 Base Rates'!E:E,MATCH('2025 GSD Rate Class E-13c'!C207,'2024 Base Rates'!D:D,0))</f>
        <v>8.5699999999999995E-3</v>
      </c>
      <c r="L207" s="233"/>
      <c r="M207" s="13">
        <f t="shared" si="66"/>
        <v>0</v>
      </c>
      <c r="N207" s="233"/>
      <c r="O207" s="226"/>
      <c r="P207" s="233">
        <f>+INDEX('2025 Billing Determinants'!B:B,MATCH('2025 GSD Rate Class E-13c'!B207,'2025 Billing Determinants'!A:A,0))</f>
        <v>0</v>
      </c>
      <c r="Q207" s="12" t="s">
        <v>711</v>
      </c>
      <c r="R207" s="28">
        <f t="shared" ref="R207:R216" si="68">+R206</f>
        <v>8.9984999999999996E-3</v>
      </c>
      <c r="S207" s="233"/>
      <c r="T207" s="13">
        <f t="shared" si="67"/>
        <v>0</v>
      </c>
      <c r="U207" s="233"/>
      <c r="V207" s="12">
        <f t="shared" si="64"/>
        <v>0</v>
      </c>
      <c r="W207" s="21">
        <f t="shared" si="65"/>
        <v>0</v>
      </c>
    </row>
    <row r="208" spans="2:23" x14ac:dyDescent="0.25">
      <c r="B208" t="s">
        <v>179</v>
      </c>
      <c r="C208" t="s">
        <v>579</v>
      </c>
      <c r="E208" s="233">
        <f t="shared" si="52"/>
        <v>30</v>
      </c>
      <c r="F208" s="233" t="s">
        <v>780</v>
      </c>
      <c r="G208" s="233"/>
      <c r="H208" s="233"/>
      <c r="I208" s="233">
        <f>+INDEX('2025 Org Base Case BDs'!B:B,MATCH('2025 GSD Rate Class E-13c'!B208,'2025 Org Base Case BDs'!A:A,0))</f>
        <v>0</v>
      </c>
      <c r="J208" s="12" t="s">
        <v>711</v>
      </c>
      <c r="K208" s="60">
        <f>+INDEX('2024 Base Rates'!E:E,MATCH('2025 GSD Rate Class E-13c'!C208,'2024 Base Rates'!D:D,0))</f>
        <v>8.5699999999999995E-3</v>
      </c>
      <c r="L208" s="233"/>
      <c r="M208" s="13">
        <f t="shared" si="66"/>
        <v>0</v>
      </c>
      <c r="N208" s="233"/>
      <c r="O208" s="226"/>
      <c r="P208" s="233">
        <f>+INDEX('2025 Billing Determinants'!B:B,MATCH('2025 GSD Rate Class E-13c'!B208,'2025 Billing Determinants'!A:A,0))</f>
        <v>0</v>
      </c>
      <c r="Q208" s="12" t="s">
        <v>711</v>
      </c>
      <c r="R208" s="28">
        <f t="shared" si="68"/>
        <v>8.9984999999999996E-3</v>
      </c>
      <c r="S208" s="233"/>
      <c r="T208" s="13">
        <f t="shared" si="67"/>
        <v>0</v>
      </c>
      <c r="U208" s="12"/>
      <c r="V208" s="12">
        <f t="shared" si="64"/>
        <v>0</v>
      </c>
      <c r="W208" s="21">
        <f t="shared" si="65"/>
        <v>0</v>
      </c>
    </row>
    <row r="209" spans="1:23" x14ac:dyDescent="0.25">
      <c r="B209" t="s">
        <v>180</v>
      </c>
      <c r="C209" t="s">
        <v>580</v>
      </c>
      <c r="E209" s="233">
        <f t="shared" si="52"/>
        <v>31</v>
      </c>
      <c r="F209" s="233" t="s">
        <v>749</v>
      </c>
      <c r="G209" s="233"/>
      <c r="H209" s="233"/>
      <c r="I209" s="233">
        <f>+INDEX('2025 Org Base Case BDs'!B:B,MATCH('2025 GSD Rate Class E-13c'!B209,'2025 Org Base Case BDs'!A:A,0))</f>
        <v>0</v>
      </c>
      <c r="J209" s="12" t="s">
        <v>711</v>
      </c>
      <c r="K209" s="60">
        <f>+INDEX('2024 Base Rates'!E:E,MATCH('2025 GSD Rate Class E-13c'!C209,'2024 Base Rates'!D:D,0))</f>
        <v>8.5699999999999995E-3</v>
      </c>
      <c r="L209" s="233"/>
      <c r="M209" s="13">
        <f t="shared" si="66"/>
        <v>0</v>
      </c>
      <c r="N209" s="233"/>
      <c r="O209" s="226"/>
      <c r="P209" s="233">
        <f>+INDEX('2025 Billing Determinants'!B:B,MATCH('2025 GSD Rate Class E-13c'!B209,'2025 Billing Determinants'!A:A,0))</f>
        <v>0</v>
      </c>
      <c r="Q209" s="12" t="s">
        <v>711</v>
      </c>
      <c r="R209" s="28">
        <f t="shared" si="68"/>
        <v>8.9984999999999996E-3</v>
      </c>
      <c r="S209" s="233"/>
      <c r="T209" s="13">
        <f t="shared" si="67"/>
        <v>0</v>
      </c>
      <c r="U209" s="12"/>
      <c r="V209" s="12">
        <f t="shared" si="64"/>
        <v>0</v>
      </c>
      <c r="W209" s="21">
        <f t="shared" si="65"/>
        <v>0</v>
      </c>
    </row>
    <row r="210" spans="1:23" x14ac:dyDescent="0.25">
      <c r="B210" t="s">
        <v>181</v>
      </c>
      <c r="C210" t="s">
        <v>581</v>
      </c>
      <c r="E210" s="233">
        <f t="shared" si="52"/>
        <v>32</v>
      </c>
      <c r="F210" s="233" t="s">
        <v>776</v>
      </c>
      <c r="G210" s="15"/>
      <c r="H210" s="233"/>
      <c r="I210" s="233">
        <f>+INDEX('2025 Org Base Case BDs'!B:B,MATCH('2025 GSD Rate Class E-13c'!B210,'2025 Org Base Case BDs'!A:A,0))</f>
        <v>0</v>
      </c>
      <c r="J210" s="12" t="s">
        <v>711</v>
      </c>
      <c r="K210" s="60">
        <f>+INDEX('2024 Base Rates'!E:E,MATCH('2025 GSD Rate Class E-13c'!C210,'2024 Base Rates'!D:D,0))</f>
        <v>8.5699999999999995E-3</v>
      </c>
      <c r="L210" s="12"/>
      <c r="M210" s="13">
        <f t="shared" si="66"/>
        <v>0</v>
      </c>
      <c r="N210" s="12"/>
      <c r="O210" s="22"/>
      <c r="P210" s="233">
        <f>+INDEX('2025 Billing Determinants'!B:B,MATCH('2025 GSD Rate Class E-13c'!B210,'2025 Billing Determinants'!A:A,0))</f>
        <v>0</v>
      </c>
      <c r="Q210" s="12" t="s">
        <v>711</v>
      </c>
      <c r="R210" s="28">
        <f t="shared" si="68"/>
        <v>8.9984999999999996E-3</v>
      </c>
      <c r="S210" s="233"/>
      <c r="T210" s="13">
        <f t="shared" si="67"/>
        <v>0</v>
      </c>
      <c r="U210" s="233"/>
      <c r="V210" s="12">
        <f t="shared" si="64"/>
        <v>0</v>
      </c>
      <c r="W210" s="21">
        <f t="shared" si="65"/>
        <v>0</v>
      </c>
    </row>
    <row r="211" spans="1:23" x14ac:dyDescent="0.25">
      <c r="B211" t="s">
        <v>183</v>
      </c>
      <c r="C211" t="s">
        <v>582</v>
      </c>
      <c r="E211" s="233">
        <f t="shared" si="52"/>
        <v>33</v>
      </c>
      <c r="F211" s="233" t="s">
        <v>781</v>
      </c>
      <c r="G211" s="233"/>
      <c r="H211" s="233"/>
      <c r="I211" s="233">
        <f>+INDEX('2025 Org Base Case BDs'!B:B,MATCH('2025 GSD Rate Class E-13c'!B211,'2025 Org Base Case BDs'!A:A,0))</f>
        <v>0</v>
      </c>
      <c r="J211" s="12" t="s">
        <v>711</v>
      </c>
      <c r="K211" s="60">
        <f>+INDEX('2024 Base Rates'!E:E,MATCH('2025 GSD Rate Class E-13c'!C211,'2024 Base Rates'!D:D,0))</f>
        <v>8.5699999999999995E-3</v>
      </c>
      <c r="L211" s="233"/>
      <c r="M211" s="13">
        <f t="shared" si="66"/>
        <v>0</v>
      </c>
      <c r="N211" s="233"/>
      <c r="O211" s="226"/>
      <c r="P211" s="233">
        <f>+INDEX('2025 Billing Determinants'!B:B,MATCH('2025 GSD Rate Class E-13c'!B211,'2025 Billing Determinants'!A:A,0))</f>
        <v>0</v>
      </c>
      <c r="Q211" s="12" t="s">
        <v>711</v>
      </c>
      <c r="R211" s="28">
        <f t="shared" si="68"/>
        <v>8.9984999999999996E-3</v>
      </c>
      <c r="S211" s="233"/>
      <c r="T211" s="13">
        <f t="shared" si="67"/>
        <v>0</v>
      </c>
      <c r="U211" s="233"/>
      <c r="V211" s="12">
        <f t="shared" si="64"/>
        <v>0</v>
      </c>
      <c r="W211" s="21">
        <f t="shared" si="65"/>
        <v>0</v>
      </c>
    </row>
    <row r="212" spans="1:23" x14ac:dyDescent="0.25">
      <c r="B212" t="s">
        <v>184</v>
      </c>
      <c r="C212" t="s">
        <v>583</v>
      </c>
      <c r="E212" s="233">
        <f t="shared" si="52"/>
        <v>34</v>
      </c>
      <c r="F212" s="233" t="s">
        <v>750</v>
      </c>
      <c r="G212" s="233"/>
      <c r="H212" s="233"/>
      <c r="I212" s="233">
        <f>+INDEX('2025 Org Base Case BDs'!B:B,MATCH('2025 GSD Rate Class E-13c'!B212,'2025 Org Base Case BDs'!A:A,0))</f>
        <v>0</v>
      </c>
      <c r="J212" s="12" t="s">
        <v>711</v>
      </c>
      <c r="K212" s="60">
        <f>+INDEX('2024 Base Rates'!E:E,MATCH('2025 GSD Rate Class E-13c'!C212,'2024 Base Rates'!D:D,0))</f>
        <v>8.5699999999999995E-3</v>
      </c>
      <c r="L212" s="233"/>
      <c r="M212" s="13">
        <f t="shared" si="66"/>
        <v>0</v>
      </c>
      <c r="N212" s="233"/>
      <c r="O212" s="226"/>
      <c r="P212" s="233">
        <f>+INDEX('2025 Billing Determinants'!B:B,MATCH('2025 GSD Rate Class E-13c'!B212,'2025 Billing Determinants'!A:A,0))</f>
        <v>0</v>
      </c>
      <c r="Q212" s="12" t="s">
        <v>711</v>
      </c>
      <c r="R212" s="28">
        <f t="shared" si="68"/>
        <v>8.9984999999999996E-3</v>
      </c>
      <c r="S212" s="233"/>
      <c r="T212" s="13">
        <f t="shared" si="67"/>
        <v>0</v>
      </c>
      <c r="U212" s="233"/>
      <c r="V212" s="12">
        <f t="shared" si="64"/>
        <v>0</v>
      </c>
      <c r="W212" s="21">
        <f t="shared" si="65"/>
        <v>0</v>
      </c>
    </row>
    <row r="213" spans="1:23" x14ac:dyDescent="0.25">
      <c r="B213" t="s">
        <v>185</v>
      </c>
      <c r="C213" t="s">
        <v>584</v>
      </c>
      <c r="E213" s="233">
        <f t="shared" si="52"/>
        <v>35</v>
      </c>
      <c r="F213" s="233" t="s">
        <v>778</v>
      </c>
      <c r="G213" s="233"/>
      <c r="H213" s="233"/>
      <c r="I213" s="233">
        <f>+INDEX('2025 Org Base Case BDs'!B:B,MATCH('2025 GSD Rate Class E-13c'!B213,'2025 Org Base Case BDs'!A:A,0))</f>
        <v>0</v>
      </c>
      <c r="J213" s="12" t="s">
        <v>711</v>
      </c>
      <c r="K213" s="60">
        <f>+INDEX('2024 Base Rates'!E:E,MATCH('2025 GSD Rate Class E-13c'!C213,'2024 Base Rates'!D:D,0))</f>
        <v>8.5699999999999995E-3</v>
      </c>
      <c r="L213" s="233"/>
      <c r="M213" s="13">
        <f t="shared" si="66"/>
        <v>0</v>
      </c>
      <c r="N213" s="233"/>
      <c r="O213" s="226"/>
      <c r="P213" s="233">
        <f>+INDEX('2025 Billing Determinants'!B:B,MATCH('2025 GSD Rate Class E-13c'!B213,'2025 Billing Determinants'!A:A,0))</f>
        <v>0</v>
      </c>
      <c r="Q213" s="12" t="s">
        <v>711</v>
      </c>
      <c r="R213" s="28">
        <f t="shared" si="68"/>
        <v>8.9984999999999996E-3</v>
      </c>
      <c r="S213" s="233"/>
      <c r="T213" s="13">
        <f t="shared" si="67"/>
        <v>0</v>
      </c>
      <c r="U213" s="12"/>
      <c r="V213" s="12">
        <f t="shared" si="64"/>
        <v>0</v>
      </c>
      <c r="W213" s="21">
        <f t="shared" si="65"/>
        <v>0</v>
      </c>
    </row>
    <row r="214" spans="1:23" x14ac:dyDescent="0.25">
      <c r="B214" t="s">
        <v>184</v>
      </c>
      <c r="C214" t="s">
        <v>1503</v>
      </c>
      <c r="E214" s="233">
        <f t="shared" si="52"/>
        <v>36</v>
      </c>
      <c r="F214" s="233" t="s">
        <v>1616</v>
      </c>
      <c r="G214" s="233"/>
      <c r="H214" s="233"/>
      <c r="I214" s="233">
        <f>+INDEX('2025 Org Base Case BDs'!B:B,MATCH('2025 GSD Rate Class E-13c'!B214,'2025 Org Base Case BDs'!A:A,0))</f>
        <v>0</v>
      </c>
      <c r="J214" s="12" t="s">
        <v>711</v>
      </c>
      <c r="K214" s="60">
        <v>0</v>
      </c>
      <c r="L214" s="233"/>
      <c r="M214" s="13">
        <f t="shared" ref="M214:M216" si="69">+I214*K214</f>
        <v>0</v>
      </c>
      <c r="N214" s="233"/>
      <c r="O214" s="226"/>
      <c r="P214" s="233">
        <f>+INDEX('2025 Billing Determinants'!B:B,MATCH('2025 GSD Rate Class E-13c'!B214,'2025 Billing Determinants'!A:A,0))</f>
        <v>0</v>
      </c>
      <c r="Q214" s="12" t="s">
        <v>711</v>
      </c>
      <c r="R214" s="28">
        <f t="shared" si="68"/>
        <v>8.9984999999999996E-3</v>
      </c>
      <c r="S214" s="233"/>
      <c r="T214" s="13">
        <f t="shared" ref="T214:T216" si="70">+P214*R214</f>
        <v>0</v>
      </c>
      <c r="U214" s="233"/>
      <c r="V214" s="12">
        <f t="shared" ref="V214:V216" si="71">+T214-M214</f>
        <v>0</v>
      </c>
      <c r="W214" s="21">
        <f t="shared" ref="W214:W216" si="72">+IF(V214=0,0,(T214-M214)/M214)</f>
        <v>0</v>
      </c>
    </row>
    <row r="215" spans="1:23" x14ac:dyDescent="0.25">
      <c r="B215" t="s">
        <v>185</v>
      </c>
      <c r="C215" t="s">
        <v>1504</v>
      </c>
      <c r="E215" s="233">
        <f t="shared" si="52"/>
        <v>37</v>
      </c>
      <c r="F215" s="233" t="s">
        <v>1614</v>
      </c>
      <c r="G215" s="233"/>
      <c r="H215" s="233"/>
      <c r="I215" s="233">
        <f>+INDEX('2025 Org Base Case BDs'!B:B,MATCH('2025 GSD Rate Class E-13c'!B215,'2025 Org Base Case BDs'!A:A,0))</f>
        <v>0</v>
      </c>
      <c r="J215" s="12" t="s">
        <v>711</v>
      </c>
      <c r="K215" s="60">
        <v>0</v>
      </c>
      <c r="L215" s="233"/>
      <c r="M215" s="13">
        <f t="shared" si="69"/>
        <v>0</v>
      </c>
      <c r="N215" s="233"/>
      <c r="O215" s="226"/>
      <c r="P215" s="233">
        <f>+INDEX('2025 Billing Determinants'!B:B,MATCH('2025 GSD Rate Class E-13c'!B215,'2025 Billing Determinants'!A:A,0))</f>
        <v>0</v>
      </c>
      <c r="Q215" s="12" t="s">
        <v>711</v>
      </c>
      <c r="R215" s="28">
        <f t="shared" si="68"/>
        <v>8.9984999999999996E-3</v>
      </c>
      <c r="S215" s="233"/>
      <c r="T215" s="13">
        <f t="shared" si="70"/>
        <v>0</v>
      </c>
      <c r="U215" s="233"/>
      <c r="V215" s="12">
        <f t="shared" si="71"/>
        <v>0</v>
      </c>
      <c r="W215" s="21">
        <f t="shared" si="72"/>
        <v>0</v>
      </c>
    </row>
    <row r="216" spans="1:23" x14ac:dyDescent="0.25">
      <c r="B216" t="s">
        <v>901</v>
      </c>
      <c r="C216" t="s">
        <v>1505</v>
      </c>
      <c r="E216" s="233">
        <f t="shared" si="52"/>
        <v>38</v>
      </c>
      <c r="F216" s="233" t="s">
        <v>1615</v>
      </c>
      <c r="G216" s="233"/>
      <c r="H216" s="233"/>
      <c r="I216" s="376">
        <v>0</v>
      </c>
      <c r="J216" s="12" t="s">
        <v>711</v>
      </c>
      <c r="K216" s="60">
        <v>0</v>
      </c>
      <c r="L216" s="233"/>
      <c r="M216" s="13">
        <f t="shared" si="69"/>
        <v>0</v>
      </c>
      <c r="N216" s="233"/>
      <c r="O216" s="226"/>
      <c r="P216" s="376">
        <f>+INDEX('2025 Billing Determinants'!B:B,MATCH('2025 GSD Rate Class E-13c'!B216,'2025 Billing Determinants'!A:A,0))</f>
        <v>0</v>
      </c>
      <c r="Q216" s="12" t="s">
        <v>711</v>
      </c>
      <c r="R216" s="28">
        <f t="shared" si="68"/>
        <v>8.9984999999999996E-3</v>
      </c>
      <c r="S216" s="233"/>
      <c r="T216" s="53">
        <f t="shared" si="70"/>
        <v>0</v>
      </c>
      <c r="U216" s="12"/>
      <c r="V216" s="12">
        <f t="shared" si="71"/>
        <v>0</v>
      </c>
      <c r="W216" s="21">
        <f t="shared" si="72"/>
        <v>0</v>
      </c>
    </row>
    <row r="217" spans="1:23" ht="15.75" thickBot="1" x14ac:dyDescent="0.3">
      <c r="A217" s="368"/>
      <c r="E217" s="306">
        <f t="shared" si="52"/>
        <v>39</v>
      </c>
      <c r="F217" s="380" t="s">
        <v>748</v>
      </c>
      <c r="G217" s="306"/>
      <c r="H217" s="306"/>
      <c r="I217" s="306">
        <f>+SUM(I205:I216)</f>
        <v>0</v>
      </c>
      <c r="J217" s="306" t="s">
        <v>711</v>
      </c>
      <c r="K217" s="306"/>
      <c r="L217" s="306"/>
      <c r="M217" s="324">
        <f>+SUM(M205:M216)</f>
        <v>0</v>
      </c>
      <c r="N217" s="306"/>
      <c r="O217" s="314"/>
      <c r="P217" s="306">
        <f>+SUM(P205:P216)</f>
        <v>0</v>
      </c>
      <c r="Q217" s="306" t="s">
        <v>711</v>
      </c>
      <c r="R217" s="306"/>
      <c r="S217" s="306"/>
      <c r="T217" s="324">
        <f>+SUM(T205:T216)</f>
        <v>0</v>
      </c>
      <c r="U217" s="306"/>
      <c r="V217" s="79">
        <f>+T217-M217</f>
        <v>0</v>
      </c>
      <c r="W217" s="189">
        <f>+IF(V217=0,0,(T217-M217)/M217)</f>
        <v>0</v>
      </c>
    </row>
    <row r="218" spans="1:23" x14ac:dyDescent="0.25"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26"/>
      <c r="P218" s="233"/>
      <c r="Q218" s="233"/>
      <c r="R218" s="233"/>
      <c r="S218" s="233"/>
      <c r="T218" s="233"/>
      <c r="U218" s="233"/>
      <c r="V218" s="233"/>
      <c r="W218" s="233" t="s">
        <v>304</v>
      </c>
    </row>
    <row r="219" spans="1:23" x14ac:dyDescent="0.25">
      <c r="E219" s="233"/>
      <c r="F219" s="233"/>
      <c r="G219" s="233"/>
      <c r="H219" s="233"/>
      <c r="I219" s="233"/>
      <c r="J219" s="233"/>
      <c r="K219" s="233"/>
      <c r="L219" s="590"/>
      <c r="M219" s="590"/>
      <c r="N219" s="590"/>
      <c r="O219" s="590"/>
      <c r="P219" s="590"/>
      <c r="Q219" s="233"/>
      <c r="R219" s="233"/>
      <c r="S219" s="233"/>
      <c r="T219" s="233"/>
      <c r="U219" s="233"/>
      <c r="V219" s="233"/>
      <c r="W219" s="233"/>
    </row>
    <row r="220" spans="1:23" ht="15.75" thickBot="1" x14ac:dyDescent="0.3">
      <c r="E220" s="306" t="s">
        <v>305</v>
      </c>
      <c r="F220" s="306"/>
      <c r="G220" s="306"/>
      <c r="H220" s="306"/>
      <c r="I220" s="306"/>
      <c r="J220" s="306"/>
      <c r="K220" s="306"/>
      <c r="L220" s="591" t="s">
        <v>306</v>
      </c>
      <c r="M220" s="591"/>
      <c r="N220" s="591"/>
      <c r="O220" s="591"/>
      <c r="P220" s="591"/>
      <c r="Q220" s="306"/>
      <c r="R220" s="306"/>
      <c r="S220" s="306"/>
      <c r="T220" s="306"/>
      <c r="U220" s="306"/>
      <c r="V220" s="306"/>
      <c r="W220" s="326" t="s">
        <v>882</v>
      </c>
    </row>
    <row r="221" spans="1:23" x14ac:dyDescent="0.25">
      <c r="E221" s="233" t="s">
        <v>307</v>
      </c>
      <c r="F221" s="233"/>
      <c r="G221" s="233"/>
      <c r="H221" s="233"/>
      <c r="I221" s="233" t="s">
        <v>308</v>
      </c>
      <c r="J221" s="233" t="s">
        <v>913</v>
      </c>
      <c r="K221" s="233"/>
      <c r="L221" s="233"/>
      <c r="M221" s="233"/>
      <c r="N221" s="233"/>
      <c r="O221" s="316"/>
      <c r="P221" s="309"/>
      <c r="Q221" s="233"/>
      <c r="R221" s="309"/>
      <c r="S221" s="309"/>
      <c r="T221" s="309" t="s">
        <v>309</v>
      </c>
      <c r="U221" s="233"/>
      <c r="V221" s="233"/>
      <c r="W221" s="310"/>
    </row>
    <row r="222" spans="1:23" x14ac:dyDescent="0.25">
      <c r="E222" s="233"/>
      <c r="F222" s="233"/>
      <c r="G222" s="233"/>
      <c r="H222" s="233"/>
      <c r="I222" s="233"/>
      <c r="J222" s="233" t="s">
        <v>914</v>
      </c>
      <c r="K222" s="233"/>
      <c r="L222" s="233"/>
      <c r="M222" s="233"/>
      <c r="N222" s="233"/>
      <c r="O222" s="226"/>
      <c r="P222" s="310"/>
      <c r="Q222" s="233"/>
      <c r="R222" s="233"/>
      <c r="S222" s="311"/>
      <c r="T222" s="311" t="s">
        <v>919</v>
      </c>
      <c r="U222" s="310" t="s">
        <v>920</v>
      </c>
      <c r="V222" s="233"/>
      <c r="W222" s="311"/>
    </row>
    <row r="223" spans="1:23" x14ac:dyDescent="0.25">
      <c r="E223" s="233" t="s">
        <v>310</v>
      </c>
      <c r="F223" s="233"/>
      <c r="G223" s="233"/>
      <c r="H223" s="233"/>
      <c r="I223" s="233"/>
      <c r="J223" s="233" t="s">
        <v>915</v>
      </c>
      <c r="K223" s="233"/>
      <c r="L223" s="233"/>
      <c r="M223" s="233"/>
      <c r="N223" s="233"/>
      <c r="O223" s="226"/>
      <c r="P223" s="310"/>
      <c r="Q223" s="311"/>
      <c r="R223" s="233"/>
      <c r="S223" s="233"/>
      <c r="T223" s="311"/>
      <c r="U223" s="310" t="s">
        <v>937</v>
      </c>
      <c r="V223" s="233"/>
      <c r="W223" s="311"/>
    </row>
    <row r="224" spans="1:23" x14ac:dyDescent="0.25">
      <c r="E224" s="233"/>
      <c r="F224" s="233"/>
      <c r="G224" s="233"/>
      <c r="H224" s="233"/>
      <c r="I224" s="233"/>
      <c r="J224" s="233" t="s">
        <v>916</v>
      </c>
      <c r="K224" s="233"/>
      <c r="L224" s="233"/>
      <c r="M224" s="233"/>
      <c r="N224" s="233"/>
      <c r="O224" s="226"/>
      <c r="P224" s="310"/>
      <c r="Q224" s="311"/>
      <c r="R224" s="233"/>
      <c r="S224" s="233"/>
      <c r="T224" s="311"/>
      <c r="U224" s="310" t="s">
        <v>938</v>
      </c>
      <c r="V224" s="233"/>
      <c r="W224" s="311"/>
    </row>
    <row r="225" spans="1:23" x14ac:dyDescent="0.25">
      <c r="E225" s="233"/>
      <c r="F225" s="233"/>
      <c r="G225" s="311"/>
      <c r="H225" s="233"/>
      <c r="I225" s="233"/>
      <c r="J225" s="233" t="s">
        <v>917</v>
      </c>
      <c r="K225" s="233"/>
      <c r="L225" s="317"/>
      <c r="M225" s="317"/>
      <c r="N225" s="317"/>
      <c r="O225" s="226"/>
      <c r="P225" s="233"/>
      <c r="Q225" s="233"/>
      <c r="R225" s="233"/>
      <c r="S225" s="233"/>
      <c r="T225" s="233"/>
      <c r="U225" s="233" t="s">
        <v>311</v>
      </c>
      <c r="V225" s="233"/>
      <c r="W225" s="233"/>
    </row>
    <row r="226" spans="1:23" ht="15.75" thickBot="1" x14ac:dyDescent="0.3">
      <c r="E226" s="306" t="s">
        <v>1642</v>
      </c>
      <c r="F226" s="306"/>
      <c r="G226" s="326"/>
      <c r="H226" s="319"/>
      <c r="I226" s="319"/>
      <c r="J226" s="361" t="s">
        <v>918</v>
      </c>
      <c r="K226" s="361"/>
      <c r="L226" s="319"/>
      <c r="M226" s="319"/>
      <c r="N226" s="319"/>
      <c r="O226" s="319"/>
      <c r="P226" s="319"/>
      <c r="Q226" s="319"/>
      <c r="R226" s="319"/>
      <c r="S226" s="319"/>
      <c r="T226" s="319"/>
      <c r="U226" s="319"/>
      <c r="V226" s="319"/>
      <c r="W226" s="319"/>
    </row>
    <row r="227" spans="1:23" x14ac:dyDescent="0.25">
      <c r="E227" s="233"/>
      <c r="F227" s="233"/>
      <c r="G227" s="233"/>
      <c r="H227" s="233"/>
      <c r="I227" s="317"/>
      <c r="J227" s="233"/>
      <c r="K227" s="317"/>
      <c r="L227" s="362"/>
      <c r="M227" s="317"/>
      <c r="N227" s="233"/>
      <c r="O227" s="317"/>
      <c r="P227" s="233"/>
      <c r="Q227" s="362"/>
      <c r="R227" s="233"/>
      <c r="S227" s="233"/>
      <c r="T227" s="233"/>
      <c r="U227" s="233"/>
      <c r="V227" s="233"/>
      <c r="W227" s="233"/>
    </row>
    <row r="228" spans="1:23" x14ac:dyDescent="0.25">
      <c r="E228" s="233"/>
      <c r="F228" s="233"/>
      <c r="G228" s="233"/>
      <c r="H228" s="233"/>
      <c r="I228" s="362"/>
      <c r="J228" s="233"/>
      <c r="K228" s="233"/>
      <c r="L228" s="362"/>
      <c r="M228" s="233"/>
      <c r="N228" s="233"/>
      <c r="O228" s="317"/>
      <c r="P228" s="233"/>
      <c r="Q228" s="362"/>
      <c r="R228" s="233"/>
      <c r="S228" s="233"/>
      <c r="T228" s="233"/>
      <c r="U228" s="233"/>
      <c r="V228" s="233"/>
      <c r="W228" s="233"/>
    </row>
    <row r="229" spans="1:23" x14ac:dyDescent="0.25">
      <c r="E229" s="233"/>
      <c r="F229" s="233"/>
      <c r="G229" s="233"/>
      <c r="H229" s="233"/>
      <c r="I229" s="233"/>
      <c r="J229" s="362"/>
      <c r="K229" s="362"/>
      <c r="L229" s="363"/>
      <c r="M229" s="363" t="s">
        <v>312</v>
      </c>
      <c r="N229" s="317"/>
      <c r="O229" s="364" t="s">
        <v>396</v>
      </c>
      <c r="P229" s="362"/>
      <c r="Q229" s="233"/>
      <c r="R229" s="362"/>
      <c r="S229" s="362"/>
      <c r="T229" s="362"/>
      <c r="U229" s="362"/>
      <c r="V229" s="362"/>
      <c r="W229" s="233"/>
    </row>
    <row r="230" spans="1:23" x14ac:dyDescent="0.25">
      <c r="E230" s="233"/>
      <c r="F230" s="233"/>
      <c r="G230" s="233"/>
      <c r="H230" s="233"/>
      <c r="I230" s="233"/>
      <c r="J230" s="362"/>
      <c r="K230" s="362"/>
      <c r="L230" s="362"/>
      <c r="M230" s="362"/>
      <c r="N230" s="362"/>
      <c r="O230" s="317"/>
      <c r="P230" s="362"/>
      <c r="Q230" s="362"/>
      <c r="R230" s="362"/>
      <c r="S230" s="362"/>
      <c r="T230" s="362"/>
      <c r="U230" s="362"/>
      <c r="V230" s="362"/>
      <c r="W230" s="362"/>
    </row>
    <row r="231" spans="1:23" x14ac:dyDescent="0.25">
      <c r="E231" s="226" t="s">
        <v>314</v>
      </c>
      <c r="F231" s="371" t="s">
        <v>315</v>
      </c>
      <c r="G231" s="2"/>
      <c r="H231" s="3"/>
      <c r="I231" s="4"/>
      <c r="J231" s="4"/>
      <c r="K231" s="5" t="s">
        <v>316</v>
      </c>
      <c r="L231" s="4"/>
      <c r="M231" s="4"/>
      <c r="N231" s="2"/>
      <c r="O231" s="6"/>
      <c r="P231" s="4"/>
      <c r="Q231" s="5"/>
      <c r="R231" s="5" t="s">
        <v>317</v>
      </c>
      <c r="S231" s="4"/>
      <c r="T231" s="4"/>
      <c r="U231" s="2"/>
      <c r="V231" s="7" t="s">
        <v>318</v>
      </c>
      <c r="W231" s="7" t="s">
        <v>319</v>
      </c>
    </row>
    <row r="232" spans="1:23" ht="15.75" thickBot="1" x14ac:dyDescent="0.3">
      <c r="A232" s="216" t="s">
        <v>810</v>
      </c>
      <c r="B232" s="216" t="s">
        <v>552</v>
      </c>
      <c r="C232" s="216" t="s">
        <v>553</v>
      </c>
      <c r="E232" s="314" t="s">
        <v>320</v>
      </c>
      <c r="F232" s="367" t="s">
        <v>321</v>
      </c>
      <c r="G232" s="8"/>
      <c r="H232" s="306"/>
      <c r="I232" s="314" t="s">
        <v>322</v>
      </c>
      <c r="J232" s="9"/>
      <c r="K232" s="9" t="s">
        <v>323</v>
      </c>
      <c r="L232" s="9"/>
      <c r="M232" s="9" t="s">
        <v>324</v>
      </c>
      <c r="N232" s="9"/>
      <c r="O232" s="9"/>
      <c r="P232" s="9" t="s">
        <v>322</v>
      </c>
      <c r="Q232" s="9"/>
      <c r="R232" s="9" t="s">
        <v>323</v>
      </c>
      <c r="S232" s="9"/>
      <c r="T232" s="9" t="s">
        <v>324</v>
      </c>
      <c r="U232" s="8"/>
      <c r="V232" s="10" t="s">
        <v>325</v>
      </c>
      <c r="W232" s="10" t="s">
        <v>326</v>
      </c>
    </row>
    <row r="233" spans="1:23" x14ac:dyDescent="0.25">
      <c r="E233" s="233">
        <v>1</v>
      </c>
      <c r="F233" s="592" t="s">
        <v>800</v>
      </c>
      <c r="G233" s="592"/>
      <c r="H233" s="592"/>
      <c r="I233" s="233"/>
      <c r="J233" s="15"/>
      <c r="K233" s="15"/>
      <c r="L233" s="15"/>
      <c r="M233" s="15"/>
      <c r="N233" s="11"/>
      <c r="O233" s="6"/>
      <c r="P233" s="11"/>
      <c r="Q233" s="15"/>
      <c r="R233" s="15"/>
      <c r="S233" s="15"/>
      <c r="T233" s="15"/>
      <c r="U233" s="15"/>
      <c r="V233" s="15"/>
      <c r="W233" s="15"/>
    </row>
    <row r="234" spans="1:23" x14ac:dyDescent="0.25">
      <c r="E234" s="233">
        <v>2</v>
      </c>
      <c r="F234" s="233"/>
      <c r="G234" s="233"/>
      <c r="H234" s="233"/>
      <c r="I234" s="233"/>
      <c r="J234" s="233"/>
      <c r="K234" s="233"/>
      <c r="L234" s="233"/>
      <c r="M234" s="233"/>
      <c r="N234" s="233"/>
      <c r="O234" s="226"/>
      <c r="P234" s="233"/>
      <c r="Q234" s="233"/>
      <c r="R234" s="233"/>
      <c r="S234" s="233"/>
      <c r="T234" s="233"/>
      <c r="U234" s="233"/>
      <c r="V234" s="233"/>
      <c r="W234" s="233"/>
    </row>
    <row r="235" spans="1:23" x14ac:dyDescent="0.25">
      <c r="E235" s="233">
        <v>3</v>
      </c>
      <c r="F235" s="11" t="s">
        <v>412</v>
      </c>
      <c r="G235" s="233"/>
      <c r="H235" s="233"/>
      <c r="I235" s="233"/>
      <c r="J235" s="233"/>
      <c r="K235" s="233"/>
      <c r="L235" s="233"/>
      <c r="M235" s="233"/>
      <c r="N235" s="233"/>
      <c r="O235" s="226"/>
      <c r="P235" s="233"/>
      <c r="Q235" s="233"/>
      <c r="R235" s="233"/>
      <c r="S235" s="233"/>
      <c r="T235" s="233"/>
      <c r="U235" s="233"/>
      <c r="V235" s="233"/>
      <c r="W235" s="233"/>
    </row>
    <row r="236" spans="1:23" x14ac:dyDescent="0.25">
      <c r="B236" t="s">
        <v>115</v>
      </c>
      <c r="C236" t="s">
        <v>587</v>
      </c>
      <c r="E236" s="233">
        <v>4</v>
      </c>
      <c r="F236" s="359" t="s">
        <v>773</v>
      </c>
      <c r="G236" s="233"/>
      <c r="H236" s="233"/>
      <c r="I236" s="233">
        <f>+INDEX('2025 Org Base Case BDs'!B:B,MATCH('2025 GSD Rate Class E-13c'!B236,'2025 Org Base Case BDs'!A:A,0))</f>
        <v>0</v>
      </c>
      <c r="J236" s="12" t="s">
        <v>730</v>
      </c>
      <c r="K236" s="27">
        <f>+INDEX('2024 Base Rates'!E:E,MATCH('2025 GSD Rate Class E-13c'!C236,'2024 Base Rates'!D:D,0))</f>
        <v>14.2</v>
      </c>
      <c r="L236" s="44"/>
      <c r="M236" s="12">
        <f>+I236*K236</f>
        <v>0</v>
      </c>
      <c r="N236" s="233"/>
      <c r="O236" s="226"/>
      <c r="P236" s="233">
        <f>+INDEX('2025 Billing Determinants'!B:B,MATCH('2025 GSD Rate Class E-13c'!B236,'2025 Billing Determinants'!A:A,0))</f>
        <v>0</v>
      </c>
      <c r="Q236" s="12" t="s">
        <v>730</v>
      </c>
      <c r="R236" s="19">
        <f>+INDEX('Unit Cost Rate Design Input'!D:D,MATCH('2025 GSD Rate Class E-13c'!C236,'Unit Cost Rate Design Input'!B:B,0))*(1+$C$7)-0.01</f>
        <v>19.61970957579716</v>
      </c>
      <c r="S236" s="233"/>
      <c r="T236" s="12">
        <f>+P236*R236</f>
        <v>0</v>
      </c>
      <c r="U236" s="233"/>
      <c r="V236" s="12">
        <f t="shared" ref="V236:V244" si="73">+T236-M236</f>
        <v>0</v>
      </c>
      <c r="W236" s="21">
        <f t="shared" ref="W236:W244" si="74">+IF(V236=0,0,(T236-M236)/M236)</f>
        <v>0</v>
      </c>
    </row>
    <row r="237" spans="1:23" x14ac:dyDescent="0.25">
      <c r="B237" t="s">
        <v>116</v>
      </c>
      <c r="C237" t="s">
        <v>586</v>
      </c>
      <c r="E237" s="233">
        <v>5</v>
      </c>
      <c r="F237" s="359" t="s">
        <v>746</v>
      </c>
      <c r="G237" s="233"/>
      <c r="H237" s="233"/>
      <c r="I237" s="233">
        <f>+INDEX('2025 Org Base Case BDs'!B:B,MATCH('2025 GSD Rate Class E-13c'!B237,'2025 Org Base Case BDs'!A:A,0))</f>
        <v>0</v>
      </c>
      <c r="J237" s="12" t="s">
        <v>730</v>
      </c>
      <c r="K237" s="27">
        <f>+INDEX('2024 Base Rates'!E:E,MATCH('2025 GSD Rate Class E-13c'!C237,'2024 Base Rates'!D:D,0))</f>
        <v>14.2</v>
      </c>
      <c r="L237" s="44"/>
      <c r="M237" s="12">
        <f t="shared" ref="M237:M244" si="75">+I237*K237</f>
        <v>0</v>
      </c>
      <c r="N237" s="233"/>
      <c r="O237" s="226"/>
      <c r="P237" s="233">
        <f>+INDEX('2025 Billing Determinants'!B:B,MATCH('2025 GSD Rate Class E-13c'!B237,'2025 Billing Determinants'!A:A,0))</f>
        <v>0</v>
      </c>
      <c r="Q237" s="12" t="s">
        <v>730</v>
      </c>
      <c r="R237" s="19">
        <f>+INDEX('Unit Cost Rate Design Input'!D:D,MATCH('2025 GSD Rate Class E-13c'!C237,'Unit Cost Rate Design Input'!B:B,0))*(1+$C$7)-0.01</f>
        <v>19.61970957579716</v>
      </c>
      <c r="S237" s="233"/>
      <c r="T237" s="12">
        <f t="shared" ref="T237:T244" si="76">+P237*R237</f>
        <v>0</v>
      </c>
      <c r="U237" s="233"/>
      <c r="V237" s="12">
        <f t="shared" si="73"/>
        <v>0</v>
      </c>
      <c r="W237" s="21">
        <f t="shared" si="74"/>
        <v>0</v>
      </c>
    </row>
    <row r="238" spans="1:23" x14ac:dyDescent="0.25">
      <c r="B238" t="s">
        <v>117</v>
      </c>
      <c r="C238" t="s">
        <v>588</v>
      </c>
      <c r="E238" s="233">
        <v>6</v>
      </c>
      <c r="F238" s="359" t="s">
        <v>769</v>
      </c>
      <c r="G238" s="233"/>
      <c r="H238" s="233"/>
      <c r="I238" s="233">
        <f>+INDEX('2025 Org Base Case BDs'!B:B,MATCH('2025 GSD Rate Class E-13c'!B238,'2025 Org Base Case BDs'!A:A,0))</f>
        <v>0</v>
      </c>
      <c r="J238" s="12" t="s">
        <v>730</v>
      </c>
      <c r="K238" s="27">
        <f>+INDEX('2024 Base Rates'!E:E,MATCH('2025 GSD Rate Class E-13c'!C238,'2024 Base Rates'!D:D,0))</f>
        <v>14.2</v>
      </c>
      <c r="L238" s="44"/>
      <c r="M238" s="12">
        <f t="shared" si="75"/>
        <v>0</v>
      </c>
      <c r="N238" s="233"/>
      <c r="O238" s="226"/>
      <c r="P238" s="233">
        <f>+INDEX('2025 Billing Determinants'!B:B,MATCH('2025 GSD Rate Class E-13c'!B238,'2025 Billing Determinants'!A:A,0))</f>
        <v>0</v>
      </c>
      <c r="Q238" s="12" t="s">
        <v>730</v>
      </c>
      <c r="R238" s="19">
        <f>+INDEX('Unit Cost Rate Design Input'!D:D,MATCH('2025 GSD Rate Class E-13c'!C238,'Unit Cost Rate Design Input'!B:B,0))*(1+$C$7)-0.01</f>
        <v>19.61970957579716</v>
      </c>
      <c r="S238" s="233"/>
      <c r="T238" s="12">
        <f t="shared" si="76"/>
        <v>0</v>
      </c>
      <c r="U238" s="233"/>
      <c r="V238" s="12">
        <f t="shared" si="73"/>
        <v>0</v>
      </c>
      <c r="W238" s="21">
        <f t="shared" si="74"/>
        <v>0</v>
      </c>
    </row>
    <row r="239" spans="1:23" x14ac:dyDescent="0.25">
      <c r="B239" t="s">
        <v>164</v>
      </c>
      <c r="C239" t="s">
        <v>589</v>
      </c>
      <c r="E239" s="233">
        <v>7</v>
      </c>
      <c r="F239" s="233" t="s">
        <v>782</v>
      </c>
      <c r="G239" s="15"/>
      <c r="H239" s="233"/>
      <c r="I239" s="233">
        <f>+INDEX('2025 Org Base Case BDs'!B:B,MATCH('2025 GSD Rate Class E-13c'!B239,'2025 Org Base Case BDs'!A:A,0))</f>
        <v>0</v>
      </c>
      <c r="J239" s="12" t="s">
        <v>730</v>
      </c>
      <c r="K239" s="27">
        <f>+INDEX('2024 Base Rates'!E:E,MATCH('2025 GSD Rate Class E-13c'!C239,'2024 Base Rates'!D:D,0))</f>
        <v>4.55</v>
      </c>
      <c r="L239" s="44"/>
      <c r="M239" s="12">
        <f t="shared" si="75"/>
        <v>0</v>
      </c>
      <c r="N239" s="12"/>
      <c r="O239" s="22"/>
      <c r="P239" s="233">
        <f>+INDEX('2025 Billing Determinants'!B:B,MATCH('2025 GSD Rate Class E-13c'!B239,'2025 Billing Determinants'!A:A,0))</f>
        <v>0</v>
      </c>
      <c r="Q239" s="12" t="s">
        <v>730</v>
      </c>
      <c r="R239" s="19">
        <f>+INDEX('Unit Cost Rate Design Input'!D:D,MATCH('2025 GSD Rate Class E-13c'!C239,'Unit Cost Rate Design Input'!B:B,0))*(1+$C$7)-0.01</f>
        <v>5.0398852462260963</v>
      </c>
      <c r="S239" s="12"/>
      <c r="T239" s="12">
        <f t="shared" si="76"/>
        <v>0</v>
      </c>
      <c r="U239" s="233"/>
      <c r="V239" s="12">
        <f t="shared" si="73"/>
        <v>0</v>
      </c>
      <c r="W239" s="21">
        <f t="shared" si="74"/>
        <v>0</v>
      </c>
    </row>
    <row r="240" spans="1:23" x14ac:dyDescent="0.25">
      <c r="B240" t="s">
        <v>165</v>
      </c>
      <c r="C240" t="s">
        <v>590</v>
      </c>
      <c r="E240" s="233">
        <v>8</v>
      </c>
      <c r="F240" s="233" t="s">
        <v>752</v>
      </c>
      <c r="G240" s="233"/>
      <c r="H240" s="233"/>
      <c r="I240" s="233">
        <f>+INDEX('2025 Org Base Case BDs'!B:B,MATCH('2025 GSD Rate Class E-13c'!B240,'2025 Org Base Case BDs'!A:A,0))</f>
        <v>0</v>
      </c>
      <c r="J240" s="12" t="s">
        <v>730</v>
      </c>
      <c r="K240" s="27">
        <f>+INDEX('2024 Base Rates'!E:E,MATCH('2025 GSD Rate Class E-13c'!C240,'2024 Base Rates'!D:D,0))</f>
        <v>4.55</v>
      </c>
      <c r="L240" s="44"/>
      <c r="M240" s="12">
        <f t="shared" si="75"/>
        <v>0</v>
      </c>
      <c r="N240" s="12"/>
      <c r="O240" s="22"/>
      <c r="P240" s="233">
        <f>+INDEX('2025 Billing Determinants'!B:B,MATCH('2025 GSD Rate Class E-13c'!B240,'2025 Billing Determinants'!A:A,0))</f>
        <v>0</v>
      </c>
      <c r="Q240" s="12" t="s">
        <v>730</v>
      </c>
      <c r="R240" s="19">
        <f>+INDEX('Unit Cost Rate Design Input'!D:D,MATCH('2025 GSD Rate Class E-13c'!C240,'Unit Cost Rate Design Input'!B:B,0))*(1+$C$7)-0.01</f>
        <v>5.0398852462260963</v>
      </c>
      <c r="S240" s="233"/>
      <c r="T240" s="12">
        <f t="shared" si="76"/>
        <v>0</v>
      </c>
      <c r="U240" s="12"/>
      <c r="V240" s="12">
        <f t="shared" si="73"/>
        <v>0</v>
      </c>
      <c r="W240" s="21">
        <f t="shared" si="74"/>
        <v>0</v>
      </c>
    </row>
    <row r="241" spans="2:23" x14ac:dyDescent="0.25">
      <c r="B241" t="s">
        <v>166</v>
      </c>
      <c r="C241" t="s">
        <v>591</v>
      </c>
      <c r="E241" s="233">
        <v>9</v>
      </c>
      <c r="F241" s="233" t="s">
        <v>783</v>
      </c>
      <c r="G241" s="233"/>
      <c r="H241" s="233"/>
      <c r="I241" s="233">
        <f>+INDEX('2025 Org Base Case BDs'!B:B,MATCH('2025 GSD Rate Class E-13c'!B241,'2025 Org Base Case BDs'!A:A,0))</f>
        <v>0</v>
      </c>
      <c r="J241" s="12" t="s">
        <v>730</v>
      </c>
      <c r="K241" s="27">
        <f>+INDEX('2024 Base Rates'!E:E,MATCH('2025 GSD Rate Class E-13c'!C241,'2024 Base Rates'!D:D,0))</f>
        <v>4.55</v>
      </c>
      <c r="L241" s="44"/>
      <c r="M241" s="12">
        <f t="shared" si="75"/>
        <v>0</v>
      </c>
      <c r="N241" s="12"/>
      <c r="O241" s="22"/>
      <c r="P241" s="233">
        <f>+INDEX('2025 Billing Determinants'!B:B,MATCH('2025 GSD Rate Class E-13c'!B241,'2025 Billing Determinants'!A:A,0))</f>
        <v>0</v>
      </c>
      <c r="Q241" s="12" t="s">
        <v>730</v>
      </c>
      <c r="R241" s="19">
        <f>+INDEX('Unit Cost Rate Design Input'!D:D,MATCH('2025 GSD Rate Class E-13c'!C241,'Unit Cost Rate Design Input'!B:B,0))*(1+$C$7)-0.01</f>
        <v>5.0398852462260963</v>
      </c>
      <c r="S241" s="233"/>
      <c r="T241" s="12">
        <f t="shared" si="76"/>
        <v>0</v>
      </c>
      <c r="U241" s="12"/>
      <c r="V241" s="12">
        <f t="shared" si="73"/>
        <v>0</v>
      </c>
      <c r="W241" s="21">
        <f t="shared" si="74"/>
        <v>0</v>
      </c>
    </row>
    <row r="242" spans="2:23" x14ac:dyDescent="0.25">
      <c r="B242" t="s">
        <v>168</v>
      </c>
      <c r="C242" t="s">
        <v>592</v>
      </c>
      <c r="E242" s="233">
        <v>10</v>
      </c>
      <c r="F242" s="233" t="s">
        <v>784</v>
      </c>
      <c r="G242" s="233"/>
      <c r="H242" s="233"/>
      <c r="I242" s="233">
        <f>+INDEX('2025 Org Base Case BDs'!B:B,MATCH('2025 GSD Rate Class E-13c'!B242,'2025 Org Base Case BDs'!A:A,0))</f>
        <v>0</v>
      </c>
      <c r="J242" s="12" t="s">
        <v>732</v>
      </c>
      <c r="K242" s="27">
        <f>+INDEX('2024 Base Rates'!E:E,MATCH('2025 GSD Rate Class E-13c'!C242,'2024 Base Rates'!D:D,0))</f>
        <v>9.2799999999999994</v>
      </c>
      <c r="L242" s="44"/>
      <c r="M242" s="12">
        <f t="shared" si="75"/>
        <v>0</v>
      </c>
      <c r="N242" s="233"/>
      <c r="O242" s="226"/>
      <c r="P242" s="233">
        <f>+INDEX('2025 Billing Determinants'!B:B,MATCH('2025 GSD Rate Class E-13c'!B242,'2025 Billing Determinants'!A:A,0))</f>
        <v>0</v>
      </c>
      <c r="Q242" s="12" t="s">
        <v>732</v>
      </c>
      <c r="R242" s="19">
        <f>+INDEX('Unit Cost Rate Design Input'!D:D,MATCH('2025 GSD Rate Class E-13c'!C242,'Unit Cost Rate Design Input'!B:B,0))*(1+$C$7)</f>
        <v>14.579824329571064</v>
      </c>
      <c r="S242" s="233"/>
      <c r="T242" s="12">
        <f t="shared" si="76"/>
        <v>0</v>
      </c>
      <c r="U242" s="12"/>
      <c r="V242" s="12">
        <f t="shared" si="73"/>
        <v>0</v>
      </c>
      <c r="W242" s="21">
        <f t="shared" si="74"/>
        <v>0</v>
      </c>
    </row>
    <row r="243" spans="2:23" x14ac:dyDescent="0.25">
      <c r="B243" t="s">
        <v>169</v>
      </c>
      <c r="C243" t="s">
        <v>593</v>
      </c>
      <c r="E243" s="233">
        <v>11</v>
      </c>
      <c r="F243" s="233" t="s">
        <v>753</v>
      </c>
      <c r="G243" s="233"/>
      <c r="H243" s="233"/>
      <c r="I243" s="233">
        <f>+INDEX('2025 Org Base Case BDs'!B:B,MATCH('2025 GSD Rate Class E-13c'!B243,'2025 Org Base Case BDs'!A:A,0))</f>
        <v>0</v>
      </c>
      <c r="J243" s="12" t="s">
        <v>732</v>
      </c>
      <c r="K243" s="27">
        <f>+INDEX('2024 Base Rates'!E:E,MATCH('2025 GSD Rate Class E-13c'!C243,'2024 Base Rates'!D:D,0))</f>
        <v>9.2799999999999994</v>
      </c>
      <c r="L243" s="44"/>
      <c r="M243" s="12">
        <f t="shared" si="75"/>
        <v>0</v>
      </c>
      <c r="N243" s="233"/>
      <c r="O243" s="226"/>
      <c r="P243" s="233">
        <f>+INDEX('2025 Billing Determinants'!B:B,MATCH('2025 GSD Rate Class E-13c'!B243,'2025 Billing Determinants'!A:A,0))</f>
        <v>0</v>
      </c>
      <c r="Q243" s="12" t="s">
        <v>732</v>
      </c>
      <c r="R243" s="19">
        <f>+INDEX('Unit Cost Rate Design Input'!D:D,MATCH('2025 GSD Rate Class E-13c'!C243,'Unit Cost Rate Design Input'!B:B,0))*(1+$C$7)</f>
        <v>14.579824329571064</v>
      </c>
      <c r="S243" s="233"/>
      <c r="T243" s="12">
        <f t="shared" si="76"/>
        <v>0</v>
      </c>
      <c r="U243" s="233"/>
      <c r="V243" s="12">
        <f t="shared" si="73"/>
        <v>0</v>
      </c>
      <c r="W243" s="21">
        <f t="shared" si="74"/>
        <v>0</v>
      </c>
    </row>
    <row r="244" spans="2:23" x14ac:dyDescent="0.25">
      <c r="B244" t="s">
        <v>170</v>
      </c>
      <c r="C244" t="s">
        <v>594</v>
      </c>
      <c r="E244" s="233">
        <v>12</v>
      </c>
      <c r="F244" s="233" t="s">
        <v>771</v>
      </c>
      <c r="G244" s="233"/>
      <c r="H244" s="233"/>
      <c r="I244" s="233">
        <f>+INDEX('2025 Org Base Case BDs'!B:B,MATCH('2025 GSD Rate Class E-13c'!B244,'2025 Org Base Case BDs'!A:A,0))</f>
        <v>0</v>
      </c>
      <c r="J244" s="12" t="s">
        <v>732</v>
      </c>
      <c r="K244" s="27">
        <f>+INDEX('2024 Base Rates'!E:E,MATCH('2025 GSD Rate Class E-13c'!C244,'2024 Base Rates'!D:D,0))</f>
        <v>9.2799999999999994</v>
      </c>
      <c r="L244" s="44"/>
      <c r="M244" s="12">
        <f t="shared" si="75"/>
        <v>0</v>
      </c>
      <c r="N244" s="233"/>
      <c r="O244" s="226"/>
      <c r="P244" s="233">
        <f>+INDEX('2025 Billing Determinants'!B:B,MATCH('2025 GSD Rate Class E-13c'!B244,'2025 Billing Determinants'!A:A,0))</f>
        <v>0</v>
      </c>
      <c r="Q244" s="12" t="s">
        <v>732</v>
      </c>
      <c r="R244" s="19">
        <f>+INDEX('Unit Cost Rate Design Input'!D:D,MATCH('2025 GSD Rate Class E-13c'!C244,'Unit Cost Rate Design Input'!B:B,0))*(1+$C$7)</f>
        <v>14.579824329571064</v>
      </c>
      <c r="S244" s="233"/>
      <c r="T244" s="12">
        <f t="shared" si="76"/>
        <v>0</v>
      </c>
      <c r="U244" s="233"/>
      <c r="V244" s="12">
        <f t="shared" si="73"/>
        <v>0</v>
      </c>
      <c r="W244" s="21">
        <f t="shared" si="74"/>
        <v>0</v>
      </c>
    </row>
    <row r="245" spans="2:23" x14ac:dyDescent="0.25">
      <c r="E245" s="233">
        <v>13</v>
      </c>
      <c r="F245" s="38" t="s">
        <v>419</v>
      </c>
      <c r="G245" s="233"/>
      <c r="H245" s="233"/>
      <c r="I245" s="233"/>
      <c r="J245" s="233"/>
      <c r="K245" s="233"/>
      <c r="L245" s="233"/>
      <c r="M245" s="13"/>
      <c r="N245" s="233"/>
      <c r="O245" s="226"/>
      <c r="P245" s="233"/>
      <c r="Q245" s="233"/>
      <c r="R245" s="233"/>
      <c r="S245" s="233"/>
      <c r="T245" s="13"/>
      <c r="U245" s="233"/>
      <c r="V245" s="233"/>
      <c r="W245" s="233"/>
    </row>
    <row r="246" spans="2:23" x14ac:dyDescent="0.25">
      <c r="B246" t="s">
        <v>126</v>
      </c>
      <c r="C246" t="s">
        <v>633</v>
      </c>
      <c r="E246" s="233">
        <v>14</v>
      </c>
      <c r="F246" s="359" t="s">
        <v>785</v>
      </c>
      <c r="G246" s="233"/>
      <c r="H246" s="233"/>
      <c r="I246" s="233">
        <f>+INDEX('2025 Org Base Case BDs'!B:B,MATCH('2025 GSD Rate Class E-13c'!B246,'2025 Org Base Case BDs'!A:A,0))</f>
        <v>0</v>
      </c>
      <c r="J246" s="233" t="s">
        <v>730</v>
      </c>
      <c r="K246" s="27">
        <f>+INDEX('2024 Base Rates'!E:E,MATCH('2025 GSD Rate Class E-13c'!C246,'2024 Base Rates'!D:D,0))</f>
        <v>1.75</v>
      </c>
      <c r="L246" s="233"/>
      <c r="M246" s="12">
        <f>+I246*K246</f>
        <v>0</v>
      </c>
      <c r="N246" s="233"/>
      <c r="O246" s="226"/>
      <c r="P246" s="233">
        <f>+INDEX('2025 Billing Determinants'!B:B,MATCH('2025 GSD Rate Class E-13c'!B246,'2025 Billing Determinants'!A:A,0))</f>
        <v>0</v>
      </c>
      <c r="Q246" s="233" t="s">
        <v>730</v>
      </c>
      <c r="R246" s="19">
        <f>+INDEX('Unit Cost Rate Design Input'!D:D,MATCH('2025 GSD Rate Class E-13c'!C246,'Unit Cost Rate Design Input'!B:B,0))*(1+$C$7)</f>
        <v>2.4659945463088522</v>
      </c>
      <c r="S246" s="233"/>
      <c r="T246" s="12">
        <f>+P246*R246</f>
        <v>0</v>
      </c>
      <c r="U246" s="233"/>
      <c r="V246" s="12">
        <f t="shared" ref="V246:V264" si="77">+T246-M246</f>
        <v>0</v>
      </c>
      <c r="W246" s="21">
        <f t="shared" ref="W246:W264" si="78">+IF(V246=0,0,(T246-M246)/M246)</f>
        <v>0</v>
      </c>
    </row>
    <row r="247" spans="2:23" x14ac:dyDescent="0.25">
      <c r="B247" t="s">
        <v>127</v>
      </c>
      <c r="C247" t="s">
        <v>634</v>
      </c>
      <c r="E247" s="233">
        <v>15</v>
      </c>
      <c r="F247" s="359" t="s">
        <v>786</v>
      </c>
      <c r="G247" s="233"/>
      <c r="H247" s="233"/>
      <c r="I247" s="233">
        <f>+INDEX('2025 Org Base Case BDs'!B:B,MATCH('2025 GSD Rate Class E-13c'!B247,'2025 Org Base Case BDs'!A:A,0))</f>
        <v>0</v>
      </c>
      <c r="J247" s="233" t="s">
        <v>730</v>
      </c>
      <c r="K247" s="27">
        <f>+INDEX('2024 Base Rates'!E:E,MATCH('2025 GSD Rate Class E-13c'!C247,'2024 Base Rates'!D:D,0))</f>
        <v>1.75</v>
      </c>
      <c r="L247" s="233"/>
      <c r="M247" s="12">
        <f t="shared" ref="M247:M263" si="79">+I247*K247</f>
        <v>0</v>
      </c>
      <c r="N247" s="233"/>
      <c r="O247" s="226"/>
      <c r="P247" s="233">
        <f>+INDEX('2025 Billing Determinants'!B:B,MATCH('2025 GSD Rate Class E-13c'!B247,'2025 Billing Determinants'!A:A,0))</f>
        <v>0</v>
      </c>
      <c r="Q247" s="233" t="s">
        <v>730</v>
      </c>
      <c r="R247" s="19">
        <f>+INDEX('Unit Cost Rate Design Input'!D:D,MATCH('2025 GSD Rate Class E-13c'!C247,'Unit Cost Rate Design Input'!B:B,0))*(1+$C$7)</f>
        <v>2.4659945463088522</v>
      </c>
      <c r="S247" s="233"/>
      <c r="T247" s="12">
        <f t="shared" ref="T247:T263" si="80">+P247*R247</f>
        <v>0</v>
      </c>
      <c r="U247" s="233"/>
      <c r="V247" s="12">
        <f t="shared" si="77"/>
        <v>0</v>
      </c>
      <c r="W247" s="21">
        <f t="shared" si="78"/>
        <v>0</v>
      </c>
    </row>
    <row r="248" spans="2:23" x14ac:dyDescent="0.25">
      <c r="B248" t="s">
        <v>128</v>
      </c>
      <c r="C248" t="s">
        <v>635</v>
      </c>
      <c r="E248" s="233">
        <v>16</v>
      </c>
      <c r="F248" s="359" t="s">
        <v>787</v>
      </c>
      <c r="G248" s="233"/>
      <c r="H248" s="233"/>
      <c r="I248" s="233">
        <f>+INDEX('2025 Org Base Case BDs'!B:B,MATCH('2025 GSD Rate Class E-13c'!B248,'2025 Org Base Case BDs'!A:A,0))</f>
        <v>0</v>
      </c>
      <c r="J248" s="233" t="s">
        <v>730</v>
      </c>
      <c r="K248" s="27">
        <f>+INDEX('2024 Base Rates'!E:E,MATCH('2025 GSD Rate Class E-13c'!C248,'2024 Base Rates'!D:D,0))</f>
        <v>1.75</v>
      </c>
      <c r="L248" s="233"/>
      <c r="M248" s="12">
        <f t="shared" si="79"/>
        <v>0</v>
      </c>
      <c r="N248" s="233"/>
      <c r="O248" s="226"/>
      <c r="P248" s="233">
        <f>+INDEX('2025 Billing Determinants'!B:B,MATCH('2025 GSD Rate Class E-13c'!B248,'2025 Billing Determinants'!A:A,0))</f>
        <v>0</v>
      </c>
      <c r="Q248" s="233" t="s">
        <v>730</v>
      </c>
      <c r="R248" s="19">
        <f>+INDEX('Unit Cost Rate Design Input'!D:D,MATCH('2025 GSD Rate Class E-13c'!C248,'Unit Cost Rate Design Input'!B:B,0))*(1+$C$7)</f>
        <v>2.4659945463088522</v>
      </c>
      <c r="S248" s="233"/>
      <c r="T248" s="12">
        <f t="shared" si="80"/>
        <v>0</v>
      </c>
      <c r="U248" s="233"/>
      <c r="V248" s="12">
        <f t="shared" si="77"/>
        <v>0</v>
      </c>
      <c r="W248" s="21">
        <f t="shared" si="78"/>
        <v>0</v>
      </c>
    </row>
    <row r="249" spans="2:23" x14ac:dyDescent="0.25">
      <c r="B249" t="s">
        <v>130</v>
      </c>
      <c r="C249" t="s">
        <v>636</v>
      </c>
      <c r="E249" s="233">
        <v>17</v>
      </c>
      <c r="F249" s="359" t="s">
        <v>788</v>
      </c>
      <c r="G249" s="15"/>
      <c r="H249" s="233"/>
      <c r="I249" s="233">
        <f>+INDEX('2025 Org Base Case BDs'!B:B,MATCH('2025 GSD Rate Class E-13c'!B249,'2025 Org Base Case BDs'!A:A,0))</f>
        <v>0</v>
      </c>
      <c r="J249" s="233" t="s">
        <v>756</v>
      </c>
      <c r="K249" s="27">
        <f>+INDEX('2024 Base Rates'!E:E,MATCH('2025 GSD Rate Class E-13c'!C249,'2024 Base Rates'!D:D,0))</f>
        <v>1.7</v>
      </c>
      <c r="L249" s="233" t="s">
        <v>762</v>
      </c>
      <c r="M249" s="12">
        <f t="shared" si="79"/>
        <v>0</v>
      </c>
      <c r="N249" s="233"/>
      <c r="O249" s="226"/>
      <c r="P249" s="233">
        <f>+INDEX('2025 Billing Determinants'!B:B,MATCH('2025 GSD Rate Class E-13c'!B249,'2025 Billing Determinants'!A:A,0))</f>
        <v>0</v>
      </c>
      <c r="Q249" s="233" t="s">
        <v>756</v>
      </c>
      <c r="R249" s="19">
        <f>+INDEX('Unit Cost Rate Design Input'!D:D,MATCH('2025 GSD Rate Class E-13c'!C249,'Unit Cost Rate Design Input'!B:B,0))*(1+$C$7)</f>
        <v>2.3579230721678273</v>
      </c>
      <c r="S249" s="233" t="s">
        <v>762</v>
      </c>
      <c r="T249" s="12">
        <f t="shared" si="80"/>
        <v>0</v>
      </c>
      <c r="U249" s="233"/>
      <c r="V249" s="12">
        <f t="shared" si="77"/>
        <v>0</v>
      </c>
      <c r="W249" s="21">
        <f t="shared" si="78"/>
        <v>0</v>
      </c>
    </row>
    <row r="250" spans="2:23" x14ac:dyDescent="0.25">
      <c r="B250" t="s">
        <v>131</v>
      </c>
      <c r="C250" t="s">
        <v>637</v>
      </c>
      <c r="E250" s="233">
        <v>18</v>
      </c>
      <c r="F250" s="359" t="s">
        <v>789</v>
      </c>
      <c r="G250" s="15"/>
      <c r="H250" s="233"/>
      <c r="I250" s="233">
        <f>+INDEX('2025 Org Base Case BDs'!B:B,MATCH('2025 GSD Rate Class E-13c'!B250,'2025 Org Base Case BDs'!A:A,0))</f>
        <v>0</v>
      </c>
      <c r="J250" s="233" t="s">
        <v>756</v>
      </c>
      <c r="K250" s="27">
        <f>+INDEX('2024 Base Rates'!E:E,MATCH('2025 GSD Rate Class E-13c'!C250,'2024 Base Rates'!D:D,0))</f>
        <v>1.7</v>
      </c>
      <c r="L250" s="233" t="s">
        <v>762</v>
      </c>
      <c r="M250" s="12">
        <f t="shared" si="79"/>
        <v>0</v>
      </c>
      <c r="N250" s="233"/>
      <c r="O250" s="226"/>
      <c r="P250" s="233">
        <f>+INDEX('2025 Billing Determinants'!B:B,MATCH('2025 GSD Rate Class E-13c'!B250,'2025 Billing Determinants'!A:A,0))</f>
        <v>0</v>
      </c>
      <c r="Q250" s="233" t="s">
        <v>756</v>
      </c>
      <c r="R250" s="19">
        <f>+INDEX('Unit Cost Rate Design Input'!D:D,MATCH('2025 GSD Rate Class E-13c'!C250,'Unit Cost Rate Design Input'!B:B,0))*(1+$C$7)</f>
        <v>2.3579230721678273</v>
      </c>
      <c r="S250" s="233" t="s">
        <v>762</v>
      </c>
      <c r="T250" s="12">
        <f t="shared" si="80"/>
        <v>0</v>
      </c>
      <c r="U250" s="233"/>
      <c r="V250" s="12">
        <f t="shared" si="77"/>
        <v>0</v>
      </c>
      <c r="W250" s="21">
        <f t="shared" si="78"/>
        <v>0</v>
      </c>
    </row>
    <row r="251" spans="2:23" x14ac:dyDescent="0.25">
      <c r="B251" t="s">
        <v>132</v>
      </c>
      <c r="C251" t="s">
        <v>638</v>
      </c>
      <c r="E251" s="233">
        <v>19</v>
      </c>
      <c r="F251" s="359" t="s">
        <v>790</v>
      </c>
      <c r="G251" s="233"/>
      <c r="H251" s="233"/>
      <c r="I251" s="233">
        <f>+INDEX('2025 Org Base Case BDs'!B:B,MATCH('2025 GSD Rate Class E-13c'!B251,'2025 Org Base Case BDs'!A:A,0))</f>
        <v>0</v>
      </c>
      <c r="J251" s="233" t="s">
        <v>756</v>
      </c>
      <c r="K251" s="27">
        <f>+INDEX('2024 Base Rates'!E:E,MATCH('2025 GSD Rate Class E-13c'!C251,'2024 Base Rates'!D:D,0))</f>
        <v>1.7</v>
      </c>
      <c r="L251" s="233" t="s">
        <v>762</v>
      </c>
      <c r="M251" s="12">
        <f t="shared" si="79"/>
        <v>0</v>
      </c>
      <c r="N251" s="233"/>
      <c r="O251" s="226"/>
      <c r="P251" s="233">
        <f>+INDEX('2025 Billing Determinants'!B:B,MATCH('2025 GSD Rate Class E-13c'!B251,'2025 Billing Determinants'!A:A,0))</f>
        <v>0</v>
      </c>
      <c r="Q251" s="233" t="s">
        <v>756</v>
      </c>
      <c r="R251" s="19">
        <f>+INDEX('Unit Cost Rate Design Input'!D:D,MATCH('2025 GSD Rate Class E-13c'!C251,'Unit Cost Rate Design Input'!B:B,0))*(1+$C$7)</f>
        <v>2.3579230721678273</v>
      </c>
      <c r="S251" s="233" t="s">
        <v>762</v>
      </c>
      <c r="T251" s="12">
        <f t="shared" si="80"/>
        <v>0</v>
      </c>
      <c r="U251" s="233"/>
      <c r="V251" s="12">
        <f t="shared" si="77"/>
        <v>0</v>
      </c>
      <c r="W251" s="21">
        <f t="shared" si="78"/>
        <v>0</v>
      </c>
    </row>
    <row r="252" spans="2:23" x14ac:dyDescent="0.25">
      <c r="B252" t="s">
        <v>134</v>
      </c>
      <c r="C252" t="s">
        <v>639</v>
      </c>
      <c r="E252" s="233">
        <v>20</v>
      </c>
      <c r="F252" s="359" t="s">
        <v>791</v>
      </c>
      <c r="G252" s="233"/>
      <c r="H252" s="233"/>
      <c r="I252" s="233">
        <f>+INDEX('2025 Org Base Case BDs'!B:B,MATCH('2025 GSD Rate Class E-13c'!B252,'2025 Org Base Case BDs'!A:A,0))</f>
        <v>0</v>
      </c>
      <c r="J252" s="233" t="s">
        <v>756</v>
      </c>
      <c r="K252" s="27">
        <f>+INDEX('2024 Base Rates'!E:E,MATCH('2025 GSD Rate Class E-13c'!C252,'2024 Base Rates'!D:D,0))</f>
        <v>0.68</v>
      </c>
      <c r="L252" s="233" t="s">
        <v>764</v>
      </c>
      <c r="M252" s="12">
        <f t="shared" si="79"/>
        <v>0</v>
      </c>
      <c r="N252" s="233"/>
      <c r="O252" s="226"/>
      <c r="P252" s="233">
        <f>+INDEX('2025 Billing Determinants'!B:B,MATCH('2025 GSD Rate Class E-13c'!B252,'2025 Billing Determinants'!A:A,0))</f>
        <v>0</v>
      </c>
      <c r="Q252" s="233" t="s">
        <v>756</v>
      </c>
      <c r="R252" s="19">
        <f>+INDEX('Unit Cost Rate Design Input'!D:D,MATCH('2025 GSD Rate Class E-13c'!C252,'Unit Cost Rate Design Input'!B:B,0))*(1+$C$7)</f>
        <v>0.93334454939976486</v>
      </c>
      <c r="S252" s="233" t="s">
        <v>764</v>
      </c>
      <c r="T252" s="12">
        <f t="shared" si="80"/>
        <v>0</v>
      </c>
      <c r="U252" s="233"/>
      <c r="V252" s="12">
        <f t="shared" si="77"/>
        <v>0</v>
      </c>
      <c r="W252" s="21">
        <f t="shared" si="78"/>
        <v>0</v>
      </c>
    </row>
    <row r="253" spans="2:23" x14ac:dyDescent="0.25">
      <c r="B253" t="s">
        <v>135</v>
      </c>
      <c r="C253" t="s">
        <v>640</v>
      </c>
      <c r="E253" s="233">
        <v>21</v>
      </c>
      <c r="F253" s="359" t="s">
        <v>792</v>
      </c>
      <c r="G253" s="233"/>
      <c r="H253" s="233"/>
      <c r="I253" s="233">
        <f>+INDEX('2025 Org Base Case BDs'!B:B,MATCH('2025 GSD Rate Class E-13c'!B253,'2025 Org Base Case BDs'!A:A,0))</f>
        <v>0</v>
      </c>
      <c r="J253" s="233" t="s">
        <v>756</v>
      </c>
      <c r="K253" s="27">
        <f>+INDEX('2024 Base Rates'!E:E,MATCH('2025 GSD Rate Class E-13c'!C253,'2024 Base Rates'!D:D,0))</f>
        <v>0.68</v>
      </c>
      <c r="L253" s="233" t="s">
        <v>764</v>
      </c>
      <c r="M253" s="12">
        <f t="shared" si="79"/>
        <v>0</v>
      </c>
      <c r="N253" s="233"/>
      <c r="O253" s="226"/>
      <c r="P253" s="233">
        <f>+INDEX('2025 Billing Determinants'!B:B,MATCH('2025 GSD Rate Class E-13c'!B253,'2025 Billing Determinants'!A:A,0))</f>
        <v>0</v>
      </c>
      <c r="Q253" s="233" t="s">
        <v>756</v>
      </c>
      <c r="R253" s="19">
        <f>+INDEX('Unit Cost Rate Design Input'!D:D,MATCH('2025 GSD Rate Class E-13c'!C253,'Unit Cost Rate Design Input'!B:B,0))*(1+$C$7)</f>
        <v>0.93334454939976486</v>
      </c>
      <c r="S253" s="233" t="s">
        <v>764</v>
      </c>
      <c r="T253" s="12">
        <f t="shared" si="80"/>
        <v>0</v>
      </c>
      <c r="U253" s="233"/>
      <c r="V253" s="12">
        <f t="shared" si="77"/>
        <v>0</v>
      </c>
      <c r="W253" s="21">
        <f t="shared" si="78"/>
        <v>0</v>
      </c>
    </row>
    <row r="254" spans="2:23" x14ac:dyDescent="0.25">
      <c r="B254" t="s">
        <v>136</v>
      </c>
      <c r="C254" t="s">
        <v>641</v>
      </c>
      <c r="E254" s="233">
        <v>22</v>
      </c>
      <c r="F254" s="359" t="s">
        <v>793</v>
      </c>
      <c r="G254" s="15"/>
      <c r="H254" s="233"/>
      <c r="I254" s="233">
        <f>+INDEX('2025 Org Base Case BDs'!B:B,MATCH('2025 GSD Rate Class E-13c'!B254,'2025 Org Base Case BDs'!A:A,0))</f>
        <v>0</v>
      </c>
      <c r="J254" s="233" t="s">
        <v>756</v>
      </c>
      <c r="K254" s="27">
        <f>+INDEX('2024 Base Rates'!E:E,MATCH('2025 GSD Rate Class E-13c'!C254,'2024 Base Rates'!D:D,0))</f>
        <v>0.68</v>
      </c>
      <c r="L254" s="233" t="s">
        <v>764</v>
      </c>
      <c r="M254" s="12">
        <f t="shared" si="79"/>
        <v>0</v>
      </c>
      <c r="N254" s="233"/>
      <c r="O254" s="226"/>
      <c r="P254" s="233">
        <f>+INDEX('2025 Billing Determinants'!B:B,MATCH('2025 GSD Rate Class E-13c'!B254,'2025 Billing Determinants'!A:A,0))</f>
        <v>0</v>
      </c>
      <c r="Q254" s="233" t="s">
        <v>756</v>
      </c>
      <c r="R254" s="19">
        <f>+INDEX('Unit Cost Rate Design Input'!D:D,MATCH('2025 GSD Rate Class E-13c'!C254,'Unit Cost Rate Design Input'!B:B,0))*(1+$C$7)</f>
        <v>0.93334454939976486</v>
      </c>
      <c r="S254" s="233" t="s">
        <v>764</v>
      </c>
      <c r="T254" s="12">
        <f t="shared" si="80"/>
        <v>0</v>
      </c>
      <c r="U254" s="233"/>
      <c r="V254" s="12">
        <f t="shared" si="77"/>
        <v>0</v>
      </c>
      <c r="W254" s="21">
        <f t="shared" si="78"/>
        <v>0</v>
      </c>
    </row>
    <row r="255" spans="2:23" x14ac:dyDescent="0.25">
      <c r="B255" t="s">
        <v>187</v>
      </c>
      <c r="C255" t="s">
        <v>650</v>
      </c>
      <c r="E255" s="233">
        <v>23</v>
      </c>
      <c r="F255" s="359" t="s">
        <v>794</v>
      </c>
      <c r="G255" s="233"/>
      <c r="H255" s="233"/>
      <c r="I255" s="233">
        <f>+INDEX('2025 Org Base Case BDs'!B:B,MATCH('2025 GSD Rate Class E-13c'!B255,'2025 Org Base Case BDs'!A:A,0))</f>
        <v>0</v>
      </c>
      <c r="J255" s="12" t="s">
        <v>730</v>
      </c>
      <c r="K255" s="27">
        <f>+INDEX('2024 Base Rates'!E:E,MATCH('2025 GSD Rate Class E-13c'!C255,'2024 Base Rates'!D:D,0))</f>
        <v>1.75</v>
      </c>
      <c r="L255" s="44"/>
      <c r="M255" s="12">
        <f t="shared" si="79"/>
        <v>0</v>
      </c>
      <c r="N255" s="233"/>
      <c r="O255" s="226"/>
      <c r="P255" s="233">
        <f>+INDEX('2025 Billing Determinants'!B:B,MATCH('2025 GSD Rate Class E-13c'!B255,'2025 Billing Determinants'!A:A,0))</f>
        <v>0</v>
      </c>
      <c r="Q255" s="12" t="s">
        <v>730</v>
      </c>
      <c r="R255" s="19">
        <f>+INDEX('Unit Cost Rate Design Input'!D:D,MATCH('2025 GSD Rate Class E-13c'!C255,'Unit Cost Rate Design Input'!B:B,0))*(1+$C$7)</f>
        <v>2.4659945463088522</v>
      </c>
      <c r="S255" s="44"/>
      <c r="T255" s="12">
        <f t="shared" si="80"/>
        <v>0</v>
      </c>
      <c r="U255" s="233"/>
      <c r="V255" s="12">
        <f t="shared" si="77"/>
        <v>0</v>
      </c>
      <c r="W255" s="21">
        <f t="shared" si="78"/>
        <v>0</v>
      </c>
    </row>
    <row r="256" spans="2:23" x14ac:dyDescent="0.25">
      <c r="B256" t="s">
        <v>188</v>
      </c>
      <c r="C256" t="s">
        <v>642</v>
      </c>
      <c r="E256" s="233">
        <v>24</v>
      </c>
      <c r="F256" s="359" t="s">
        <v>760</v>
      </c>
      <c r="G256" s="233"/>
      <c r="H256" s="233"/>
      <c r="I256" s="233">
        <f>+INDEX('2025 Org Base Case BDs'!B:B,MATCH('2025 GSD Rate Class E-13c'!B256,'2025 Org Base Case BDs'!A:A,0))</f>
        <v>0</v>
      </c>
      <c r="J256" s="12" t="s">
        <v>730</v>
      </c>
      <c r="K256" s="27">
        <f>+INDEX('2024 Base Rates'!E:E,MATCH('2025 GSD Rate Class E-13c'!C256,'2024 Base Rates'!D:D,0))</f>
        <v>1.75</v>
      </c>
      <c r="L256" s="44"/>
      <c r="M256" s="12">
        <f t="shared" si="79"/>
        <v>0</v>
      </c>
      <c r="N256" s="233"/>
      <c r="O256" s="226"/>
      <c r="P256" s="233">
        <f>+INDEX('2025 Billing Determinants'!B:B,MATCH('2025 GSD Rate Class E-13c'!B256,'2025 Billing Determinants'!A:A,0))</f>
        <v>0</v>
      </c>
      <c r="Q256" s="12" t="s">
        <v>730</v>
      </c>
      <c r="R256" s="19">
        <f>+INDEX('Unit Cost Rate Design Input'!D:D,MATCH('2025 GSD Rate Class E-13c'!C256,'Unit Cost Rate Design Input'!B:B,0))*(1+$C$7)</f>
        <v>2.4659945463088522</v>
      </c>
      <c r="S256" s="44"/>
      <c r="T256" s="12">
        <f t="shared" si="80"/>
        <v>0</v>
      </c>
      <c r="U256" s="12"/>
      <c r="V256" s="12">
        <f t="shared" si="77"/>
        <v>0</v>
      </c>
      <c r="W256" s="21">
        <f t="shared" si="78"/>
        <v>0</v>
      </c>
    </row>
    <row r="257" spans="2:23" x14ac:dyDescent="0.25">
      <c r="B257" t="s">
        <v>189</v>
      </c>
      <c r="C257" t="s">
        <v>643</v>
      </c>
      <c r="E257" s="233">
        <v>25</v>
      </c>
      <c r="F257" s="359" t="s">
        <v>795</v>
      </c>
      <c r="G257" s="233"/>
      <c r="H257" s="233"/>
      <c r="I257" s="233">
        <f>+INDEX('2025 Org Base Case BDs'!B:B,MATCH('2025 GSD Rate Class E-13c'!B257,'2025 Org Base Case BDs'!A:A,0))</f>
        <v>0</v>
      </c>
      <c r="J257" s="12" t="s">
        <v>730</v>
      </c>
      <c r="K257" s="27">
        <f>+INDEX('2024 Base Rates'!E:E,MATCH('2025 GSD Rate Class E-13c'!C257,'2024 Base Rates'!D:D,0))</f>
        <v>1.75</v>
      </c>
      <c r="L257" s="44"/>
      <c r="M257" s="12">
        <f t="shared" si="79"/>
        <v>0</v>
      </c>
      <c r="N257" s="233"/>
      <c r="O257" s="226"/>
      <c r="P257" s="233">
        <f>+INDEX('2025 Billing Determinants'!B:B,MATCH('2025 GSD Rate Class E-13c'!B257,'2025 Billing Determinants'!A:A,0))</f>
        <v>0</v>
      </c>
      <c r="Q257" s="12" t="s">
        <v>730</v>
      </c>
      <c r="R257" s="19">
        <f>+INDEX('Unit Cost Rate Design Input'!D:D,MATCH('2025 GSD Rate Class E-13c'!C257,'Unit Cost Rate Design Input'!B:B,0))*(1+$C$7)</f>
        <v>2.4659945463088522</v>
      </c>
      <c r="S257" s="44"/>
      <c r="T257" s="12">
        <f t="shared" si="80"/>
        <v>0</v>
      </c>
      <c r="U257" s="12"/>
      <c r="V257" s="12">
        <f t="shared" si="77"/>
        <v>0</v>
      </c>
      <c r="W257" s="21">
        <f t="shared" si="78"/>
        <v>0</v>
      </c>
    </row>
    <row r="258" spans="2:23" x14ac:dyDescent="0.25">
      <c r="B258" t="s">
        <v>191</v>
      </c>
      <c r="C258" t="s">
        <v>644</v>
      </c>
      <c r="E258" s="233">
        <v>26</v>
      </c>
      <c r="F258" s="359" t="s">
        <v>796</v>
      </c>
      <c r="G258" s="15"/>
      <c r="H258" s="233"/>
      <c r="I258" s="233">
        <f>+INDEX('2025 Org Base Case BDs'!B:B,MATCH('2025 GSD Rate Class E-13c'!B258,'2025 Org Base Case BDs'!A:A,0))</f>
        <v>0</v>
      </c>
      <c r="J258" s="12" t="s">
        <v>756</v>
      </c>
      <c r="K258" s="27">
        <f>+INDEX('2024 Base Rates'!E:E,MATCH('2025 GSD Rate Class E-13c'!C258,'2024 Base Rates'!D:D,0))</f>
        <v>1.7</v>
      </c>
      <c r="L258" s="44" t="s">
        <v>757</v>
      </c>
      <c r="M258" s="12">
        <f t="shared" si="79"/>
        <v>0</v>
      </c>
      <c r="N258" s="12"/>
      <c r="O258" s="22"/>
      <c r="P258" s="233">
        <f>+INDEX('2025 Billing Determinants'!B:B,MATCH('2025 GSD Rate Class E-13c'!B258,'2025 Billing Determinants'!A:A,0))</f>
        <v>0</v>
      </c>
      <c r="Q258" s="12" t="s">
        <v>756</v>
      </c>
      <c r="R258" s="19">
        <f>+INDEX('Unit Cost Rate Design Input'!D:D,MATCH('2025 GSD Rate Class E-13c'!C258,'Unit Cost Rate Design Input'!B:B,0))*(1+$C$7)</f>
        <v>2.3579230721678273</v>
      </c>
      <c r="S258" s="44" t="s">
        <v>762</v>
      </c>
      <c r="T258" s="12">
        <f t="shared" si="80"/>
        <v>0</v>
      </c>
      <c r="U258" s="12"/>
      <c r="V258" s="12">
        <f t="shared" si="77"/>
        <v>0</v>
      </c>
      <c r="W258" s="21">
        <f t="shared" si="78"/>
        <v>0</v>
      </c>
    </row>
    <row r="259" spans="2:23" x14ac:dyDescent="0.25">
      <c r="B259" t="s">
        <v>192</v>
      </c>
      <c r="C259" t="s">
        <v>645</v>
      </c>
      <c r="E259" s="233">
        <v>27</v>
      </c>
      <c r="F259" s="359" t="s">
        <v>761</v>
      </c>
      <c r="G259" s="15"/>
      <c r="H259" s="233"/>
      <c r="I259" s="233">
        <f>+INDEX('2025 Org Base Case BDs'!B:B,MATCH('2025 GSD Rate Class E-13c'!B259,'2025 Org Base Case BDs'!A:A,0))</f>
        <v>0</v>
      </c>
      <c r="J259" s="12" t="s">
        <v>756</v>
      </c>
      <c r="K259" s="27">
        <f>+INDEX('2024 Base Rates'!E:E,MATCH('2025 GSD Rate Class E-13c'!C259,'2024 Base Rates'!D:D,0))</f>
        <v>1.7</v>
      </c>
      <c r="L259" s="44" t="s">
        <v>757</v>
      </c>
      <c r="M259" s="12">
        <f t="shared" si="79"/>
        <v>0</v>
      </c>
      <c r="N259" s="12"/>
      <c r="O259" s="22"/>
      <c r="P259" s="233">
        <f>+INDEX('2025 Billing Determinants'!B:B,MATCH('2025 GSD Rate Class E-13c'!B259,'2025 Billing Determinants'!A:A,0))</f>
        <v>0</v>
      </c>
      <c r="Q259" s="12" t="s">
        <v>756</v>
      </c>
      <c r="R259" s="19">
        <f>+INDEX('Unit Cost Rate Design Input'!D:D,MATCH('2025 GSD Rate Class E-13c'!C259,'Unit Cost Rate Design Input'!B:B,0))*(1+$C$7)</f>
        <v>2.3579230721678273</v>
      </c>
      <c r="S259" s="44" t="s">
        <v>762</v>
      </c>
      <c r="T259" s="12">
        <f t="shared" si="80"/>
        <v>0</v>
      </c>
      <c r="U259" s="12"/>
      <c r="V259" s="12">
        <f t="shared" si="77"/>
        <v>0</v>
      </c>
      <c r="W259" s="21">
        <f t="shared" si="78"/>
        <v>0</v>
      </c>
    </row>
    <row r="260" spans="2:23" x14ac:dyDescent="0.25">
      <c r="B260" t="s">
        <v>193</v>
      </c>
      <c r="C260" t="s">
        <v>646</v>
      </c>
      <c r="E260" s="233">
        <v>28</v>
      </c>
      <c r="F260" s="359" t="s">
        <v>797</v>
      </c>
      <c r="G260" s="233"/>
      <c r="H260" s="233"/>
      <c r="I260" s="233">
        <f>+INDEX('2025 Org Base Case BDs'!B:B,MATCH('2025 GSD Rate Class E-13c'!B260,'2025 Org Base Case BDs'!A:A,0))</f>
        <v>0</v>
      </c>
      <c r="J260" s="12" t="s">
        <v>756</v>
      </c>
      <c r="K260" s="27">
        <f>+INDEX('2024 Base Rates'!E:E,MATCH('2025 GSD Rate Class E-13c'!C260,'2024 Base Rates'!D:D,0))</f>
        <v>1.7</v>
      </c>
      <c r="L260" s="44" t="s">
        <v>757</v>
      </c>
      <c r="M260" s="12">
        <f t="shared" si="79"/>
        <v>0</v>
      </c>
      <c r="N260" s="233"/>
      <c r="O260" s="226"/>
      <c r="P260" s="233">
        <f>+INDEX('2025 Billing Determinants'!B:B,MATCH('2025 GSD Rate Class E-13c'!B260,'2025 Billing Determinants'!A:A,0))</f>
        <v>0</v>
      </c>
      <c r="Q260" s="12" t="s">
        <v>756</v>
      </c>
      <c r="R260" s="19">
        <f>+INDEX('Unit Cost Rate Design Input'!D:D,MATCH('2025 GSD Rate Class E-13c'!C260,'Unit Cost Rate Design Input'!B:B,0))*(1+$C$7)</f>
        <v>2.3579230721678273</v>
      </c>
      <c r="S260" s="44" t="s">
        <v>762</v>
      </c>
      <c r="T260" s="12">
        <f t="shared" si="80"/>
        <v>0</v>
      </c>
      <c r="U260" s="233"/>
      <c r="V260" s="12">
        <f t="shared" si="77"/>
        <v>0</v>
      </c>
      <c r="W260" s="21">
        <f t="shared" si="78"/>
        <v>0</v>
      </c>
    </row>
    <row r="261" spans="2:23" x14ac:dyDescent="0.25">
      <c r="B261" t="s">
        <v>195</v>
      </c>
      <c r="C261" t="s">
        <v>647</v>
      </c>
      <c r="E261" s="233">
        <v>29</v>
      </c>
      <c r="F261" s="359" t="s">
        <v>798</v>
      </c>
      <c r="G261" s="233"/>
      <c r="H261" s="233"/>
      <c r="I261" s="233">
        <f>+INDEX('2025 Org Base Case BDs'!B:B,MATCH('2025 GSD Rate Class E-13c'!B261,'2025 Org Base Case BDs'!A:A,0))</f>
        <v>0</v>
      </c>
      <c r="J261" s="12" t="s">
        <v>756</v>
      </c>
      <c r="K261" s="27">
        <f>+INDEX('2024 Base Rates'!E:E,MATCH('2025 GSD Rate Class E-13c'!C261,'2024 Base Rates'!D:D,0))</f>
        <v>0.68</v>
      </c>
      <c r="L261" s="44" t="s">
        <v>759</v>
      </c>
      <c r="M261" s="12">
        <f t="shared" si="79"/>
        <v>0</v>
      </c>
      <c r="N261" s="233"/>
      <c r="O261" s="226"/>
      <c r="P261" s="233">
        <f>+INDEX('2025 Billing Determinants'!B:B,MATCH('2025 GSD Rate Class E-13c'!B261,'2025 Billing Determinants'!A:A,0))</f>
        <v>0</v>
      </c>
      <c r="Q261" s="12" t="s">
        <v>756</v>
      </c>
      <c r="R261" s="19">
        <f>+INDEX('Unit Cost Rate Design Input'!D:D,MATCH('2025 GSD Rate Class E-13c'!C261,'Unit Cost Rate Design Input'!B:B,0))*(1+$C$7)</f>
        <v>0.93334454939976486</v>
      </c>
      <c r="S261" s="44" t="s">
        <v>764</v>
      </c>
      <c r="T261" s="12">
        <f t="shared" si="80"/>
        <v>0</v>
      </c>
      <c r="U261" s="233"/>
      <c r="V261" s="12">
        <f t="shared" si="77"/>
        <v>0</v>
      </c>
      <c r="W261" s="21">
        <f t="shared" si="78"/>
        <v>0</v>
      </c>
    </row>
    <row r="262" spans="2:23" x14ac:dyDescent="0.25">
      <c r="B262" t="s">
        <v>196</v>
      </c>
      <c r="C262" t="s">
        <v>648</v>
      </c>
      <c r="E262" s="233">
        <v>30</v>
      </c>
      <c r="F262" s="359" t="s">
        <v>763</v>
      </c>
      <c r="G262" s="233"/>
      <c r="H262" s="233"/>
      <c r="I262" s="233">
        <f>+INDEX('2025 Org Base Case BDs'!B:B,MATCH('2025 GSD Rate Class E-13c'!B262,'2025 Org Base Case BDs'!A:A,0))</f>
        <v>0</v>
      </c>
      <c r="J262" s="12" t="s">
        <v>756</v>
      </c>
      <c r="K262" s="27">
        <f>+INDEX('2024 Base Rates'!E:E,MATCH('2025 GSD Rate Class E-13c'!C262,'2024 Base Rates'!D:D,0))</f>
        <v>0.68</v>
      </c>
      <c r="L262" s="44" t="s">
        <v>759</v>
      </c>
      <c r="M262" s="12">
        <f t="shared" si="79"/>
        <v>0</v>
      </c>
      <c r="N262" s="233"/>
      <c r="O262" s="226"/>
      <c r="P262" s="233">
        <f>+INDEX('2025 Billing Determinants'!B:B,MATCH('2025 GSD Rate Class E-13c'!B262,'2025 Billing Determinants'!A:A,0))</f>
        <v>0</v>
      </c>
      <c r="Q262" s="12" t="s">
        <v>756</v>
      </c>
      <c r="R262" s="19">
        <f>+INDEX('Unit Cost Rate Design Input'!D:D,MATCH('2025 GSD Rate Class E-13c'!C262,'Unit Cost Rate Design Input'!B:B,0))*(1+$C$7)</f>
        <v>0.93334454939976486</v>
      </c>
      <c r="S262" s="44" t="s">
        <v>764</v>
      </c>
      <c r="T262" s="12">
        <f t="shared" si="80"/>
        <v>0</v>
      </c>
      <c r="U262" s="233"/>
      <c r="V262" s="12">
        <f t="shared" si="77"/>
        <v>0</v>
      </c>
      <c r="W262" s="21">
        <f t="shared" si="78"/>
        <v>0</v>
      </c>
    </row>
    <row r="263" spans="2:23" x14ac:dyDescent="0.25">
      <c r="B263" t="s">
        <v>197</v>
      </c>
      <c r="C263" t="s">
        <v>649</v>
      </c>
      <c r="E263" s="233">
        <v>31</v>
      </c>
      <c r="F263" s="359" t="s">
        <v>799</v>
      </c>
      <c r="G263" s="15"/>
      <c r="H263" s="233"/>
      <c r="I263" s="376">
        <f>+INDEX('2025 Org Base Case BDs'!B:B,MATCH('2025 GSD Rate Class E-13c'!B263,'2025 Org Base Case BDs'!A:A,0))</f>
        <v>0</v>
      </c>
      <c r="J263" s="12" t="s">
        <v>756</v>
      </c>
      <c r="K263" s="27">
        <f>+INDEX('2024 Base Rates'!E:E,MATCH('2025 GSD Rate Class E-13c'!C263,'2024 Base Rates'!D:D,0))</f>
        <v>0.68</v>
      </c>
      <c r="L263" s="44" t="s">
        <v>759</v>
      </c>
      <c r="M263" s="12">
        <f t="shared" si="79"/>
        <v>0</v>
      </c>
      <c r="N263" s="12"/>
      <c r="O263" s="22"/>
      <c r="P263" s="376">
        <f>+INDEX('2025 Billing Determinants'!B:B,MATCH('2025 GSD Rate Class E-13c'!B263,'2025 Billing Determinants'!A:A,0))</f>
        <v>0</v>
      </c>
      <c r="Q263" s="12" t="s">
        <v>756</v>
      </c>
      <c r="R263" s="19">
        <f>+INDEX('Unit Cost Rate Design Input'!D:D,MATCH('2025 GSD Rate Class E-13c'!C263,'Unit Cost Rate Design Input'!B:B,0))*(1+$C$7)</f>
        <v>0.93334454939976486</v>
      </c>
      <c r="S263" s="44" t="s">
        <v>764</v>
      </c>
      <c r="T263" s="12">
        <f t="shared" si="80"/>
        <v>0</v>
      </c>
      <c r="U263" s="233"/>
      <c r="V263" s="12">
        <f t="shared" si="77"/>
        <v>0</v>
      </c>
      <c r="W263" s="21">
        <f t="shared" si="78"/>
        <v>0</v>
      </c>
    </row>
    <row r="264" spans="2:23" x14ac:dyDescent="0.25">
      <c r="E264" s="233">
        <v>32</v>
      </c>
      <c r="F264" s="11" t="s">
        <v>748</v>
      </c>
      <c r="G264" s="15"/>
      <c r="H264" s="233"/>
      <c r="I264" s="233">
        <f>+SUM(I236:I241,I246:I248,I255:I257)</f>
        <v>0</v>
      </c>
      <c r="J264" s="12" t="s">
        <v>730</v>
      </c>
      <c r="K264" s="19"/>
      <c r="L264" s="12"/>
      <c r="M264" s="54">
        <f>+SUM(M236:M244,M246:M263)</f>
        <v>0</v>
      </c>
      <c r="N264" s="12"/>
      <c r="O264" s="22"/>
      <c r="P264" s="233">
        <f>+SUM(P236:P241,P246:P248,P255:P257)</f>
        <v>0</v>
      </c>
      <c r="Q264" s="12" t="s">
        <v>730</v>
      </c>
      <c r="R264" s="19"/>
      <c r="S264" s="12"/>
      <c r="T264" s="54">
        <f>+SUM(T236:T244,T246:T263)</f>
        <v>0</v>
      </c>
      <c r="U264" s="233"/>
      <c r="V264" s="12">
        <f t="shared" si="77"/>
        <v>0</v>
      </c>
      <c r="W264" s="21">
        <f t="shared" si="78"/>
        <v>0</v>
      </c>
    </row>
    <row r="265" spans="2:23" x14ac:dyDescent="0.25">
      <c r="E265" s="233">
        <v>33</v>
      </c>
      <c r="F265" s="233"/>
      <c r="G265" s="233"/>
      <c r="H265" s="233"/>
      <c r="I265" s="233"/>
      <c r="J265" s="233"/>
      <c r="K265" s="233"/>
      <c r="L265" s="233"/>
      <c r="M265" s="13"/>
      <c r="N265" s="233"/>
      <c r="O265" s="226"/>
      <c r="P265" s="233"/>
      <c r="Q265" s="233"/>
      <c r="R265" s="233"/>
      <c r="S265" s="233"/>
      <c r="T265" s="13"/>
      <c r="U265" s="233"/>
      <c r="V265" s="233"/>
      <c r="W265" s="233"/>
    </row>
    <row r="266" spans="2:23" x14ac:dyDescent="0.25">
      <c r="E266" s="233">
        <v>34</v>
      </c>
      <c r="F266" s="233"/>
      <c r="G266" s="233"/>
      <c r="H266" s="233"/>
      <c r="I266" s="233"/>
      <c r="J266" s="233"/>
      <c r="K266" s="233"/>
      <c r="L266" s="233"/>
      <c r="M266" s="13"/>
      <c r="N266" s="233"/>
      <c r="O266" s="226"/>
      <c r="P266" s="233"/>
      <c r="Q266" s="233"/>
      <c r="R266" s="233"/>
      <c r="S266" s="233"/>
      <c r="T266" s="13"/>
      <c r="U266" s="233"/>
      <c r="V266" s="233"/>
      <c r="W266" s="233"/>
    </row>
    <row r="267" spans="2:23" x14ac:dyDescent="0.25">
      <c r="E267" s="233">
        <v>35</v>
      </c>
      <c r="F267" s="593" t="s">
        <v>772</v>
      </c>
      <c r="G267" s="593"/>
      <c r="H267" s="593"/>
      <c r="I267" s="593"/>
      <c r="J267" s="593"/>
      <c r="K267" s="593"/>
      <c r="L267" s="593"/>
      <c r="M267" s="593"/>
      <c r="N267" s="593"/>
      <c r="O267" s="593"/>
      <c r="P267" s="233"/>
      <c r="Q267" s="233"/>
      <c r="R267" s="233"/>
      <c r="S267" s="233"/>
      <c r="T267" s="233"/>
      <c r="U267" s="233"/>
      <c r="V267" s="233"/>
      <c r="W267" s="233"/>
    </row>
    <row r="268" spans="2:23" x14ac:dyDescent="0.25">
      <c r="E268" s="233">
        <v>36</v>
      </c>
      <c r="F268" s="329"/>
      <c r="G268" s="329"/>
      <c r="H268" s="329"/>
      <c r="I268" s="329"/>
      <c r="J268" s="329"/>
      <c r="K268" s="329"/>
      <c r="L268" s="329"/>
      <c r="M268" s="329"/>
      <c r="N268" s="329"/>
      <c r="O268" s="329"/>
      <c r="P268" s="233"/>
      <c r="Q268" s="233"/>
      <c r="R268" s="233"/>
      <c r="S268" s="233"/>
      <c r="T268" s="233"/>
      <c r="U268" s="233"/>
      <c r="V268" s="233"/>
      <c r="W268" s="233"/>
    </row>
    <row r="269" spans="2:23" x14ac:dyDescent="0.25">
      <c r="E269" s="233">
        <v>37</v>
      </c>
      <c r="F269" s="329"/>
      <c r="G269" s="329"/>
      <c r="H269" s="329"/>
      <c r="I269" s="329"/>
      <c r="J269" s="329"/>
      <c r="K269" s="329"/>
      <c r="L269" s="329"/>
      <c r="M269" s="329"/>
      <c r="N269" s="329"/>
      <c r="O269" s="329"/>
      <c r="P269" s="233"/>
      <c r="Q269" s="233"/>
      <c r="R269" s="233"/>
      <c r="S269" s="233"/>
      <c r="T269" s="233"/>
      <c r="U269" s="233"/>
      <c r="V269" s="233"/>
      <c r="W269" s="233"/>
    </row>
    <row r="270" spans="2:23" x14ac:dyDescent="0.25">
      <c r="E270" s="233">
        <v>38</v>
      </c>
      <c r="F270" s="329"/>
      <c r="G270" s="329"/>
      <c r="H270" s="329"/>
      <c r="I270" s="329"/>
      <c r="J270" s="329"/>
      <c r="K270" s="329"/>
      <c r="L270" s="329"/>
      <c r="M270" s="329"/>
      <c r="N270" s="329"/>
      <c r="O270" s="329"/>
      <c r="P270" s="233"/>
      <c r="Q270" s="233"/>
      <c r="R270" s="233"/>
      <c r="S270" s="233"/>
      <c r="T270" s="233"/>
      <c r="U270" s="233"/>
      <c r="V270" s="233"/>
      <c r="W270" s="233"/>
    </row>
    <row r="271" spans="2:23" ht="15.75" thickBot="1" x14ac:dyDescent="0.3">
      <c r="E271" s="306">
        <v>39</v>
      </c>
      <c r="F271" s="306"/>
      <c r="G271" s="306"/>
      <c r="H271" s="306"/>
      <c r="I271" s="306"/>
      <c r="J271" s="306"/>
      <c r="K271" s="306"/>
      <c r="L271" s="306"/>
      <c r="M271" s="306"/>
      <c r="N271" s="306"/>
      <c r="O271" s="314"/>
      <c r="P271" s="306"/>
      <c r="Q271" s="306"/>
      <c r="R271" s="306"/>
      <c r="S271" s="306"/>
      <c r="T271" s="306"/>
      <c r="U271" s="306"/>
      <c r="V271" s="306"/>
      <c r="W271" s="326"/>
    </row>
    <row r="272" spans="2:23" x14ac:dyDescent="0.25"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26"/>
      <c r="P272" s="233"/>
      <c r="Q272" s="233"/>
      <c r="R272" s="233"/>
      <c r="S272" s="233"/>
      <c r="T272" s="233"/>
      <c r="U272" s="233"/>
      <c r="V272" s="233"/>
      <c r="W272" s="233" t="s">
        <v>304</v>
      </c>
    </row>
    <row r="273" spans="1:23" x14ac:dyDescent="0.25">
      <c r="E273" s="233"/>
      <c r="F273" s="233"/>
      <c r="G273" s="233"/>
      <c r="H273" s="233"/>
      <c r="I273" s="233"/>
      <c r="J273" s="233"/>
      <c r="K273" s="233"/>
      <c r="L273" s="590"/>
      <c r="M273" s="590"/>
      <c r="N273" s="590"/>
      <c r="O273" s="590"/>
      <c r="P273" s="590"/>
      <c r="Q273" s="233"/>
      <c r="R273" s="233"/>
      <c r="S273" s="233"/>
      <c r="T273" s="233"/>
      <c r="U273" s="233"/>
      <c r="V273" s="233"/>
      <c r="W273" s="233"/>
    </row>
    <row r="274" spans="1:23" ht="15.75" thickBot="1" x14ac:dyDescent="0.3">
      <c r="E274" s="306" t="s">
        <v>305</v>
      </c>
      <c r="F274" s="306"/>
      <c r="G274" s="306"/>
      <c r="H274" s="306"/>
      <c r="I274" s="306"/>
      <c r="J274" s="306"/>
      <c r="K274" s="306"/>
      <c r="L274" s="591" t="s">
        <v>306</v>
      </c>
      <c r="M274" s="591"/>
      <c r="N274" s="591"/>
      <c r="O274" s="591"/>
      <c r="P274" s="591"/>
      <c r="Q274" s="306"/>
      <c r="R274" s="306"/>
      <c r="S274" s="306"/>
      <c r="T274" s="306"/>
      <c r="U274" s="306"/>
      <c r="V274" s="306"/>
      <c r="W274" s="326" t="s">
        <v>883</v>
      </c>
    </row>
    <row r="275" spans="1:23" x14ac:dyDescent="0.25">
      <c r="E275" s="233" t="s">
        <v>307</v>
      </c>
      <c r="F275" s="233"/>
      <c r="G275" s="233"/>
      <c r="H275" s="233"/>
      <c r="I275" s="233" t="s">
        <v>308</v>
      </c>
      <c r="J275" s="233" t="s">
        <v>913</v>
      </c>
      <c r="K275" s="233"/>
      <c r="L275" s="233"/>
      <c r="M275" s="233"/>
      <c r="N275" s="233"/>
      <c r="O275" s="316"/>
      <c r="P275" s="309"/>
      <c r="Q275" s="233"/>
      <c r="R275" s="309"/>
      <c r="S275" s="309"/>
      <c r="T275" s="309" t="s">
        <v>309</v>
      </c>
      <c r="U275" s="233"/>
      <c r="V275" s="233"/>
      <c r="W275" s="310"/>
    </row>
    <row r="276" spans="1:23" x14ac:dyDescent="0.25">
      <c r="E276" s="233"/>
      <c r="F276" s="233"/>
      <c r="G276" s="233"/>
      <c r="H276" s="233"/>
      <c r="I276" s="233"/>
      <c r="J276" s="233" t="s">
        <v>914</v>
      </c>
      <c r="K276" s="233"/>
      <c r="L276" s="233"/>
      <c r="M276" s="233"/>
      <c r="N276" s="233"/>
      <c r="O276" s="226"/>
      <c r="P276" s="310"/>
      <c r="Q276" s="233"/>
      <c r="R276" s="233"/>
      <c r="S276" s="311"/>
      <c r="T276" s="311" t="s">
        <v>919</v>
      </c>
      <c r="U276" s="310" t="s">
        <v>920</v>
      </c>
      <c r="V276" s="233"/>
      <c r="W276" s="311"/>
    </row>
    <row r="277" spans="1:23" x14ac:dyDescent="0.25">
      <c r="E277" s="233" t="s">
        <v>310</v>
      </c>
      <c r="F277" s="233"/>
      <c r="G277" s="233"/>
      <c r="H277" s="233"/>
      <c r="I277" s="233"/>
      <c r="J277" s="233" t="s">
        <v>915</v>
      </c>
      <c r="K277" s="233"/>
      <c r="L277" s="233"/>
      <c r="M277" s="233"/>
      <c r="N277" s="233"/>
      <c r="O277" s="226"/>
      <c r="P277" s="310"/>
      <c r="Q277" s="311"/>
      <c r="R277" s="233"/>
      <c r="S277" s="233"/>
      <c r="T277" s="311"/>
      <c r="U277" s="310" t="s">
        <v>937</v>
      </c>
      <c r="V277" s="233"/>
      <c r="W277" s="311"/>
    </row>
    <row r="278" spans="1:23" x14ac:dyDescent="0.25">
      <c r="E278" s="233"/>
      <c r="F278" s="233"/>
      <c r="G278" s="233"/>
      <c r="H278" s="233"/>
      <c r="I278" s="233"/>
      <c r="J278" s="233" t="s">
        <v>916</v>
      </c>
      <c r="K278" s="233"/>
      <c r="L278" s="233"/>
      <c r="M278" s="233"/>
      <c r="N278" s="233"/>
      <c r="O278" s="226"/>
      <c r="P278" s="310"/>
      <c r="Q278" s="311"/>
      <c r="R278" s="233"/>
      <c r="S278" s="233"/>
      <c r="T278" s="311"/>
      <c r="U278" s="310" t="s">
        <v>938</v>
      </c>
      <c r="V278" s="233"/>
      <c r="W278" s="311"/>
    </row>
    <row r="279" spans="1:23" x14ac:dyDescent="0.25">
      <c r="E279" s="233"/>
      <c r="F279" s="233"/>
      <c r="G279" s="311"/>
      <c r="H279" s="233"/>
      <c r="I279" s="233"/>
      <c r="J279" s="233" t="s">
        <v>917</v>
      </c>
      <c r="K279" s="233"/>
      <c r="L279" s="317"/>
      <c r="M279" s="317"/>
      <c r="N279" s="317"/>
      <c r="O279" s="226"/>
      <c r="P279" s="233"/>
      <c r="Q279" s="233"/>
      <c r="R279" s="233"/>
      <c r="S279" s="233"/>
      <c r="T279" s="233"/>
      <c r="U279" s="233" t="s">
        <v>311</v>
      </c>
      <c r="V279" s="233"/>
      <c r="W279" s="233"/>
    </row>
    <row r="280" spans="1:23" ht="15.75" thickBot="1" x14ac:dyDescent="0.3">
      <c r="E280" s="306" t="s">
        <v>1642</v>
      </c>
      <c r="F280" s="306"/>
      <c r="G280" s="326"/>
      <c r="H280" s="319"/>
      <c r="I280" s="319"/>
      <c r="J280" s="361" t="s">
        <v>918</v>
      </c>
      <c r="K280" s="361"/>
      <c r="L280" s="319"/>
      <c r="M280" s="319"/>
      <c r="N280" s="319"/>
      <c r="O280" s="319"/>
      <c r="P280" s="319"/>
      <c r="Q280" s="319"/>
      <c r="R280" s="319"/>
      <c r="S280" s="319"/>
      <c r="T280" s="319"/>
      <c r="U280" s="319"/>
      <c r="V280" s="319"/>
      <c r="W280" s="319"/>
    </row>
    <row r="281" spans="1:23" x14ac:dyDescent="0.25">
      <c r="E281" s="233"/>
      <c r="F281" s="233"/>
      <c r="G281" s="233"/>
      <c r="H281" s="233"/>
      <c r="I281" s="317"/>
      <c r="J281" s="233"/>
      <c r="K281" s="317"/>
      <c r="L281" s="362"/>
      <c r="M281" s="317"/>
      <c r="N281" s="233"/>
      <c r="O281" s="317"/>
      <c r="P281" s="233"/>
      <c r="Q281" s="362"/>
      <c r="R281" s="233"/>
      <c r="S281" s="233"/>
      <c r="T281" s="233"/>
      <c r="U281" s="233"/>
      <c r="V281" s="233"/>
      <c r="W281" s="233"/>
    </row>
    <row r="282" spans="1:23" x14ac:dyDescent="0.25">
      <c r="E282" s="233"/>
      <c r="F282" s="233"/>
      <c r="G282" s="233"/>
      <c r="H282" s="233"/>
      <c r="I282" s="362"/>
      <c r="J282" s="233"/>
      <c r="K282" s="233"/>
      <c r="L282" s="362"/>
      <c r="M282" s="233"/>
      <c r="N282" s="233"/>
      <c r="O282" s="317"/>
      <c r="P282" s="233"/>
      <c r="Q282" s="362"/>
      <c r="R282" s="233"/>
      <c r="S282" s="233"/>
      <c r="T282" s="233"/>
      <c r="U282" s="233"/>
      <c r="V282" s="233"/>
      <c r="W282" s="233"/>
    </row>
    <row r="283" spans="1:23" x14ac:dyDescent="0.25">
      <c r="E283" s="233"/>
      <c r="F283" s="233"/>
      <c r="G283" s="233"/>
      <c r="H283" s="233"/>
      <c r="I283" s="233"/>
      <c r="J283" s="362"/>
      <c r="K283" s="362"/>
      <c r="L283" s="363"/>
      <c r="M283" s="363" t="s">
        <v>312</v>
      </c>
      <c r="N283" s="317"/>
      <c r="O283" s="364" t="s">
        <v>396</v>
      </c>
      <c r="P283" s="362"/>
      <c r="Q283" s="233"/>
      <c r="R283" s="362"/>
      <c r="S283" s="362"/>
      <c r="T283" s="362"/>
      <c r="U283" s="362"/>
      <c r="V283" s="362"/>
      <c r="W283" s="233"/>
    </row>
    <row r="284" spans="1:23" x14ac:dyDescent="0.25">
      <c r="E284" s="233"/>
      <c r="F284" s="233"/>
      <c r="G284" s="233"/>
      <c r="H284" s="233"/>
      <c r="I284" s="233"/>
      <c r="J284" s="362"/>
      <c r="K284" s="362"/>
      <c r="L284" s="362"/>
      <c r="M284" s="362"/>
      <c r="N284" s="362"/>
      <c r="O284" s="317"/>
      <c r="P284" s="362"/>
      <c r="Q284" s="362"/>
      <c r="R284" s="362"/>
      <c r="S284" s="362"/>
      <c r="T284" s="362"/>
      <c r="U284" s="362"/>
      <c r="V284" s="362"/>
      <c r="W284" s="362"/>
    </row>
    <row r="285" spans="1:23" x14ac:dyDescent="0.25">
      <c r="E285" s="226" t="s">
        <v>314</v>
      </c>
      <c r="F285" s="371" t="s">
        <v>315</v>
      </c>
      <c r="G285" s="2"/>
      <c r="H285" s="3"/>
      <c r="I285" s="4"/>
      <c r="J285" s="4"/>
      <c r="K285" s="5" t="s">
        <v>316</v>
      </c>
      <c r="L285" s="4"/>
      <c r="M285" s="4"/>
      <c r="N285" s="2"/>
      <c r="O285" s="6"/>
      <c r="P285" s="4"/>
      <c r="Q285" s="5"/>
      <c r="R285" s="5" t="s">
        <v>317</v>
      </c>
      <c r="S285" s="4"/>
      <c r="T285" s="4"/>
      <c r="U285" s="2"/>
      <c r="V285" s="7" t="s">
        <v>318</v>
      </c>
      <c r="W285" s="7" t="s">
        <v>319</v>
      </c>
    </row>
    <row r="286" spans="1:23" ht="15.75" thickBot="1" x14ac:dyDescent="0.3">
      <c r="A286" s="216" t="s">
        <v>810</v>
      </c>
      <c r="B286" s="216" t="s">
        <v>552</v>
      </c>
      <c r="C286" s="216" t="s">
        <v>553</v>
      </c>
      <c r="E286" s="314" t="s">
        <v>320</v>
      </c>
      <c r="F286" s="367" t="s">
        <v>321</v>
      </c>
      <c r="G286" s="8"/>
      <c r="H286" s="306"/>
      <c r="I286" s="314" t="s">
        <v>322</v>
      </c>
      <c r="J286" s="9"/>
      <c r="K286" s="9" t="s">
        <v>323</v>
      </c>
      <c r="L286" s="9"/>
      <c r="M286" s="9" t="s">
        <v>324</v>
      </c>
      <c r="N286" s="9"/>
      <c r="O286" s="9"/>
      <c r="P286" s="9" t="s">
        <v>322</v>
      </c>
      <c r="Q286" s="9"/>
      <c r="R286" s="9" t="s">
        <v>323</v>
      </c>
      <c r="S286" s="9"/>
      <c r="T286" s="9" t="s">
        <v>324</v>
      </c>
      <c r="U286" s="8"/>
      <c r="V286" s="10" t="s">
        <v>325</v>
      </c>
      <c r="W286" s="10" t="s">
        <v>326</v>
      </c>
    </row>
    <row r="287" spans="1:23" x14ac:dyDescent="0.25">
      <c r="E287" s="233">
        <v>1</v>
      </c>
      <c r="F287" s="592" t="s">
        <v>800</v>
      </c>
      <c r="G287" s="592"/>
      <c r="H287" s="592"/>
      <c r="I287" s="233"/>
      <c r="J287" s="15"/>
      <c r="K287" s="15"/>
      <c r="L287" s="15"/>
      <c r="M287" s="15"/>
      <c r="N287" s="11"/>
      <c r="O287" s="6"/>
      <c r="P287" s="11"/>
      <c r="Q287" s="15"/>
      <c r="R287" s="15"/>
      <c r="S287" s="15"/>
      <c r="T287" s="15"/>
      <c r="U287" s="15"/>
      <c r="V287" s="15"/>
      <c r="W287" s="15"/>
    </row>
    <row r="288" spans="1:23" x14ac:dyDescent="0.25">
      <c r="E288" s="233">
        <v>2</v>
      </c>
      <c r="F288" s="233"/>
      <c r="G288" s="233"/>
      <c r="H288" s="233"/>
      <c r="I288" s="233"/>
      <c r="J288" s="233"/>
      <c r="K288" s="233"/>
      <c r="L288" s="233"/>
      <c r="M288" s="233"/>
      <c r="N288" s="233"/>
      <c r="O288" s="226"/>
      <c r="P288" s="233"/>
      <c r="Q288" s="233"/>
      <c r="R288" s="233"/>
      <c r="S288" s="233"/>
      <c r="T288" s="233"/>
      <c r="U288" s="233"/>
      <c r="V288" s="233"/>
      <c r="W288" s="233"/>
    </row>
    <row r="289" spans="2:23" x14ac:dyDescent="0.25">
      <c r="E289" s="233">
        <v>3</v>
      </c>
      <c r="F289" s="11" t="s">
        <v>765</v>
      </c>
      <c r="G289" s="233"/>
      <c r="H289" s="233"/>
      <c r="I289" s="233"/>
      <c r="J289" s="233"/>
      <c r="K289" s="233"/>
      <c r="L289" s="233"/>
      <c r="M289" s="13"/>
      <c r="N289" s="233"/>
      <c r="O289" s="226"/>
      <c r="P289" s="233"/>
      <c r="Q289" s="233"/>
      <c r="R289" s="233"/>
      <c r="S289" s="233"/>
      <c r="T289" s="13"/>
      <c r="U289" s="233"/>
      <c r="V289" s="233"/>
      <c r="W289" s="233"/>
    </row>
    <row r="290" spans="2:23" x14ac:dyDescent="0.25">
      <c r="B290" t="s">
        <v>828</v>
      </c>
      <c r="C290" t="s">
        <v>669</v>
      </c>
      <c r="E290" s="233">
        <v>4</v>
      </c>
      <c r="F290" s="359" t="s">
        <v>773</v>
      </c>
      <c r="G290" s="233"/>
      <c r="H290" s="233"/>
      <c r="I290" s="233">
        <f>+INDEX('2025 Org Base Case BDs'!B:B,MATCH('2025 GSD Rate Class E-13c'!B290,'2025 Org Base Case BDs'!A:A,0))</f>
        <v>0</v>
      </c>
      <c r="J290" s="233" t="s">
        <v>840</v>
      </c>
      <c r="K290" s="60">
        <f>+INDEX('2024 Base Rates'!E:E,MATCH('2025 GSD Rate Class E-13c'!C290,'2024 Base Rates'!D:D,0))</f>
        <v>2.0300000000000001E-3</v>
      </c>
      <c r="L290" s="233"/>
      <c r="M290" s="13">
        <f>+I290*K290</f>
        <v>0</v>
      </c>
      <c r="N290" s="233"/>
      <c r="O290" s="226"/>
      <c r="P290" s="233">
        <f>+INDEX('2025 Billing Determinants'!B:B,MATCH('2025 GSD Rate Class E-13c'!B290,'2025 Billing Determinants'!A:A,0))</f>
        <v>0</v>
      </c>
      <c r="Q290" s="233" t="s">
        <v>840</v>
      </c>
      <c r="R290" s="28">
        <f>+INDEX('Unit Cost Rate Design Input'!D:D,MATCH('2025 GSD Rate Class E-13c'!C290,'Unit Cost Rate Design Input'!B:B,0))</f>
        <v>2.0300000000000001E-3</v>
      </c>
      <c r="S290" s="233"/>
      <c r="T290" s="13">
        <f>+P290*R290</f>
        <v>0</v>
      </c>
      <c r="U290" s="233"/>
      <c r="V290" s="12">
        <f t="shared" ref="V290:V296" si="81">+T290-M290</f>
        <v>0</v>
      </c>
      <c r="W290" s="21">
        <f t="shared" ref="W290:W296" si="82">+IF(V290=0,0,(T290-M290)/M290)</f>
        <v>0</v>
      </c>
    </row>
    <row r="291" spans="2:23" x14ac:dyDescent="0.25">
      <c r="B291" t="s">
        <v>829</v>
      </c>
      <c r="C291" t="s">
        <v>670</v>
      </c>
      <c r="E291" s="233">
        <v>5</v>
      </c>
      <c r="F291" s="359" t="s">
        <v>746</v>
      </c>
      <c r="G291" s="233"/>
      <c r="H291" s="233"/>
      <c r="I291" s="233">
        <f>+INDEX('2025 Org Base Case BDs'!B:B,MATCH('2025 GSD Rate Class E-13c'!B291,'2025 Org Base Case BDs'!A:A,0))</f>
        <v>0</v>
      </c>
      <c r="J291" s="233" t="s">
        <v>840</v>
      </c>
      <c r="K291" s="60">
        <f>+INDEX('2024 Base Rates'!E:E,MATCH('2025 GSD Rate Class E-13c'!C291,'2024 Base Rates'!D:D,0))</f>
        <v>2.0300000000000001E-3</v>
      </c>
      <c r="L291" s="233"/>
      <c r="M291" s="13">
        <f t="shared" ref="M291:M295" si="83">+I291*K291</f>
        <v>0</v>
      </c>
      <c r="N291" s="233"/>
      <c r="O291" s="226"/>
      <c r="P291" s="233">
        <f>+INDEX('2025 Billing Determinants'!B:B,MATCH('2025 GSD Rate Class E-13c'!B291,'2025 Billing Determinants'!A:A,0))</f>
        <v>0</v>
      </c>
      <c r="Q291" s="233" t="s">
        <v>840</v>
      </c>
      <c r="R291" s="28">
        <f>+INDEX('Unit Cost Rate Design Input'!D:D,MATCH('2025 GSD Rate Class E-13c'!C291,'Unit Cost Rate Design Input'!B:B,0))</f>
        <v>2.0300000000000001E-3</v>
      </c>
      <c r="S291" s="233"/>
      <c r="T291" s="13">
        <f t="shared" ref="T291:T295" si="84">+P291*R291</f>
        <v>0</v>
      </c>
      <c r="U291" s="233"/>
      <c r="V291" s="12">
        <f t="shared" si="81"/>
        <v>0</v>
      </c>
      <c r="W291" s="21">
        <f t="shared" si="82"/>
        <v>0</v>
      </c>
    </row>
    <row r="292" spans="2:23" x14ac:dyDescent="0.25">
      <c r="B292" t="s">
        <v>830</v>
      </c>
      <c r="C292" t="s">
        <v>671</v>
      </c>
      <c r="E292" s="233">
        <v>6</v>
      </c>
      <c r="F292" s="359" t="s">
        <v>769</v>
      </c>
      <c r="G292" s="233"/>
      <c r="H292" s="233"/>
      <c r="I292" s="233">
        <f>+INDEX('2025 Org Base Case BDs'!B:B,MATCH('2025 GSD Rate Class E-13c'!B292,'2025 Org Base Case BDs'!A:A,0))</f>
        <v>0</v>
      </c>
      <c r="J292" s="233" t="s">
        <v>840</v>
      </c>
      <c r="K292" s="60">
        <f>+INDEX('2024 Base Rates'!E:E,MATCH('2025 GSD Rate Class E-13c'!C292,'2024 Base Rates'!D:D,0))</f>
        <v>2.0300000000000001E-3</v>
      </c>
      <c r="L292" s="233"/>
      <c r="M292" s="13">
        <f t="shared" si="83"/>
        <v>0</v>
      </c>
      <c r="N292" s="233"/>
      <c r="O292" s="226"/>
      <c r="P292" s="233">
        <f>+INDEX('2025 Billing Determinants'!B:B,MATCH('2025 GSD Rate Class E-13c'!B292,'2025 Billing Determinants'!A:A,0))</f>
        <v>0</v>
      </c>
      <c r="Q292" s="233" t="s">
        <v>840</v>
      </c>
      <c r="R292" s="28">
        <f>+INDEX('Unit Cost Rate Design Input'!D:D,MATCH('2025 GSD Rate Class E-13c'!C292,'Unit Cost Rate Design Input'!B:B,0))</f>
        <v>2.0300000000000001E-3</v>
      </c>
      <c r="S292" s="233"/>
      <c r="T292" s="13">
        <f t="shared" si="84"/>
        <v>0</v>
      </c>
      <c r="U292" s="233"/>
      <c r="V292" s="12">
        <f t="shared" si="81"/>
        <v>0</v>
      </c>
      <c r="W292" s="21">
        <f t="shared" si="82"/>
        <v>0</v>
      </c>
    </row>
    <row r="293" spans="2:23" x14ac:dyDescent="0.25">
      <c r="B293" t="s">
        <v>834</v>
      </c>
      <c r="C293" t="s">
        <v>672</v>
      </c>
      <c r="E293" s="233">
        <v>7</v>
      </c>
      <c r="F293" s="233" t="s">
        <v>774</v>
      </c>
      <c r="G293" s="233"/>
      <c r="H293" s="233"/>
      <c r="I293" s="233">
        <f>+INDEX('2025 Org Base Case BDs'!B:B,MATCH('2025 GSD Rate Class E-13c'!B293,'2025 Org Base Case BDs'!A:A,0))</f>
        <v>0</v>
      </c>
      <c r="J293" s="233" t="s">
        <v>840</v>
      </c>
      <c r="K293" s="60">
        <f>+INDEX('2024 Base Rates'!E:E,MATCH('2025 GSD Rate Class E-13c'!C293,'2024 Base Rates'!D:D,0))</f>
        <v>2.0300000000000001E-3</v>
      </c>
      <c r="L293" s="233"/>
      <c r="M293" s="13">
        <f t="shared" si="83"/>
        <v>0</v>
      </c>
      <c r="N293" s="233"/>
      <c r="O293" s="226"/>
      <c r="P293" s="233">
        <f>+INDEX('2025 Billing Determinants'!B:B,MATCH('2025 GSD Rate Class E-13c'!B293,'2025 Billing Determinants'!A:A,0))</f>
        <v>0</v>
      </c>
      <c r="Q293" s="233" t="s">
        <v>840</v>
      </c>
      <c r="R293" s="28">
        <f>+INDEX('Unit Cost Rate Design Input'!D:D,MATCH('2025 GSD Rate Class E-13c'!C293,'Unit Cost Rate Design Input'!B:B,0))</f>
        <v>2.0300000000000001E-3</v>
      </c>
      <c r="S293" s="233"/>
      <c r="T293" s="13">
        <f t="shared" si="84"/>
        <v>0</v>
      </c>
      <c r="U293" s="233"/>
      <c r="V293" s="12">
        <f t="shared" si="81"/>
        <v>0</v>
      </c>
      <c r="W293" s="21">
        <f t="shared" si="82"/>
        <v>0</v>
      </c>
    </row>
    <row r="294" spans="2:23" x14ac:dyDescent="0.25">
      <c r="B294" t="s">
        <v>835</v>
      </c>
      <c r="C294" t="s">
        <v>673</v>
      </c>
      <c r="E294" s="233">
        <v>8</v>
      </c>
      <c r="F294" s="233" t="s">
        <v>747</v>
      </c>
      <c r="G294" s="233"/>
      <c r="H294" s="233"/>
      <c r="I294" s="233">
        <f>+INDEX('2025 Org Base Case BDs'!B:B,MATCH('2025 GSD Rate Class E-13c'!B294,'2025 Org Base Case BDs'!A:A,0))</f>
        <v>0</v>
      </c>
      <c r="J294" s="233" t="s">
        <v>840</v>
      </c>
      <c r="K294" s="60">
        <f>+INDEX('2024 Base Rates'!E:E,MATCH('2025 GSD Rate Class E-13c'!C294,'2024 Base Rates'!D:D,0))</f>
        <v>2.0300000000000001E-3</v>
      </c>
      <c r="L294" s="233"/>
      <c r="M294" s="13">
        <f t="shared" si="83"/>
        <v>0</v>
      </c>
      <c r="N294" s="233"/>
      <c r="O294" s="226"/>
      <c r="P294" s="233">
        <f>+INDEX('2025 Billing Determinants'!B:B,MATCH('2025 GSD Rate Class E-13c'!B294,'2025 Billing Determinants'!A:A,0))</f>
        <v>0</v>
      </c>
      <c r="Q294" s="233" t="s">
        <v>840</v>
      </c>
      <c r="R294" s="28">
        <f>+INDEX('Unit Cost Rate Design Input'!D:D,MATCH('2025 GSD Rate Class E-13c'!C294,'Unit Cost Rate Design Input'!B:B,0))</f>
        <v>2.0300000000000001E-3</v>
      </c>
      <c r="S294" s="233"/>
      <c r="T294" s="13">
        <f t="shared" si="84"/>
        <v>0</v>
      </c>
      <c r="U294" s="233"/>
      <c r="V294" s="12">
        <f t="shared" si="81"/>
        <v>0</v>
      </c>
      <c r="W294" s="21">
        <f t="shared" si="82"/>
        <v>0</v>
      </c>
    </row>
    <row r="295" spans="2:23" x14ac:dyDescent="0.25">
      <c r="B295" t="s">
        <v>836</v>
      </c>
      <c r="C295" t="s">
        <v>674</v>
      </c>
      <c r="E295" s="233">
        <v>9</v>
      </c>
      <c r="F295" s="233" t="s">
        <v>770</v>
      </c>
      <c r="G295" s="233"/>
      <c r="H295" s="233"/>
      <c r="I295" s="376">
        <f>+INDEX('2025 Org Base Case BDs'!B:B,MATCH('2025 GSD Rate Class E-13c'!B295,'2025 Org Base Case BDs'!A:A,0))</f>
        <v>0</v>
      </c>
      <c r="J295" s="233" t="s">
        <v>840</v>
      </c>
      <c r="K295" s="60">
        <f>+INDEX('2024 Base Rates'!E:E,MATCH('2025 GSD Rate Class E-13c'!C295,'2024 Base Rates'!D:D,0))</f>
        <v>2.0300000000000001E-3</v>
      </c>
      <c r="L295" s="233"/>
      <c r="M295" s="13">
        <f t="shared" si="83"/>
        <v>0</v>
      </c>
      <c r="N295" s="233"/>
      <c r="O295" s="226"/>
      <c r="P295" s="376">
        <f>+INDEX('2025 Billing Determinants'!B:B,MATCH('2025 GSD Rate Class E-13c'!B295,'2025 Billing Determinants'!A:A,0))</f>
        <v>0</v>
      </c>
      <c r="Q295" s="233" t="s">
        <v>840</v>
      </c>
      <c r="R295" s="28">
        <f>+INDEX('Unit Cost Rate Design Input'!D:D,MATCH('2025 GSD Rate Class E-13c'!C295,'Unit Cost Rate Design Input'!B:B,0))</f>
        <v>2.0300000000000001E-3</v>
      </c>
      <c r="S295" s="233"/>
      <c r="T295" s="13">
        <f t="shared" si="84"/>
        <v>0</v>
      </c>
      <c r="U295" s="233"/>
      <c r="V295" s="12">
        <f t="shared" si="81"/>
        <v>0</v>
      </c>
      <c r="W295" s="21">
        <f t="shared" si="82"/>
        <v>0</v>
      </c>
    </row>
    <row r="296" spans="2:23" x14ac:dyDescent="0.25">
      <c r="E296" s="233">
        <v>10</v>
      </c>
      <c r="F296" s="233"/>
      <c r="G296" s="233"/>
      <c r="H296" s="233"/>
      <c r="I296" s="233">
        <f>+SUM(I290:I295)</f>
        <v>0</v>
      </c>
      <c r="J296" s="233"/>
      <c r="K296" s="233"/>
      <c r="L296" s="233"/>
      <c r="M296" s="387">
        <f>+SUM(M290:M295)</f>
        <v>0</v>
      </c>
      <c r="N296" s="233"/>
      <c r="O296" s="226"/>
      <c r="P296" s="233">
        <f>+SUM(P290:P295)</f>
        <v>0</v>
      </c>
      <c r="Q296" s="233" t="s">
        <v>840</v>
      </c>
      <c r="R296" s="233"/>
      <c r="S296" s="233"/>
      <c r="T296" s="387">
        <f>+SUM(T290:T295)</f>
        <v>0</v>
      </c>
      <c r="U296" s="233"/>
      <c r="V296" s="12">
        <f t="shared" si="81"/>
        <v>0</v>
      </c>
      <c r="W296" s="21">
        <f t="shared" si="82"/>
        <v>0</v>
      </c>
    </row>
    <row r="297" spans="2:23" x14ac:dyDescent="0.25">
      <c r="E297" s="233">
        <v>11</v>
      </c>
      <c r="F297" s="11" t="s">
        <v>766</v>
      </c>
      <c r="G297" s="233"/>
      <c r="H297" s="233"/>
      <c r="I297" s="233"/>
      <c r="J297" s="233"/>
      <c r="K297" s="233"/>
      <c r="L297" s="233"/>
      <c r="M297" s="13"/>
      <c r="N297" s="233"/>
      <c r="O297" s="226"/>
      <c r="P297" s="233"/>
      <c r="Q297" s="233"/>
      <c r="R297" s="233"/>
      <c r="S297" s="233"/>
      <c r="T297" s="13"/>
      <c r="U297" s="233"/>
      <c r="V297" s="233"/>
      <c r="W297" s="233"/>
    </row>
    <row r="298" spans="2:23" x14ac:dyDescent="0.25">
      <c r="B298" t="s">
        <v>831</v>
      </c>
      <c r="C298" t="s">
        <v>680</v>
      </c>
      <c r="E298" s="233">
        <v>12</v>
      </c>
      <c r="F298" s="359" t="s">
        <v>773</v>
      </c>
      <c r="G298" s="233"/>
      <c r="H298" s="233"/>
      <c r="I298" s="233">
        <f>+INDEX('2025 Org Base Case BDs'!B:B,MATCH('2025 GSD Rate Class E-13c'!B298,'2025 Org Base Case BDs'!A:A,0))</f>
        <v>0</v>
      </c>
      <c r="J298" s="233" t="s">
        <v>840</v>
      </c>
      <c r="K298" s="60">
        <f>+INDEX('2024 Base Rates'!E:E,MATCH('2025 GSD Rate Class E-13c'!C298,'2024 Base Rates'!D:D,0))</f>
        <v>-1.0200000000000001E-3</v>
      </c>
      <c r="L298" s="233"/>
      <c r="M298" s="13">
        <f>+I298*K298</f>
        <v>0</v>
      </c>
      <c r="N298" s="233"/>
      <c r="O298" s="226"/>
      <c r="P298" s="233">
        <f>+INDEX('2025 Billing Determinants'!B:B,MATCH('2025 GSD Rate Class E-13c'!B298,'2025 Billing Determinants'!A:A,0))</f>
        <v>0</v>
      </c>
      <c r="Q298" s="233" t="s">
        <v>840</v>
      </c>
      <c r="R298" s="28">
        <f>+INDEX('Unit Cost Rate Design Input'!D:D,MATCH('2025 GSD Rate Class E-13c'!C298,'Unit Cost Rate Design Input'!B:B,0))</f>
        <v>-1.0200000000000001E-3</v>
      </c>
      <c r="S298" s="233"/>
      <c r="T298" s="13">
        <f>+P298*R298</f>
        <v>0</v>
      </c>
      <c r="U298" s="233"/>
      <c r="V298" s="12">
        <f t="shared" ref="V298:V304" si="85">+T298-M298</f>
        <v>0</v>
      </c>
      <c r="W298" s="21">
        <f t="shared" ref="W298:W304" si="86">+IF(V298=0,0,(T298-M298)/M298)</f>
        <v>0</v>
      </c>
    </row>
    <row r="299" spans="2:23" x14ac:dyDescent="0.25">
      <c r="B299" t="s">
        <v>832</v>
      </c>
      <c r="C299" t="s">
        <v>675</v>
      </c>
      <c r="E299" s="233">
        <v>13</v>
      </c>
      <c r="F299" s="359" t="s">
        <v>746</v>
      </c>
      <c r="G299" s="233"/>
      <c r="H299" s="233"/>
      <c r="I299" s="233">
        <f>+INDEX('2025 Org Base Case BDs'!B:B,MATCH('2025 GSD Rate Class E-13c'!B299,'2025 Org Base Case BDs'!A:A,0))</f>
        <v>0</v>
      </c>
      <c r="J299" s="233" t="s">
        <v>840</v>
      </c>
      <c r="K299" s="60">
        <f>+INDEX('2024 Base Rates'!E:E,MATCH('2025 GSD Rate Class E-13c'!C299,'2024 Base Rates'!D:D,0))</f>
        <v>-1.0200000000000001E-3</v>
      </c>
      <c r="L299" s="233"/>
      <c r="M299" s="13">
        <f t="shared" ref="M299:M303" si="87">+I299*K299</f>
        <v>0</v>
      </c>
      <c r="N299" s="233"/>
      <c r="O299" s="226"/>
      <c r="P299" s="233">
        <f>+INDEX('2025 Billing Determinants'!B:B,MATCH('2025 GSD Rate Class E-13c'!B299,'2025 Billing Determinants'!A:A,0))</f>
        <v>0</v>
      </c>
      <c r="Q299" s="233" t="s">
        <v>840</v>
      </c>
      <c r="R299" s="28">
        <f>+INDEX('Unit Cost Rate Design Input'!D:D,MATCH('2025 GSD Rate Class E-13c'!C299,'Unit Cost Rate Design Input'!B:B,0))</f>
        <v>-1.0200000000000001E-3</v>
      </c>
      <c r="S299" s="233"/>
      <c r="T299" s="13">
        <f t="shared" ref="T299:T303" si="88">+P299*R299</f>
        <v>0</v>
      </c>
      <c r="U299" s="233"/>
      <c r="V299" s="12">
        <f t="shared" si="85"/>
        <v>0</v>
      </c>
      <c r="W299" s="21">
        <f t="shared" si="86"/>
        <v>0</v>
      </c>
    </row>
    <row r="300" spans="2:23" x14ac:dyDescent="0.25">
      <c r="B300" t="s">
        <v>833</v>
      </c>
      <c r="C300" t="s">
        <v>676</v>
      </c>
      <c r="E300" s="233">
        <v>14</v>
      </c>
      <c r="F300" s="359" t="s">
        <v>769</v>
      </c>
      <c r="G300" s="11"/>
      <c r="H300" s="233"/>
      <c r="I300" s="233">
        <f>+INDEX('2025 Org Base Case BDs'!B:B,MATCH('2025 GSD Rate Class E-13c'!B300,'2025 Org Base Case BDs'!A:A,0))</f>
        <v>0</v>
      </c>
      <c r="J300" s="233" t="s">
        <v>840</v>
      </c>
      <c r="K300" s="60">
        <f>+INDEX('2024 Base Rates'!E:E,MATCH('2025 GSD Rate Class E-13c'!C300,'2024 Base Rates'!D:D,0))</f>
        <v>-1.0200000000000001E-3</v>
      </c>
      <c r="L300" s="233"/>
      <c r="M300" s="13">
        <f t="shared" si="87"/>
        <v>0</v>
      </c>
      <c r="N300" s="233"/>
      <c r="O300" s="226"/>
      <c r="P300" s="233">
        <f>+INDEX('2025 Billing Determinants'!B:B,MATCH('2025 GSD Rate Class E-13c'!B300,'2025 Billing Determinants'!A:A,0))</f>
        <v>0</v>
      </c>
      <c r="Q300" s="233" t="s">
        <v>840</v>
      </c>
      <c r="R300" s="28">
        <f>+INDEX('Unit Cost Rate Design Input'!D:D,MATCH('2025 GSD Rate Class E-13c'!C300,'Unit Cost Rate Design Input'!B:B,0))</f>
        <v>-1.0200000000000001E-3</v>
      </c>
      <c r="S300" s="233"/>
      <c r="T300" s="13">
        <f t="shared" si="88"/>
        <v>0</v>
      </c>
      <c r="U300" s="233"/>
      <c r="V300" s="12">
        <f t="shared" si="85"/>
        <v>0</v>
      </c>
      <c r="W300" s="21">
        <f t="shared" si="86"/>
        <v>0</v>
      </c>
    </row>
    <row r="301" spans="2:23" x14ac:dyDescent="0.25">
      <c r="B301" t="s">
        <v>837</v>
      </c>
      <c r="C301" t="s">
        <v>677</v>
      </c>
      <c r="E301" s="233">
        <v>15</v>
      </c>
      <c r="F301" s="233" t="s">
        <v>774</v>
      </c>
      <c r="G301" s="233"/>
      <c r="H301" s="233"/>
      <c r="I301" s="233">
        <f>+INDEX('2025 Org Base Case BDs'!B:B,MATCH('2025 GSD Rate Class E-13c'!B301,'2025 Org Base Case BDs'!A:A,0))</f>
        <v>0</v>
      </c>
      <c r="J301" s="233" t="s">
        <v>840</v>
      </c>
      <c r="K301" s="60">
        <f>+INDEX('2024 Base Rates'!E:E,MATCH('2025 GSD Rate Class E-13c'!C301,'2024 Base Rates'!D:D,0))</f>
        <v>-1.0200000000000001E-3</v>
      </c>
      <c r="L301" s="233"/>
      <c r="M301" s="13">
        <f t="shared" si="87"/>
        <v>0</v>
      </c>
      <c r="N301" s="233"/>
      <c r="O301" s="226"/>
      <c r="P301" s="233">
        <f>+INDEX('2025 Billing Determinants'!B:B,MATCH('2025 GSD Rate Class E-13c'!B301,'2025 Billing Determinants'!A:A,0))</f>
        <v>0</v>
      </c>
      <c r="Q301" s="233" t="s">
        <v>840</v>
      </c>
      <c r="R301" s="28">
        <f>+INDEX('Unit Cost Rate Design Input'!D:D,MATCH('2025 GSD Rate Class E-13c'!C301,'Unit Cost Rate Design Input'!B:B,0))</f>
        <v>-1.0200000000000001E-3</v>
      </c>
      <c r="S301" s="233"/>
      <c r="T301" s="13">
        <f t="shared" si="88"/>
        <v>0</v>
      </c>
      <c r="U301" s="233"/>
      <c r="V301" s="12">
        <f t="shared" si="85"/>
        <v>0</v>
      </c>
      <c r="W301" s="21">
        <f t="shared" si="86"/>
        <v>0</v>
      </c>
    </row>
    <row r="302" spans="2:23" x14ac:dyDescent="0.25">
      <c r="B302" t="s">
        <v>838</v>
      </c>
      <c r="C302" t="s">
        <v>678</v>
      </c>
      <c r="E302" s="233">
        <v>16</v>
      </c>
      <c r="F302" s="233" t="s">
        <v>747</v>
      </c>
      <c r="G302" s="233"/>
      <c r="H302" s="233"/>
      <c r="I302" s="233">
        <f>+INDEX('2025 Org Base Case BDs'!B:B,MATCH('2025 GSD Rate Class E-13c'!B302,'2025 Org Base Case BDs'!A:A,0))</f>
        <v>0</v>
      </c>
      <c r="J302" s="233" t="s">
        <v>840</v>
      </c>
      <c r="K302" s="60">
        <f>+INDEX('2024 Base Rates'!E:E,MATCH('2025 GSD Rate Class E-13c'!C302,'2024 Base Rates'!D:D,0))</f>
        <v>-1.0200000000000001E-3</v>
      </c>
      <c r="L302" s="233"/>
      <c r="M302" s="13">
        <f t="shared" si="87"/>
        <v>0</v>
      </c>
      <c r="N302" s="233"/>
      <c r="O302" s="226"/>
      <c r="P302" s="233">
        <f>+INDEX('2025 Billing Determinants'!B:B,MATCH('2025 GSD Rate Class E-13c'!B302,'2025 Billing Determinants'!A:A,0))</f>
        <v>0</v>
      </c>
      <c r="Q302" s="233" t="s">
        <v>840</v>
      </c>
      <c r="R302" s="28">
        <f>+INDEX('Unit Cost Rate Design Input'!D:D,MATCH('2025 GSD Rate Class E-13c'!C302,'Unit Cost Rate Design Input'!B:B,0))</f>
        <v>-1.0200000000000001E-3</v>
      </c>
      <c r="S302" s="233"/>
      <c r="T302" s="13">
        <f t="shared" si="88"/>
        <v>0</v>
      </c>
      <c r="U302" s="233"/>
      <c r="V302" s="12">
        <f t="shared" si="85"/>
        <v>0</v>
      </c>
      <c r="W302" s="21">
        <f t="shared" si="86"/>
        <v>0</v>
      </c>
    </row>
    <row r="303" spans="2:23" x14ac:dyDescent="0.25">
      <c r="B303" t="s">
        <v>839</v>
      </c>
      <c r="C303" t="s">
        <v>679</v>
      </c>
      <c r="E303" s="233">
        <v>17</v>
      </c>
      <c r="F303" s="233" t="s">
        <v>770</v>
      </c>
      <c r="G303" s="233"/>
      <c r="H303" s="233"/>
      <c r="I303" s="376">
        <f>+INDEX('2025 Org Base Case BDs'!B:B,MATCH('2025 GSD Rate Class E-13c'!B303,'2025 Org Base Case BDs'!A:A,0))</f>
        <v>0</v>
      </c>
      <c r="J303" s="233" t="s">
        <v>840</v>
      </c>
      <c r="K303" s="60">
        <f>+INDEX('2024 Base Rates'!E:E,MATCH('2025 GSD Rate Class E-13c'!C303,'2024 Base Rates'!D:D,0))</f>
        <v>-1.0200000000000001E-3</v>
      </c>
      <c r="L303" s="233"/>
      <c r="M303" s="13">
        <f t="shared" si="87"/>
        <v>0</v>
      </c>
      <c r="N303" s="233"/>
      <c r="O303" s="226"/>
      <c r="P303" s="376">
        <f>+INDEX('2025 Billing Determinants'!B:B,MATCH('2025 GSD Rate Class E-13c'!B303,'2025 Billing Determinants'!A:A,0))</f>
        <v>0</v>
      </c>
      <c r="Q303" s="233" t="s">
        <v>840</v>
      </c>
      <c r="R303" s="28">
        <f>+INDEX('Unit Cost Rate Design Input'!D:D,MATCH('2025 GSD Rate Class E-13c'!C303,'Unit Cost Rate Design Input'!B:B,0))</f>
        <v>-1.0200000000000001E-3</v>
      </c>
      <c r="S303" s="233"/>
      <c r="T303" s="13">
        <f t="shared" si="88"/>
        <v>0</v>
      </c>
      <c r="U303" s="233"/>
      <c r="V303" s="12">
        <f t="shared" si="85"/>
        <v>0</v>
      </c>
      <c r="W303" s="21">
        <f t="shared" si="86"/>
        <v>0</v>
      </c>
    </row>
    <row r="304" spans="2:23" x14ac:dyDescent="0.25">
      <c r="E304" s="233">
        <v>18</v>
      </c>
      <c r="F304" s="11" t="s">
        <v>748</v>
      </c>
      <c r="G304" s="11"/>
      <c r="H304" s="233"/>
      <c r="I304" s="233">
        <f>+SUM(I298:I303)</f>
        <v>0</v>
      </c>
      <c r="J304" s="233" t="s">
        <v>840</v>
      </c>
      <c r="K304" s="233"/>
      <c r="L304" s="233"/>
      <c r="M304" s="54">
        <f>+SUM(M298:M303)</f>
        <v>0</v>
      </c>
      <c r="N304" s="233"/>
      <c r="O304" s="226"/>
      <c r="P304" s="233">
        <f>+SUM(P298:P303)</f>
        <v>0</v>
      </c>
      <c r="Q304" s="233" t="s">
        <v>840</v>
      </c>
      <c r="R304" s="370"/>
      <c r="S304" s="233"/>
      <c r="T304" s="54">
        <f>+SUM(T298:T303)</f>
        <v>0</v>
      </c>
      <c r="U304" s="233"/>
      <c r="V304" s="12">
        <f t="shared" si="85"/>
        <v>0</v>
      </c>
      <c r="W304" s="21">
        <f t="shared" si="86"/>
        <v>0</v>
      </c>
    </row>
    <row r="305" spans="2:23" x14ac:dyDescent="0.25">
      <c r="E305" s="233">
        <v>19</v>
      </c>
      <c r="F305" s="233"/>
      <c r="G305" s="233"/>
      <c r="H305" s="233"/>
      <c r="I305" s="233"/>
      <c r="J305" s="233"/>
      <c r="K305" s="233"/>
      <c r="L305" s="233"/>
      <c r="M305" s="13"/>
      <c r="N305" s="233"/>
      <c r="O305" s="226"/>
      <c r="P305" s="233"/>
      <c r="Q305" s="233"/>
      <c r="R305" s="233"/>
      <c r="S305" s="233"/>
      <c r="T305" s="13"/>
      <c r="U305" s="233"/>
      <c r="V305" s="233"/>
      <c r="W305" s="233"/>
    </row>
    <row r="306" spans="2:23" x14ac:dyDescent="0.25">
      <c r="E306" s="233">
        <v>20</v>
      </c>
      <c r="F306" s="233" t="s">
        <v>801</v>
      </c>
      <c r="G306" s="233"/>
      <c r="H306" s="233"/>
      <c r="I306" s="233"/>
      <c r="J306" s="233"/>
      <c r="K306" s="233"/>
      <c r="L306" s="233"/>
      <c r="M306" s="13"/>
      <c r="N306" s="233"/>
      <c r="O306" s="226"/>
      <c r="P306" s="233"/>
      <c r="Q306" s="233"/>
      <c r="R306" s="233"/>
      <c r="S306" s="233"/>
      <c r="T306" s="13"/>
      <c r="U306" s="233"/>
      <c r="V306" s="233"/>
      <c r="W306" s="233"/>
    </row>
    <row r="307" spans="2:23" x14ac:dyDescent="0.25">
      <c r="B307" t="s">
        <v>119</v>
      </c>
      <c r="C307" t="s">
        <v>655</v>
      </c>
      <c r="E307" s="233">
        <v>21</v>
      </c>
      <c r="F307" s="359" t="s">
        <v>746</v>
      </c>
      <c r="G307" s="233"/>
      <c r="H307" s="233"/>
      <c r="I307" s="233">
        <f>+INDEX('2025 Org Base Case BDs'!B:B,MATCH('2025 GSD Rate Class E-13c'!B307,'2025 Org Base Case BDs'!A:A,0))</f>
        <v>0</v>
      </c>
      <c r="J307" s="12" t="s">
        <v>730</v>
      </c>
      <c r="K307" s="27">
        <f>+INDEX('2024 Base Rates'!E:E,MATCH('2025 GSD Rate Class E-13c'!C307,'2024 Base Rates'!D:D,0))</f>
        <v>-0.49</v>
      </c>
      <c r="L307" s="233"/>
      <c r="M307" s="12">
        <f>+I307*K307</f>
        <v>0</v>
      </c>
      <c r="N307" s="233"/>
      <c r="O307" s="226"/>
      <c r="P307" s="233">
        <f>+INDEX('2025 Billing Determinants'!B:B,MATCH('2025 GSD Rate Class E-13c'!B307,'2025 Billing Determinants'!A:A,0))</f>
        <v>0</v>
      </c>
      <c r="Q307" s="12" t="s">
        <v>730</v>
      </c>
      <c r="R307" s="19">
        <f>+INDEX('Unit Cost Rate Design Input'!D:D,MATCH('2025 GSD Rate Class E-13c'!C307,'Unit Cost Rate Design Input'!B:B,0))</f>
        <v>-0.54</v>
      </c>
      <c r="S307" s="233"/>
      <c r="T307" s="12">
        <f>+P307*R307</f>
        <v>0</v>
      </c>
      <c r="U307" s="233"/>
      <c r="V307" s="12">
        <f t="shared" ref="V307:V310" si="89">+T307-M307</f>
        <v>0</v>
      </c>
      <c r="W307" s="21">
        <f t="shared" ref="W307:W310" si="90">+IF(V307=0,0,(T307-M307)/M307)</f>
        <v>0</v>
      </c>
    </row>
    <row r="308" spans="2:23" x14ac:dyDescent="0.25">
      <c r="B308" t="s">
        <v>120</v>
      </c>
      <c r="C308" t="s">
        <v>656</v>
      </c>
      <c r="E308" s="233">
        <v>22</v>
      </c>
      <c r="F308" s="359" t="s">
        <v>769</v>
      </c>
      <c r="G308" s="233"/>
      <c r="H308" s="233"/>
      <c r="I308" s="233">
        <f>+INDEX('2025 Org Base Case BDs'!B:B,MATCH('2025 GSD Rate Class E-13c'!B308,'2025 Org Base Case BDs'!A:A,0))</f>
        <v>0</v>
      </c>
      <c r="J308" s="12" t="s">
        <v>730</v>
      </c>
      <c r="K308" s="27">
        <f>+INDEX('2024 Base Rates'!E:E,MATCH('2025 GSD Rate Class E-13c'!C308,'2024 Base Rates'!D:D,0))</f>
        <v>-2.06</v>
      </c>
      <c r="L308" s="233"/>
      <c r="M308" s="12">
        <f t="shared" ref="M308:M310" si="91">+I308*K308</f>
        <v>0</v>
      </c>
      <c r="N308" s="233"/>
      <c r="O308" s="226"/>
      <c r="P308" s="233">
        <f>+INDEX('2025 Billing Determinants'!B:B,MATCH('2025 GSD Rate Class E-13c'!B308,'2025 Billing Determinants'!A:A,0))</f>
        <v>0</v>
      </c>
      <c r="Q308" s="12" t="s">
        <v>730</v>
      </c>
      <c r="R308" s="19">
        <f>+INDEX('Unit Cost Rate Design Input'!D:D,MATCH('2025 GSD Rate Class E-13c'!C308,'Unit Cost Rate Design Input'!B:B,0))</f>
        <v>-3.09</v>
      </c>
      <c r="S308" s="233"/>
      <c r="T308" s="12">
        <f t="shared" ref="T308:T310" si="92">+P308*R308</f>
        <v>0</v>
      </c>
      <c r="U308" s="233"/>
      <c r="V308" s="12">
        <f t="shared" si="89"/>
        <v>0</v>
      </c>
      <c r="W308" s="21">
        <f t="shared" si="90"/>
        <v>0</v>
      </c>
    </row>
    <row r="309" spans="2:23" x14ac:dyDescent="0.25">
      <c r="B309" t="s">
        <v>172</v>
      </c>
      <c r="C309" t="s">
        <v>657</v>
      </c>
      <c r="E309" s="233">
        <v>23</v>
      </c>
      <c r="F309" s="233" t="s">
        <v>747</v>
      </c>
      <c r="G309" s="233"/>
      <c r="H309" s="233"/>
      <c r="I309" s="233">
        <f>+INDEX('2025 Org Base Case BDs'!B:B,MATCH('2025 GSD Rate Class E-13c'!B309,'2025 Org Base Case BDs'!A:A,0))</f>
        <v>0</v>
      </c>
      <c r="J309" s="12" t="s">
        <v>730</v>
      </c>
      <c r="K309" s="27">
        <f>+INDEX('2024 Base Rates'!E:E,MATCH('2025 GSD Rate Class E-13c'!C309,'2024 Base Rates'!D:D,0))</f>
        <v>-0.49</v>
      </c>
      <c r="L309" s="233"/>
      <c r="M309" s="12">
        <f t="shared" si="91"/>
        <v>0</v>
      </c>
      <c r="N309" s="233"/>
      <c r="O309" s="226"/>
      <c r="P309" s="233">
        <f>+INDEX('2025 Billing Determinants'!B:B,MATCH('2025 GSD Rate Class E-13c'!B309,'2025 Billing Determinants'!A:A,0))</f>
        <v>0</v>
      </c>
      <c r="Q309" s="12" t="s">
        <v>730</v>
      </c>
      <c r="R309" s="19">
        <f>+INDEX('Unit Cost Rate Design Input'!D:D,MATCH('2025 GSD Rate Class E-13c'!C309,'Unit Cost Rate Design Input'!B:B,0))</f>
        <v>-0.54</v>
      </c>
      <c r="S309" s="233"/>
      <c r="T309" s="12">
        <f t="shared" si="92"/>
        <v>0</v>
      </c>
      <c r="U309" s="233"/>
      <c r="V309" s="12">
        <f t="shared" si="89"/>
        <v>0</v>
      </c>
      <c r="W309" s="21">
        <f t="shared" si="90"/>
        <v>0</v>
      </c>
    </row>
    <row r="310" spans="2:23" x14ac:dyDescent="0.25">
      <c r="B310" t="s">
        <v>173</v>
      </c>
      <c r="C310" t="s">
        <v>658</v>
      </c>
      <c r="E310" s="233">
        <v>24</v>
      </c>
      <c r="F310" s="233" t="s">
        <v>770</v>
      </c>
      <c r="G310" s="233"/>
      <c r="H310" s="233"/>
      <c r="I310" s="233">
        <f>+INDEX('2025 Org Base Case BDs'!B:B,MATCH('2025 GSD Rate Class E-13c'!B310,'2025 Org Base Case BDs'!A:A,0))</f>
        <v>0</v>
      </c>
      <c r="J310" s="12" t="s">
        <v>730</v>
      </c>
      <c r="K310" s="27">
        <f>+INDEX('2024 Base Rates'!E:E,MATCH('2025 GSD Rate Class E-13c'!C310,'2024 Base Rates'!D:D,0))</f>
        <v>-2.06</v>
      </c>
      <c r="L310" s="233"/>
      <c r="M310" s="12">
        <f t="shared" si="91"/>
        <v>0</v>
      </c>
      <c r="N310" s="233"/>
      <c r="O310" s="226"/>
      <c r="P310" s="233">
        <f>+INDEX('2025 Billing Determinants'!B:B,MATCH('2025 GSD Rate Class E-13c'!B310,'2025 Billing Determinants'!A:A,0))</f>
        <v>0</v>
      </c>
      <c r="Q310" s="12" t="s">
        <v>730</v>
      </c>
      <c r="R310" s="19">
        <f>+INDEX('Unit Cost Rate Design Input'!D:D,MATCH('2025 GSD Rate Class E-13c'!C310,'Unit Cost Rate Design Input'!B:B,0))</f>
        <v>-3.09</v>
      </c>
      <c r="S310" s="233"/>
      <c r="T310" s="12">
        <f t="shared" si="92"/>
        <v>0</v>
      </c>
      <c r="U310" s="233"/>
      <c r="V310" s="12">
        <f t="shared" si="89"/>
        <v>0</v>
      </c>
      <c r="W310" s="21">
        <f t="shared" si="90"/>
        <v>0</v>
      </c>
    </row>
    <row r="311" spans="2:23" x14ac:dyDescent="0.25">
      <c r="E311" s="233">
        <v>25</v>
      </c>
      <c r="F311" s="233"/>
      <c r="G311" s="233"/>
      <c r="H311" s="233"/>
      <c r="I311" s="233"/>
      <c r="J311" s="233"/>
      <c r="K311" s="233"/>
      <c r="L311" s="233"/>
      <c r="M311" s="233"/>
      <c r="N311" s="233"/>
      <c r="O311" s="226"/>
      <c r="P311" s="233"/>
      <c r="Q311" s="233"/>
      <c r="R311" s="233"/>
      <c r="S311" s="233"/>
      <c r="T311" s="233"/>
      <c r="U311" s="233"/>
      <c r="V311" s="233"/>
      <c r="W311" s="233"/>
    </row>
    <row r="312" spans="2:23" x14ac:dyDescent="0.25">
      <c r="E312" s="233">
        <v>26</v>
      </c>
      <c r="F312" s="233" t="s">
        <v>802</v>
      </c>
      <c r="G312" s="233"/>
      <c r="H312" s="233"/>
      <c r="I312" s="233"/>
      <c r="J312" s="233"/>
      <c r="K312" s="233"/>
      <c r="L312" s="233"/>
      <c r="M312" s="13"/>
      <c r="N312" s="233"/>
      <c r="O312" s="226"/>
      <c r="P312" s="233"/>
      <c r="Q312" s="233"/>
      <c r="R312" s="233"/>
      <c r="S312" s="233"/>
      <c r="T312" s="13"/>
      <c r="U312" s="233"/>
      <c r="V312" s="233"/>
      <c r="W312" s="233"/>
    </row>
    <row r="313" spans="2:23" x14ac:dyDescent="0.25">
      <c r="B313" t="s">
        <v>138</v>
      </c>
      <c r="C313" t="s">
        <v>662</v>
      </c>
      <c r="E313" s="233">
        <v>27</v>
      </c>
      <c r="F313" s="233" t="s">
        <v>803</v>
      </c>
      <c r="G313" s="233"/>
      <c r="H313" s="233"/>
      <c r="I313" s="233">
        <f>+INDEX('2025 Org Base Case BDs'!B:B,MATCH('2025 GSD Rate Class E-13c'!B313,'2025 Org Base Case BDs'!A:A,0))</f>
        <v>0</v>
      </c>
      <c r="J313" s="233" t="s">
        <v>730</v>
      </c>
      <c r="K313" s="27">
        <f>+INDEX('2024 Base Rates'!E:E,MATCH('2025 GSD Rate Class E-13c'!C313,'2024 Base Rates'!D:D,0))</f>
        <v>-1.3</v>
      </c>
      <c r="L313" s="233"/>
      <c r="M313" s="12">
        <f>+I313*K313</f>
        <v>0</v>
      </c>
      <c r="N313" s="233"/>
      <c r="O313" s="226"/>
      <c r="P313" s="233">
        <f>+INDEX('2025 Billing Determinants'!B:B,MATCH('2025 GSD Rate Class E-13c'!B313,'2025 Billing Determinants'!A:A,0))</f>
        <v>0</v>
      </c>
      <c r="Q313" s="12" t="s">
        <v>730</v>
      </c>
      <c r="R313" s="19">
        <f>+INDEX('Unit Cost Rate Design Input'!D:D,MATCH('2025 GSD Rate Class E-13c'!C313,'Unit Cost Rate Design Input'!B:B,0))</f>
        <v>-2.06</v>
      </c>
      <c r="S313" s="233"/>
      <c r="T313" s="12">
        <f>+P313*R313</f>
        <v>0</v>
      </c>
      <c r="U313" s="233"/>
      <c r="V313" s="12">
        <f t="shared" ref="V313:V317" si="93">+T313-M313</f>
        <v>0</v>
      </c>
      <c r="W313" s="21">
        <f t="shared" ref="W313:W317" si="94">+IF(V313=0,0,(T313-M313)/M313)</f>
        <v>0</v>
      </c>
    </row>
    <row r="314" spans="2:23" x14ac:dyDescent="0.25">
      <c r="B314" t="s">
        <v>139</v>
      </c>
      <c r="C314" t="s">
        <v>659</v>
      </c>
      <c r="E314" s="233">
        <v>28</v>
      </c>
      <c r="F314" s="233" t="s">
        <v>804</v>
      </c>
      <c r="G314" s="233"/>
      <c r="H314" s="233"/>
      <c r="I314" s="233">
        <f>+INDEX('2025 Org Base Case BDs'!B:B,MATCH('2025 GSD Rate Class E-13c'!B314,'2025 Org Base Case BDs'!A:A,0))</f>
        <v>0</v>
      </c>
      <c r="J314" s="233" t="s">
        <v>730</v>
      </c>
      <c r="K314" s="27">
        <f>+INDEX('2024 Base Rates'!E:E,MATCH('2025 GSD Rate Class E-13c'!C314,'2024 Base Rates'!D:D,0))</f>
        <v>-1.71</v>
      </c>
      <c r="L314" s="233"/>
      <c r="M314" s="12">
        <f t="shared" ref="M314:M316" si="95">+I314*K314</f>
        <v>0</v>
      </c>
      <c r="N314" s="233"/>
      <c r="O314" s="226"/>
      <c r="P314" s="233">
        <f>+INDEX('2025 Billing Determinants'!B:B,MATCH('2025 GSD Rate Class E-13c'!B314,'2025 Billing Determinants'!A:A,0))</f>
        <v>0</v>
      </c>
      <c r="Q314" s="12" t="s">
        <v>730</v>
      </c>
      <c r="R314" s="19">
        <f>+INDEX('Unit Cost Rate Design Input'!D:D,MATCH('2025 GSD Rate Class E-13c'!C314,'Unit Cost Rate Design Input'!B:B,0))</f>
        <v>-2.5099999999999998</v>
      </c>
      <c r="S314" s="233"/>
      <c r="T314" s="12">
        <f t="shared" ref="T314:T316" si="96">+P314*R314</f>
        <v>0</v>
      </c>
      <c r="U314" s="233"/>
      <c r="V314" s="12">
        <f t="shared" si="93"/>
        <v>0</v>
      </c>
      <c r="W314" s="21">
        <f t="shared" si="94"/>
        <v>0</v>
      </c>
    </row>
    <row r="315" spans="2:23" x14ac:dyDescent="0.25">
      <c r="B315" t="s">
        <v>199</v>
      </c>
      <c r="C315" t="s">
        <v>660</v>
      </c>
      <c r="E315" s="233">
        <v>29</v>
      </c>
      <c r="F315" s="233" t="s">
        <v>747</v>
      </c>
      <c r="G315" s="233"/>
      <c r="H315" s="233"/>
      <c r="I315" s="233">
        <f>+INDEX('2025 Org Base Case BDs'!B:B,MATCH('2025 GSD Rate Class E-13c'!B315,'2025 Org Base Case BDs'!A:A,0))</f>
        <v>0</v>
      </c>
      <c r="J315" s="12" t="s">
        <v>730</v>
      </c>
      <c r="K315" s="27">
        <f>+INDEX('2024 Base Rates'!E:E,MATCH('2025 GSD Rate Class E-13c'!C315,'2024 Base Rates'!D:D,0))</f>
        <v>-1.3</v>
      </c>
      <c r="L315" s="233"/>
      <c r="M315" s="12">
        <f t="shared" si="95"/>
        <v>0</v>
      </c>
      <c r="N315" s="233"/>
      <c r="O315" s="226"/>
      <c r="P315" s="233">
        <f>+INDEX('2025 Billing Determinants'!B:B,MATCH('2025 GSD Rate Class E-13c'!B315,'2025 Billing Determinants'!A:A,0))</f>
        <v>0</v>
      </c>
      <c r="Q315" s="12" t="s">
        <v>730</v>
      </c>
      <c r="R315" s="19">
        <f>+INDEX('Unit Cost Rate Design Input'!D:D,MATCH('2025 GSD Rate Class E-13c'!C315,'Unit Cost Rate Design Input'!B:B,0))</f>
        <v>-2.06</v>
      </c>
      <c r="S315" s="233"/>
      <c r="T315" s="12">
        <f t="shared" si="96"/>
        <v>0</v>
      </c>
      <c r="U315" s="233"/>
      <c r="V315" s="12">
        <f t="shared" si="93"/>
        <v>0</v>
      </c>
      <c r="W315" s="21">
        <f t="shared" si="94"/>
        <v>0</v>
      </c>
    </row>
    <row r="316" spans="2:23" x14ac:dyDescent="0.25">
      <c r="B316" t="s">
        <v>200</v>
      </c>
      <c r="C316" t="s">
        <v>661</v>
      </c>
      <c r="E316" s="233">
        <v>30</v>
      </c>
      <c r="F316" s="233" t="s">
        <v>770</v>
      </c>
      <c r="G316" s="233"/>
      <c r="H316" s="233"/>
      <c r="I316" s="233">
        <f>+INDEX('2025 Org Base Case BDs'!B:B,MATCH('2025 GSD Rate Class E-13c'!B316,'2025 Org Base Case BDs'!A:A,0))</f>
        <v>0</v>
      </c>
      <c r="J316" s="12" t="s">
        <v>730</v>
      </c>
      <c r="K316" s="27">
        <f>+INDEX('2024 Base Rates'!E:E,MATCH('2025 GSD Rate Class E-13c'!C316,'2024 Base Rates'!D:D,0))</f>
        <v>-1.71</v>
      </c>
      <c r="L316" s="233"/>
      <c r="M316" s="12">
        <f t="shared" si="95"/>
        <v>0</v>
      </c>
      <c r="N316" s="233"/>
      <c r="O316" s="226"/>
      <c r="P316" s="233">
        <f>+INDEX('2025 Billing Determinants'!B:B,MATCH('2025 GSD Rate Class E-13c'!B316,'2025 Billing Determinants'!A:A,0))</f>
        <v>0</v>
      </c>
      <c r="Q316" s="12" t="s">
        <v>730</v>
      </c>
      <c r="R316" s="19">
        <f>+INDEX('Unit Cost Rate Design Input'!D:D,MATCH('2025 GSD Rate Class E-13c'!C316,'Unit Cost Rate Design Input'!B:B,0))</f>
        <v>-2.5099999999999998</v>
      </c>
      <c r="S316" s="233"/>
      <c r="T316" s="12">
        <f t="shared" si="96"/>
        <v>0</v>
      </c>
      <c r="U316" s="233"/>
      <c r="V316" s="12">
        <f t="shared" si="93"/>
        <v>0</v>
      </c>
      <c r="W316" s="21">
        <f t="shared" si="94"/>
        <v>0</v>
      </c>
    </row>
    <row r="317" spans="2:23" x14ac:dyDescent="0.25">
      <c r="E317" s="233">
        <v>31</v>
      </c>
      <c r="F317" s="11" t="s">
        <v>748</v>
      </c>
      <c r="G317" s="15"/>
      <c r="H317" s="233"/>
      <c r="I317" s="388">
        <f>+SUM(I307:I310,I313:I316)</f>
        <v>0</v>
      </c>
      <c r="J317" s="12" t="s">
        <v>730</v>
      </c>
      <c r="K317" s="12"/>
      <c r="L317" s="12"/>
      <c r="M317" s="54">
        <f>+SUM(M307:M310,M313:M316)</f>
        <v>0</v>
      </c>
      <c r="N317" s="12"/>
      <c r="O317" s="22"/>
      <c r="P317" s="388">
        <f>+SUM(P307:P310,P313:P316)</f>
        <v>0</v>
      </c>
      <c r="Q317" s="12" t="s">
        <v>730</v>
      </c>
      <c r="R317" s="12"/>
      <c r="S317" s="12"/>
      <c r="T317" s="54">
        <f>+SUM(T307:T310,T313:T316)</f>
        <v>0</v>
      </c>
      <c r="U317" s="233"/>
      <c r="V317" s="12">
        <f t="shared" si="93"/>
        <v>0</v>
      </c>
      <c r="W317" s="21">
        <f t="shared" si="94"/>
        <v>0</v>
      </c>
    </row>
    <row r="318" spans="2:23" x14ac:dyDescent="0.25">
      <c r="E318" s="233">
        <v>32</v>
      </c>
      <c r="F318" s="233"/>
      <c r="G318" s="233"/>
      <c r="H318" s="233"/>
      <c r="I318" s="354"/>
      <c r="J318" s="233"/>
      <c r="K318" s="233"/>
      <c r="L318" s="233"/>
      <c r="M318" s="354"/>
      <c r="N318" s="233"/>
      <c r="O318" s="226"/>
      <c r="P318" s="354"/>
      <c r="Q318" s="233"/>
      <c r="R318" s="233"/>
      <c r="S318" s="233"/>
      <c r="T318" s="354"/>
      <c r="U318" s="233"/>
      <c r="V318" s="233"/>
      <c r="W318" s="23"/>
    </row>
    <row r="319" spans="2:23" x14ac:dyDescent="0.25">
      <c r="E319" s="233">
        <v>33</v>
      </c>
      <c r="F319" s="233"/>
      <c r="G319" s="233"/>
      <c r="H319" s="233"/>
      <c r="I319" s="354"/>
      <c r="J319" s="233"/>
      <c r="K319" s="233"/>
      <c r="L319" s="233"/>
      <c r="M319" s="354"/>
      <c r="N319" s="233"/>
      <c r="O319" s="226"/>
      <c r="P319" s="354"/>
      <c r="Q319" s="233"/>
      <c r="R319" s="233"/>
      <c r="S319" s="233"/>
      <c r="T319" s="354"/>
      <c r="U319" s="233"/>
      <c r="V319" s="233"/>
      <c r="W319" s="23"/>
    </row>
    <row r="320" spans="2:23" x14ac:dyDescent="0.25">
      <c r="E320" s="233">
        <v>34</v>
      </c>
      <c r="F320" s="233"/>
      <c r="G320" s="233"/>
      <c r="H320" s="233"/>
      <c r="I320" s="354"/>
      <c r="J320" s="233"/>
      <c r="K320" s="233"/>
      <c r="L320" s="233"/>
      <c r="M320" s="354"/>
      <c r="N320" s="233"/>
      <c r="O320" s="226"/>
      <c r="P320" s="354"/>
      <c r="Q320" s="233"/>
      <c r="R320" s="233"/>
      <c r="S320" s="233"/>
      <c r="T320" s="354"/>
      <c r="U320" s="233"/>
      <c r="V320" s="233"/>
      <c r="W320" s="23"/>
    </row>
    <row r="321" spans="5:23" x14ac:dyDescent="0.25">
      <c r="E321" s="233">
        <v>35</v>
      </c>
      <c r="F321" s="233"/>
      <c r="G321" s="233"/>
      <c r="H321" s="233"/>
      <c r="I321" s="354"/>
      <c r="J321" s="233"/>
      <c r="K321" s="233"/>
      <c r="L321" s="233"/>
      <c r="M321" s="354"/>
      <c r="N321" s="233"/>
      <c r="O321" s="226"/>
      <c r="P321" s="354"/>
      <c r="Q321" s="233"/>
      <c r="R321" s="233"/>
      <c r="S321" s="233"/>
      <c r="T321" s="354"/>
      <c r="U321" s="233"/>
      <c r="V321" s="233"/>
      <c r="W321" s="23"/>
    </row>
    <row r="322" spans="5:23" x14ac:dyDescent="0.25">
      <c r="E322" s="233">
        <v>36</v>
      </c>
      <c r="F322" s="233"/>
      <c r="G322" s="233"/>
      <c r="H322" s="233"/>
      <c r="I322" s="354"/>
      <c r="J322" s="233"/>
      <c r="K322" s="233"/>
      <c r="L322" s="233"/>
      <c r="M322" s="354"/>
      <c r="N322" s="233"/>
      <c r="O322" s="226"/>
      <c r="P322" s="354"/>
      <c r="Q322" s="233"/>
      <c r="R322" s="233"/>
      <c r="S322" s="233"/>
      <c r="T322" s="354"/>
      <c r="U322" s="233"/>
      <c r="V322" s="233"/>
      <c r="W322" s="23"/>
    </row>
    <row r="323" spans="5:23" x14ac:dyDescent="0.25">
      <c r="E323" s="233">
        <v>37</v>
      </c>
      <c r="F323" s="233"/>
      <c r="G323" s="233"/>
      <c r="H323" s="233"/>
      <c r="I323" s="354"/>
      <c r="J323" s="233"/>
      <c r="K323" s="233"/>
      <c r="L323" s="233"/>
      <c r="M323" s="354"/>
      <c r="N323" s="233"/>
      <c r="O323" s="226"/>
      <c r="P323" s="354"/>
      <c r="Q323" s="233"/>
      <c r="R323" s="233"/>
      <c r="S323" s="233"/>
      <c r="T323" s="354"/>
      <c r="U323" s="233"/>
      <c r="V323" s="233"/>
      <c r="W323" s="23"/>
    </row>
    <row r="324" spans="5:23" x14ac:dyDescent="0.25">
      <c r="E324" s="233">
        <v>38</v>
      </c>
      <c r="F324" s="233"/>
      <c r="G324" s="233"/>
      <c r="H324" s="233"/>
      <c r="I324" s="354"/>
      <c r="J324" s="233"/>
      <c r="K324" s="233"/>
      <c r="L324" s="233"/>
      <c r="M324" s="354"/>
      <c r="N324" s="233"/>
      <c r="O324" s="226"/>
      <c r="P324" s="354"/>
      <c r="Q324" s="233"/>
      <c r="R324" s="233"/>
      <c r="S324" s="233"/>
      <c r="T324" s="354"/>
      <c r="U324" s="233"/>
      <c r="V324" s="233"/>
      <c r="W324" s="23"/>
    </row>
    <row r="325" spans="5:23" ht="15.75" thickBot="1" x14ac:dyDescent="0.3">
      <c r="E325" s="306">
        <v>39</v>
      </c>
      <c r="F325" s="306"/>
      <c r="G325" s="306"/>
      <c r="H325" s="306"/>
      <c r="I325" s="306"/>
      <c r="J325" s="306"/>
      <c r="K325" s="306"/>
      <c r="L325" s="306"/>
      <c r="M325" s="306"/>
      <c r="N325" s="306"/>
      <c r="O325" s="314"/>
      <c r="P325" s="306"/>
      <c r="Q325" s="306"/>
      <c r="R325" s="306"/>
      <c r="S325" s="306"/>
      <c r="T325" s="306"/>
      <c r="U325" s="306"/>
      <c r="V325" s="306"/>
      <c r="W325" s="326"/>
    </row>
    <row r="326" spans="5:23" x14ac:dyDescent="0.25">
      <c r="E326" s="233"/>
      <c r="F326" s="233"/>
      <c r="G326" s="233"/>
      <c r="H326" s="233"/>
      <c r="I326" s="233"/>
      <c r="J326" s="233"/>
      <c r="K326" s="233"/>
      <c r="L326" s="233"/>
      <c r="M326" s="233"/>
      <c r="N326" s="233"/>
      <c r="O326" s="226"/>
      <c r="P326" s="233"/>
      <c r="Q326" s="233"/>
      <c r="R326" s="233"/>
      <c r="S326" s="233"/>
      <c r="T326" s="233"/>
      <c r="U326" s="233"/>
      <c r="V326" s="233"/>
      <c r="W326" s="233" t="s">
        <v>304</v>
      </c>
    </row>
    <row r="327" spans="5:23" x14ac:dyDescent="0.25">
      <c r="E327" s="233"/>
      <c r="F327" s="233"/>
      <c r="G327" s="233"/>
      <c r="H327" s="233"/>
      <c r="I327" s="233"/>
      <c r="J327" s="233"/>
      <c r="K327" s="233"/>
      <c r="L327" s="590"/>
      <c r="M327" s="590"/>
      <c r="N327" s="590"/>
      <c r="O327" s="590"/>
      <c r="P327" s="590"/>
      <c r="Q327" s="233"/>
      <c r="R327" s="233"/>
      <c r="S327" s="233"/>
      <c r="T327" s="233"/>
      <c r="U327" s="233"/>
      <c r="V327" s="233"/>
      <c r="W327" s="233"/>
    </row>
    <row r="328" spans="5:23" ht="15.75" thickBot="1" x14ac:dyDescent="0.3">
      <c r="E328" s="306" t="s">
        <v>305</v>
      </c>
      <c r="F328" s="306"/>
      <c r="G328" s="306"/>
      <c r="H328" s="306"/>
      <c r="I328" s="306"/>
      <c r="J328" s="306"/>
      <c r="K328" s="306"/>
      <c r="L328" s="591" t="s">
        <v>306</v>
      </c>
      <c r="M328" s="591"/>
      <c r="N328" s="591"/>
      <c r="O328" s="591"/>
      <c r="P328" s="591"/>
      <c r="Q328" s="306"/>
      <c r="R328" s="306"/>
      <c r="S328" s="306"/>
      <c r="T328" s="306"/>
      <c r="U328" s="306"/>
      <c r="V328" s="306"/>
      <c r="W328" s="326" t="s">
        <v>884</v>
      </c>
    </row>
    <row r="329" spans="5:23" x14ac:dyDescent="0.25">
      <c r="E329" s="233" t="s">
        <v>307</v>
      </c>
      <c r="F329" s="233"/>
      <c r="G329" s="233"/>
      <c r="H329" s="233"/>
      <c r="I329" s="233" t="s">
        <v>308</v>
      </c>
      <c r="J329" s="233" t="s">
        <v>913</v>
      </c>
      <c r="K329" s="233"/>
      <c r="L329" s="233"/>
      <c r="M329" s="233"/>
      <c r="N329" s="233"/>
      <c r="O329" s="316"/>
      <c r="P329" s="309"/>
      <c r="Q329" s="233"/>
      <c r="R329" s="309"/>
      <c r="S329" s="309"/>
      <c r="T329" s="309" t="s">
        <v>309</v>
      </c>
      <c r="U329" s="233"/>
      <c r="V329" s="233"/>
      <c r="W329" s="310"/>
    </row>
    <row r="330" spans="5:23" x14ac:dyDescent="0.25">
      <c r="E330" s="233"/>
      <c r="F330" s="233"/>
      <c r="G330" s="233"/>
      <c r="H330" s="233"/>
      <c r="I330" s="233"/>
      <c r="J330" s="233" t="s">
        <v>914</v>
      </c>
      <c r="K330" s="233"/>
      <c r="L330" s="233"/>
      <c r="M330" s="233"/>
      <c r="N330" s="233"/>
      <c r="O330" s="226"/>
      <c r="P330" s="310"/>
      <c r="Q330" s="233"/>
      <c r="R330" s="233"/>
      <c r="S330" s="311"/>
      <c r="T330" s="311" t="s">
        <v>919</v>
      </c>
      <c r="U330" s="310" t="s">
        <v>920</v>
      </c>
      <c r="V330" s="233"/>
      <c r="W330" s="311"/>
    </row>
    <row r="331" spans="5:23" x14ac:dyDescent="0.25">
      <c r="E331" s="233" t="s">
        <v>310</v>
      </c>
      <c r="F331" s="233"/>
      <c r="G331" s="233"/>
      <c r="H331" s="233"/>
      <c r="I331" s="233"/>
      <c r="J331" s="233" t="s">
        <v>915</v>
      </c>
      <c r="K331" s="233"/>
      <c r="L331" s="233"/>
      <c r="M331" s="233"/>
      <c r="N331" s="233"/>
      <c r="O331" s="226"/>
      <c r="P331" s="310"/>
      <c r="Q331" s="311"/>
      <c r="R331" s="233"/>
      <c r="S331" s="233"/>
      <c r="T331" s="311"/>
      <c r="U331" s="310" t="s">
        <v>937</v>
      </c>
      <c r="V331" s="233"/>
      <c r="W331" s="311"/>
    </row>
    <row r="332" spans="5:23" x14ac:dyDescent="0.25">
      <c r="E332" s="233"/>
      <c r="F332" s="233"/>
      <c r="G332" s="233"/>
      <c r="H332" s="233"/>
      <c r="I332" s="233"/>
      <c r="J332" s="233" t="s">
        <v>916</v>
      </c>
      <c r="K332" s="233"/>
      <c r="L332" s="233"/>
      <c r="M332" s="233"/>
      <c r="N332" s="233"/>
      <c r="O332" s="226"/>
      <c r="P332" s="310"/>
      <c r="Q332" s="311"/>
      <c r="R332" s="233"/>
      <c r="S332" s="233"/>
      <c r="T332" s="311"/>
      <c r="U332" s="310" t="s">
        <v>938</v>
      </c>
      <c r="V332" s="233"/>
      <c r="W332" s="311"/>
    </row>
    <row r="333" spans="5:23" x14ac:dyDescent="0.25">
      <c r="E333" s="233"/>
      <c r="F333" s="233"/>
      <c r="G333" s="311"/>
      <c r="H333" s="233"/>
      <c r="I333" s="233"/>
      <c r="J333" s="233" t="s">
        <v>917</v>
      </c>
      <c r="K333" s="233"/>
      <c r="L333" s="317"/>
      <c r="M333" s="317"/>
      <c r="N333" s="317"/>
      <c r="O333" s="226"/>
      <c r="P333" s="233"/>
      <c r="Q333" s="233"/>
      <c r="R333" s="233"/>
      <c r="S333" s="233"/>
      <c r="T333" s="233"/>
      <c r="U333" s="233" t="s">
        <v>311</v>
      </c>
      <c r="V333" s="233"/>
      <c r="W333" s="233"/>
    </row>
    <row r="334" spans="5:23" ht="15.75" thickBot="1" x14ac:dyDescent="0.3">
      <c r="E334" s="306" t="s">
        <v>1642</v>
      </c>
      <c r="F334" s="306"/>
      <c r="G334" s="326"/>
      <c r="H334" s="319"/>
      <c r="I334" s="319"/>
      <c r="J334" s="361" t="s">
        <v>918</v>
      </c>
      <c r="K334" s="361"/>
      <c r="L334" s="319"/>
      <c r="M334" s="319"/>
      <c r="N334" s="319"/>
      <c r="O334" s="319"/>
      <c r="P334" s="319"/>
      <c r="Q334" s="319"/>
      <c r="R334" s="319"/>
      <c r="S334" s="319"/>
      <c r="T334" s="319"/>
      <c r="U334" s="319"/>
      <c r="V334" s="319"/>
      <c r="W334" s="319"/>
    </row>
    <row r="335" spans="5:23" x14ac:dyDescent="0.25">
      <c r="E335" s="233"/>
      <c r="F335" s="233"/>
      <c r="G335" s="233"/>
      <c r="H335" s="233"/>
      <c r="I335" s="317"/>
      <c r="J335" s="233"/>
      <c r="K335" s="317"/>
      <c r="L335" s="362"/>
      <c r="M335" s="317"/>
      <c r="N335" s="233"/>
      <c r="O335" s="317"/>
      <c r="P335" s="233"/>
      <c r="Q335" s="362"/>
      <c r="R335" s="233"/>
      <c r="S335" s="233"/>
      <c r="T335" s="233"/>
      <c r="U335" s="233"/>
      <c r="V335" s="233"/>
      <c r="W335" s="233"/>
    </row>
    <row r="336" spans="5:23" x14ac:dyDescent="0.25">
      <c r="E336" s="233"/>
      <c r="F336" s="233"/>
      <c r="G336" s="233"/>
      <c r="H336" s="233"/>
      <c r="I336" s="362"/>
      <c r="J336" s="233"/>
      <c r="K336" s="233"/>
      <c r="L336" s="362"/>
      <c r="M336" s="233"/>
      <c r="N336" s="233"/>
      <c r="O336" s="317"/>
      <c r="P336" s="233"/>
      <c r="Q336" s="362"/>
      <c r="R336" s="233"/>
      <c r="S336" s="233"/>
      <c r="T336" s="233"/>
      <c r="U336" s="233"/>
      <c r="V336" s="233"/>
      <c r="W336" s="233"/>
    </row>
    <row r="337" spans="1:23" x14ac:dyDescent="0.25">
      <c r="E337" s="233"/>
      <c r="F337" s="233"/>
      <c r="G337" s="233"/>
      <c r="H337" s="233"/>
      <c r="I337" s="233"/>
      <c r="J337" s="362"/>
      <c r="K337" s="362"/>
      <c r="L337" s="363"/>
      <c r="M337" s="363" t="s">
        <v>312</v>
      </c>
      <c r="N337" s="317"/>
      <c r="O337" s="364" t="s">
        <v>396</v>
      </c>
      <c r="P337" s="362"/>
      <c r="Q337" s="233"/>
      <c r="R337" s="362"/>
      <c r="S337" s="362"/>
      <c r="T337" s="362"/>
      <c r="U337" s="362"/>
      <c r="V337" s="362"/>
      <c r="W337" s="233"/>
    </row>
    <row r="338" spans="1:23" x14ac:dyDescent="0.25">
      <c r="E338" s="233"/>
      <c r="F338" s="233"/>
      <c r="G338" s="233"/>
      <c r="H338" s="233"/>
      <c r="I338" s="233"/>
      <c r="J338" s="362"/>
      <c r="K338" s="362"/>
      <c r="L338" s="362"/>
      <c r="M338" s="362"/>
      <c r="N338" s="362"/>
      <c r="O338" s="317"/>
      <c r="P338" s="362"/>
      <c r="Q338" s="362"/>
      <c r="R338" s="362"/>
      <c r="S338" s="362"/>
      <c r="T338" s="362"/>
      <c r="U338" s="362"/>
      <c r="V338" s="362"/>
      <c r="W338" s="362"/>
    </row>
    <row r="339" spans="1:23" x14ac:dyDescent="0.25">
      <c r="E339" s="226" t="s">
        <v>314</v>
      </c>
      <c r="F339" s="371" t="s">
        <v>315</v>
      </c>
      <c r="G339" s="2"/>
      <c r="H339" s="3"/>
      <c r="I339" s="4"/>
      <c r="J339" s="4"/>
      <c r="K339" s="5" t="s">
        <v>316</v>
      </c>
      <c r="L339" s="4"/>
      <c r="M339" s="4"/>
      <c r="N339" s="2"/>
      <c r="O339" s="6"/>
      <c r="P339" s="4"/>
      <c r="Q339" s="5"/>
      <c r="R339" s="5" t="s">
        <v>317</v>
      </c>
      <c r="S339" s="4"/>
      <c r="T339" s="4"/>
      <c r="U339" s="2"/>
      <c r="V339" s="7" t="s">
        <v>318</v>
      </c>
      <c r="W339" s="7" t="s">
        <v>319</v>
      </c>
    </row>
    <row r="340" spans="1:23" ht="15.75" thickBot="1" x14ac:dyDescent="0.3">
      <c r="A340" s="216" t="s">
        <v>810</v>
      </c>
      <c r="B340" s="216" t="s">
        <v>552</v>
      </c>
      <c r="C340" s="216" t="s">
        <v>553</v>
      </c>
      <c r="E340" s="314" t="s">
        <v>320</v>
      </c>
      <c r="F340" s="367" t="s">
        <v>321</v>
      </c>
      <c r="G340" s="8"/>
      <c r="H340" s="306"/>
      <c r="I340" s="314" t="s">
        <v>322</v>
      </c>
      <c r="J340" s="9"/>
      <c r="K340" s="9" t="s">
        <v>323</v>
      </c>
      <c r="L340" s="9"/>
      <c r="M340" s="9" t="s">
        <v>324</v>
      </c>
      <c r="N340" s="9"/>
      <c r="O340" s="9"/>
      <c r="P340" s="9" t="s">
        <v>322</v>
      </c>
      <c r="Q340" s="9"/>
      <c r="R340" s="9" t="s">
        <v>323</v>
      </c>
      <c r="S340" s="9"/>
      <c r="T340" s="9" t="s">
        <v>324</v>
      </c>
      <c r="U340" s="8"/>
      <c r="V340" s="10" t="s">
        <v>325</v>
      </c>
      <c r="W340" s="10" t="s">
        <v>326</v>
      </c>
    </row>
    <row r="341" spans="1:23" x14ac:dyDescent="0.25">
      <c r="E341" s="233">
        <v>1</v>
      </c>
      <c r="F341" s="592" t="s">
        <v>805</v>
      </c>
      <c r="G341" s="592"/>
      <c r="H341" s="592"/>
      <c r="I341" s="233"/>
      <c r="J341" s="15"/>
      <c r="K341" s="15"/>
      <c r="L341" s="15"/>
      <c r="M341" s="15"/>
      <c r="N341" s="11"/>
      <c r="O341" s="6"/>
      <c r="P341" s="11"/>
      <c r="Q341" s="15"/>
      <c r="R341" s="15"/>
      <c r="S341" s="15"/>
      <c r="T341" s="15"/>
      <c r="U341" s="15"/>
      <c r="V341" s="15"/>
      <c r="W341" s="15"/>
    </row>
    <row r="342" spans="1:23" x14ac:dyDescent="0.25">
      <c r="E342" s="233">
        <v>2</v>
      </c>
      <c r="F342" s="233"/>
      <c r="G342" s="233"/>
      <c r="H342" s="233"/>
      <c r="I342" s="233"/>
      <c r="J342" s="233"/>
      <c r="K342" s="233"/>
      <c r="L342" s="233"/>
      <c r="M342" s="233"/>
      <c r="N342" s="233"/>
      <c r="O342" s="226"/>
      <c r="P342" s="233"/>
      <c r="Q342" s="233"/>
      <c r="R342" s="233"/>
      <c r="S342" s="233"/>
      <c r="T342" s="233"/>
      <c r="U342" s="233"/>
      <c r="V342" s="233"/>
      <c r="W342" s="233"/>
    </row>
    <row r="343" spans="1:23" x14ac:dyDescent="0.25">
      <c r="E343" s="233">
        <v>3</v>
      </c>
      <c r="F343" s="11" t="s">
        <v>767</v>
      </c>
      <c r="G343" s="233"/>
      <c r="H343" s="233"/>
      <c r="I343" s="354"/>
      <c r="J343" s="12"/>
      <c r="K343" s="12"/>
      <c r="L343" s="12"/>
      <c r="M343" s="12"/>
      <c r="N343" s="12"/>
      <c r="O343" s="22"/>
      <c r="P343" s="354"/>
      <c r="Q343" s="12"/>
      <c r="R343" s="12"/>
      <c r="S343" s="12"/>
      <c r="T343" s="12"/>
      <c r="U343" s="233"/>
      <c r="V343" s="233"/>
      <c r="W343" s="23"/>
    </row>
    <row r="344" spans="1:23" x14ac:dyDescent="0.25">
      <c r="B344" t="s">
        <v>105</v>
      </c>
      <c r="C344" t="s">
        <v>663</v>
      </c>
      <c r="E344" s="233">
        <v>4</v>
      </c>
      <c r="F344" s="359" t="s">
        <v>773</v>
      </c>
      <c r="G344" s="11"/>
      <c r="H344" s="233"/>
      <c r="I344" s="233">
        <f>+INDEX('2025 Org Base Case BDs'!B:B,MATCH('2025 GSD Rate Class E-13c'!B344,'2025 Org Base Case BDs'!A:A,0))</f>
        <v>0</v>
      </c>
      <c r="J344" s="12" t="s">
        <v>730</v>
      </c>
      <c r="K344" s="27">
        <f>+INDEX('2024 Base Rates'!E:E,MATCH('2025 GSD Rate Class E-13c'!C344,'2024 Base Rates'!D:D,0))</f>
        <v>0.68</v>
      </c>
      <c r="L344" s="12"/>
      <c r="M344" s="12">
        <f>+I344*K344</f>
        <v>0</v>
      </c>
      <c r="N344" s="12"/>
      <c r="O344" s="22"/>
      <c r="P344" s="233">
        <f>+INDEX('2025 Billing Determinants'!B:B,MATCH('2025 GSD Rate Class E-13c'!B344,'2025 Billing Determinants'!A:A,0))</f>
        <v>0</v>
      </c>
      <c r="Q344" s="12" t="s">
        <v>730</v>
      </c>
      <c r="R344" s="19">
        <f>+INDEX('Unit Cost Rate Design Input'!D:D,MATCH('2025 GSD Rate Class E-13c'!C344,'Unit Cost Rate Design Input'!B:B,0))</f>
        <v>1.02</v>
      </c>
      <c r="S344" s="12"/>
      <c r="T344" s="12">
        <f>+P344*R344</f>
        <v>0</v>
      </c>
      <c r="U344" s="233"/>
      <c r="V344" s="12">
        <f t="shared" ref="V344:V350" si="97">+T344-M344</f>
        <v>0</v>
      </c>
      <c r="W344" s="21">
        <f t="shared" ref="W344:W350" si="98">+IF(V344=0,0,(T344-M344)/M344)</f>
        <v>0</v>
      </c>
    </row>
    <row r="345" spans="1:23" x14ac:dyDescent="0.25">
      <c r="B345" t="s">
        <v>106</v>
      </c>
      <c r="C345" t="s">
        <v>664</v>
      </c>
      <c r="E345" s="233">
        <v>5</v>
      </c>
      <c r="F345" s="359" t="s">
        <v>746</v>
      </c>
      <c r="G345" s="11"/>
      <c r="H345" s="233"/>
      <c r="I345" s="233">
        <f>+INDEX('2025 Org Base Case BDs'!B:B,MATCH('2025 GSD Rate Class E-13c'!B345,'2025 Org Base Case BDs'!A:A,0))</f>
        <v>0</v>
      </c>
      <c r="J345" s="12" t="s">
        <v>730</v>
      </c>
      <c r="K345" s="27">
        <f>+INDEX('2024 Base Rates'!E:E,MATCH('2025 GSD Rate Class E-13c'!C345,'2024 Base Rates'!D:D,0))</f>
        <v>0.68</v>
      </c>
      <c r="L345" s="12"/>
      <c r="M345" s="12">
        <f t="shared" ref="M345:M349" si="99">+I345*K345</f>
        <v>0</v>
      </c>
      <c r="N345" s="12"/>
      <c r="O345" s="22"/>
      <c r="P345" s="233">
        <f>+INDEX('2025 Billing Determinants'!B:B,MATCH('2025 GSD Rate Class E-13c'!B345,'2025 Billing Determinants'!A:A,0))</f>
        <v>0</v>
      </c>
      <c r="Q345" s="12" t="s">
        <v>730</v>
      </c>
      <c r="R345" s="19">
        <f>+INDEX('Unit Cost Rate Design Input'!D:D,MATCH('2025 GSD Rate Class E-13c'!C345,'Unit Cost Rate Design Input'!B:B,0))</f>
        <v>1.02</v>
      </c>
      <c r="S345" s="12"/>
      <c r="T345" s="12">
        <f t="shared" ref="T345:T349" si="100">+P345*R345</f>
        <v>0</v>
      </c>
      <c r="U345" s="233"/>
      <c r="V345" s="12">
        <f t="shared" si="97"/>
        <v>0</v>
      </c>
      <c r="W345" s="21">
        <f t="shared" si="98"/>
        <v>0</v>
      </c>
    </row>
    <row r="346" spans="1:23" x14ac:dyDescent="0.25">
      <c r="B346" t="s">
        <v>107</v>
      </c>
      <c r="C346" t="s">
        <v>665</v>
      </c>
      <c r="E346" s="233">
        <v>6</v>
      </c>
      <c r="F346" s="359" t="s">
        <v>769</v>
      </c>
      <c r="G346" s="233"/>
      <c r="H346" s="233"/>
      <c r="I346" s="233">
        <f>+INDEX('2025 Org Base Case BDs'!B:B,MATCH('2025 GSD Rate Class E-13c'!B346,'2025 Org Base Case BDs'!A:A,0))</f>
        <v>0</v>
      </c>
      <c r="J346" s="12" t="s">
        <v>730</v>
      </c>
      <c r="K346" s="27">
        <f>+INDEX('2024 Base Rates'!E:E,MATCH('2025 GSD Rate Class E-13c'!C346,'2024 Base Rates'!D:D,0))</f>
        <v>0.68</v>
      </c>
      <c r="L346" s="12"/>
      <c r="M346" s="12">
        <f t="shared" si="99"/>
        <v>0</v>
      </c>
      <c r="N346" s="12"/>
      <c r="O346" s="22"/>
      <c r="P346" s="233">
        <f>+INDEX('2025 Billing Determinants'!B:B,MATCH('2025 GSD Rate Class E-13c'!B346,'2025 Billing Determinants'!A:A,0))</f>
        <v>0</v>
      </c>
      <c r="Q346" s="12" t="s">
        <v>730</v>
      </c>
      <c r="R346" s="19">
        <f>+INDEX('Unit Cost Rate Design Input'!D:D,MATCH('2025 GSD Rate Class E-13c'!C346,'Unit Cost Rate Design Input'!B:B,0))</f>
        <v>1.02</v>
      </c>
      <c r="S346" s="12"/>
      <c r="T346" s="12">
        <f t="shared" si="100"/>
        <v>0</v>
      </c>
      <c r="U346" s="233"/>
      <c r="V346" s="12">
        <f t="shared" si="97"/>
        <v>0</v>
      </c>
      <c r="W346" s="21">
        <f t="shared" si="98"/>
        <v>0</v>
      </c>
    </row>
    <row r="347" spans="1:23" x14ac:dyDescent="0.25">
      <c r="B347" t="s">
        <v>146</v>
      </c>
      <c r="C347" t="s">
        <v>666</v>
      </c>
      <c r="E347" s="233">
        <v>7</v>
      </c>
      <c r="F347" s="233" t="s">
        <v>774</v>
      </c>
      <c r="G347" s="233"/>
      <c r="H347" s="233"/>
      <c r="I347" s="233">
        <f>+INDEX('2025 Org Base Case BDs'!B:B,MATCH('2025 GSD Rate Class E-13c'!B347,'2025 Org Base Case BDs'!A:A,0))</f>
        <v>0</v>
      </c>
      <c r="J347" s="12" t="s">
        <v>730</v>
      </c>
      <c r="K347" s="27">
        <f>+INDEX('2024 Base Rates'!E:E,MATCH('2025 GSD Rate Class E-13c'!C347,'2024 Base Rates'!D:D,0))</f>
        <v>0.68</v>
      </c>
      <c r="L347" s="12"/>
      <c r="M347" s="12">
        <f t="shared" si="99"/>
        <v>0</v>
      </c>
      <c r="N347" s="12"/>
      <c r="O347" s="22"/>
      <c r="P347" s="233">
        <f>+INDEX('2025 Billing Determinants'!B:B,MATCH('2025 GSD Rate Class E-13c'!B347,'2025 Billing Determinants'!A:A,0))</f>
        <v>0</v>
      </c>
      <c r="Q347" s="12" t="s">
        <v>730</v>
      </c>
      <c r="R347" s="19">
        <f>+INDEX('Unit Cost Rate Design Input'!D:D,MATCH('2025 GSD Rate Class E-13c'!C347,'Unit Cost Rate Design Input'!B:B,0))</f>
        <v>1.02</v>
      </c>
      <c r="S347" s="12"/>
      <c r="T347" s="12">
        <f t="shared" si="100"/>
        <v>0</v>
      </c>
      <c r="U347" s="233"/>
      <c r="V347" s="12">
        <f t="shared" si="97"/>
        <v>0</v>
      </c>
      <c r="W347" s="21">
        <f t="shared" si="98"/>
        <v>0</v>
      </c>
    </row>
    <row r="348" spans="1:23" x14ac:dyDescent="0.25">
      <c r="B348" t="s">
        <v>147</v>
      </c>
      <c r="C348" t="s">
        <v>667</v>
      </c>
      <c r="E348" s="233">
        <v>8</v>
      </c>
      <c r="F348" s="233" t="s">
        <v>747</v>
      </c>
      <c r="G348" s="233"/>
      <c r="H348" s="233"/>
      <c r="I348" s="233">
        <f>+INDEX('2025 Org Base Case BDs'!B:B,MATCH('2025 GSD Rate Class E-13c'!B348,'2025 Org Base Case BDs'!A:A,0))</f>
        <v>0</v>
      </c>
      <c r="J348" s="12" t="s">
        <v>730</v>
      </c>
      <c r="K348" s="27">
        <f>+INDEX('2024 Base Rates'!E:E,MATCH('2025 GSD Rate Class E-13c'!C348,'2024 Base Rates'!D:D,0))</f>
        <v>0.68</v>
      </c>
      <c r="L348" s="12"/>
      <c r="M348" s="12">
        <f t="shared" si="99"/>
        <v>0</v>
      </c>
      <c r="N348" s="12"/>
      <c r="O348" s="22"/>
      <c r="P348" s="233">
        <f>+INDEX('2025 Billing Determinants'!B:B,MATCH('2025 GSD Rate Class E-13c'!B348,'2025 Billing Determinants'!A:A,0))</f>
        <v>0</v>
      </c>
      <c r="Q348" s="12" t="s">
        <v>730</v>
      </c>
      <c r="R348" s="19">
        <f>+INDEX('Unit Cost Rate Design Input'!D:D,MATCH('2025 GSD Rate Class E-13c'!C348,'Unit Cost Rate Design Input'!B:B,0))</f>
        <v>1.02</v>
      </c>
      <c r="S348" s="12"/>
      <c r="T348" s="12">
        <f t="shared" si="100"/>
        <v>0</v>
      </c>
      <c r="U348" s="233"/>
      <c r="V348" s="12">
        <f t="shared" si="97"/>
        <v>0</v>
      </c>
      <c r="W348" s="21">
        <f t="shared" si="98"/>
        <v>0</v>
      </c>
    </row>
    <row r="349" spans="1:23" x14ac:dyDescent="0.25">
      <c r="B349" t="s">
        <v>148</v>
      </c>
      <c r="C349" t="s">
        <v>668</v>
      </c>
      <c r="E349" s="233">
        <v>9</v>
      </c>
      <c r="F349" s="233" t="s">
        <v>770</v>
      </c>
      <c r="G349" s="233"/>
      <c r="H349" s="233"/>
      <c r="I349" s="376">
        <f>+INDEX('2025 Org Base Case BDs'!B:B,MATCH('2025 GSD Rate Class E-13c'!B349,'2025 Org Base Case BDs'!A:A,0))</f>
        <v>0</v>
      </c>
      <c r="J349" s="12" t="s">
        <v>730</v>
      </c>
      <c r="K349" s="27">
        <f>+INDEX('2024 Base Rates'!E:E,MATCH('2025 GSD Rate Class E-13c'!C349,'2024 Base Rates'!D:D,0))</f>
        <v>0.68</v>
      </c>
      <c r="L349" s="233"/>
      <c r="M349" s="12">
        <f t="shared" si="99"/>
        <v>0</v>
      </c>
      <c r="N349" s="233"/>
      <c r="O349" s="226"/>
      <c r="P349" s="376">
        <f>+INDEX('2025 Billing Determinants'!B:B,MATCH('2025 GSD Rate Class E-13c'!B349,'2025 Billing Determinants'!A:A,0))</f>
        <v>0</v>
      </c>
      <c r="Q349" s="12" t="s">
        <v>730</v>
      </c>
      <c r="R349" s="19">
        <f>+INDEX('Unit Cost Rate Design Input'!D:D,MATCH('2025 GSD Rate Class E-13c'!C349,'Unit Cost Rate Design Input'!B:B,0))</f>
        <v>1.02</v>
      </c>
      <c r="S349" s="233"/>
      <c r="T349" s="12">
        <f t="shared" si="100"/>
        <v>0</v>
      </c>
      <c r="U349" s="233"/>
      <c r="V349" s="12">
        <f t="shared" si="97"/>
        <v>0</v>
      </c>
      <c r="W349" s="21">
        <f t="shared" si="98"/>
        <v>0</v>
      </c>
    </row>
    <row r="350" spans="1:23" x14ac:dyDescent="0.25">
      <c r="E350" s="233">
        <v>10</v>
      </c>
      <c r="F350" s="233"/>
      <c r="G350" s="233"/>
      <c r="H350" s="233"/>
      <c r="I350" s="233">
        <f>+SUM(I344:I349)</f>
        <v>0</v>
      </c>
      <c r="J350" s="12" t="s">
        <v>730</v>
      </c>
      <c r="K350" s="233"/>
      <c r="L350" s="233"/>
      <c r="M350" s="387">
        <f>+SUM(M344:M349)</f>
        <v>0</v>
      </c>
      <c r="N350" s="233"/>
      <c r="O350" s="226"/>
      <c r="P350" s="233">
        <f>+SUM(P344:P349)</f>
        <v>0</v>
      </c>
      <c r="Q350" s="12" t="s">
        <v>730</v>
      </c>
      <c r="R350" s="233"/>
      <c r="S350" s="233"/>
      <c r="T350" s="387">
        <f>+SUM(T344:T349)</f>
        <v>0</v>
      </c>
      <c r="U350" s="233"/>
      <c r="V350" s="12">
        <f t="shared" si="97"/>
        <v>0</v>
      </c>
      <c r="W350" s="21">
        <f t="shared" si="98"/>
        <v>0</v>
      </c>
    </row>
    <row r="351" spans="1:23" x14ac:dyDescent="0.25">
      <c r="E351" s="233">
        <v>11</v>
      </c>
      <c r="F351" s="233"/>
      <c r="G351" s="233"/>
      <c r="H351" s="233"/>
      <c r="I351" s="233"/>
      <c r="J351" s="233"/>
      <c r="K351" s="233"/>
      <c r="L351" s="233"/>
      <c r="M351" s="233"/>
      <c r="N351" s="233"/>
      <c r="O351" s="226"/>
      <c r="P351" s="233"/>
      <c r="Q351" s="233"/>
      <c r="R351" s="233"/>
      <c r="S351" s="233"/>
      <c r="T351" s="233"/>
      <c r="U351" s="233"/>
      <c r="V351" s="233"/>
      <c r="W351" s="233"/>
    </row>
    <row r="352" spans="1:23" x14ac:dyDescent="0.25">
      <c r="E352" s="233">
        <v>12</v>
      </c>
      <c r="F352" s="11" t="s">
        <v>806</v>
      </c>
      <c r="G352" s="11"/>
      <c r="H352" s="11"/>
      <c r="I352" s="233"/>
      <c r="J352" s="233"/>
      <c r="K352" s="233"/>
      <c r="L352" s="233"/>
      <c r="M352" s="13"/>
      <c r="N352" s="233"/>
      <c r="O352" s="226"/>
      <c r="P352" s="233"/>
      <c r="Q352" s="233"/>
      <c r="R352" s="233"/>
      <c r="S352" s="233"/>
      <c r="T352" s="13"/>
      <c r="U352" s="233"/>
      <c r="V352" s="233"/>
      <c r="W352" s="233"/>
    </row>
    <row r="353" spans="3:23" x14ac:dyDescent="0.25">
      <c r="C353" t="s">
        <v>651</v>
      </c>
      <c r="E353" s="233">
        <v>13</v>
      </c>
      <c r="F353" s="359" t="s">
        <v>746</v>
      </c>
      <c r="G353" s="233"/>
      <c r="H353" s="233"/>
      <c r="I353" s="354">
        <f>+M191+M206+M237+M247+M250+M253+M291+M299+M307+M313+M345</f>
        <v>0</v>
      </c>
      <c r="J353" s="12" t="s">
        <v>807</v>
      </c>
      <c r="K353" s="389">
        <f>+INDEX('2024 Base Rates'!E:E,MATCH('2025 GSD Rate Class E-13c'!C353,'2024 Base Rates'!D:D,0))</f>
        <v>-0.01</v>
      </c>
      <c r="L353" s="233"/>
      <c r="M353" s="12">
        <f>+I353*K353</f>
        <v>0</v>
      </c>
      <c r="N353" s="233"/>
      <c r="O353" s="226"/>
      <c r="P353" s="354">
        <f>+T191+T206+T237+T247+T250+T253+T291+T299+T307+T313+T345</f>
        <v>0</v>
      </c>
      <c r="Q353" s="12" t="s">
        <v>807</v>
      </c>
      <c r="R353" s="61">
        <f>+K353</f>
        <v>-0.01</v>
      </c>
      <c r="S353" s="233"/>
      <c r="T353" s="12">
        <f>+P353*R353</f>
        <v>0</v>
      </c>
      <c r="U353" s="233"/>
      <c r="V353" s="12">
        <f t="shared" ref="V353:V357" si="101">+T353-M353</f>
        <v>0</v>
      </c>
      <c r="W353" s="21">
        <f t="shared" ref="W353:W357" si="102">+IF(V353=0,0,(T353-M353)/M353)</f>
        <v>0</v>
      </c>
    </row>
    <row r="354" spans="3:23" x14ac:dyDescent="0.25">
      <c r="C354" t="s">
        <v>652</v>
      </c>
      <c r="E354" s="233">
        <v>14</v>
      </c>
      <c r="F354" s="359" t="s">
        <v>769</v>
      </c>
      <c r="G354" s="233"/>
      <c r="H354" s="233"/>
      <c r="I354" s="354">
        <f>+M192+M207+M238+M248+M251+M254+M292+M300+M308+M314+M346</f>
        <v>0</v>
      </c>
      <c r="J354" s="12" t="s">
        <v>807</v>
      </c>
      <c r="K354" s="389">
        <f>+INDEX('2024 Base Rates'!E:E,MATCH('2025 GSD Rate Class E-13c'!C354,'2024 Base Rates'!D:D,0))</f>
        <v>-0.02</v>
      </c>
      <c r="L354" s="233"/>
      <c r="M354" s="12">
        <f t="shared" ref="M354:M356" si="103">+I354*K354</f>
        <v>0</v>
      </c>
      <c r="N354" s="233"/>
      <c r="O354" s="226"/>
      <c r="P354" s="354">
        <f>+T192+T207+T238+T248+T251+T254+T292+T300+T308+T314+T346</f>
        <v>0</v>
      </c>
      <c r="Q354" s="12" t="s">
        <v>807</v>
      </c>
      <c r="R354" s="61">
        <f t="shared" ref="R354:R356" si="104">+K354</f>
        <v>-0.02</v>
      </c>
      <c r="S354" s="233"/>
      <c r="T354" s="12">
        <f t="shared" ref="T354:T356" si="105">+P354*R354</f>
        <v>0</v>
      </c>
      <c r="U354" s="233"/>
      <c r="V354" s="12">
        <f t="shared" si="101"/>
        <v>0</v>
      </c>
      <c r="W354" s="21">
        <f t="shared" si="102"/>
        <v>0</v>
      </c>
    </row>
    <row r="355" spans="3:23" x14ac:dyDescent="0.25">
      <c r="C355" t="s">
        <v>653</v>
      </c>
      <c r="E355" s="233">
        <v>15</v>
      </c>
      <c r="F355" s="233" t="s">
        <v>747</v>
      </c>
      <c r="G355" s="233"/>
      <c r="H355" s="233"/>
      <c r="I355" s="354">
        <f>+M194+M197+M209+M212+M240+M243+M256+M259+M262+M294+M302+M309+M315+M348</f>
        <v>0</v>
      </c>
      <c r="J355" s="12" t="s">
        <v>807</v>
      </c>
      <c r="K355" s="389">
        <f>+INDEX('2024 Base Rates'!E:E,MATCH('2025 GSD Rate Class E-13c'!C355,'2024 Base Rates'!D:D,0))</f>
        <v>-0.01</v>
      </c>
      <c r="L355" s="233"/>
      <c r="M355" s="12">
        <f t="shared" si="103"/>
        <v>0</v>
      </c>
      <c r="N355" s="233"/>
      <c r="O355" s="226"/>
      <c r="P355" s="354">
        <f>+T194+T197+T209+T212+T240+T243+T256+T259+T262+T294+T302+T309+T315+T348</f>
        <v>0</v>
      </c>
      <c r="Q355" s="12" t="s">
        <v>807</v>
      </c>
      <c r="R355" s="61">
        <f t="shared" si="104"/>
        <v>-0.01</v>
      </c>
      <c r="S355" s="233"/>
      <c r="T355" s="12">
        <f t="shared" si="105"/>
        <v>0</v>
      </c>
      <c r="U355" s="233"/>
      <c r="V355" s="12">
        <f t="shared" si="101"/>
        <v>0</v>
      </c>
      <c r="W355" s="21">
        <f t="shared" si="102"/>
        <v>0</v>
      </c>
    </row>
    <row r="356" spans="3:23" x14ac:dyDescent="0.25">
      <c r="C356" t="s">
        <v>654</v>
      </c>
      <c r="E356" s="233">
        <v>16</v>
      </c>
      <c r="F356" s="233" t="s">
        <v>770</v>
      </c>
      <c r="G356" s="233"/>
      <c r="H356" s="233"/>
      <c r="I356" s="377">
        <f>+M195+M198+M210+M213+M241+M244+M257+M260+M263+M295+M303+M310+M316+M349</f>
        <v>0</v>
      </c>
      <c r="J356" s="12" t="s">
        <v>807</v>
      </c>
      <c r="K356" s="389">
        <f>+INDEX('2024 Base Rates'!E:E,MATCH('2025 GSD Rate Class E-13c'!C356,'2024 Base Rates'!D:D,0))</f>
        <v>-0.02</v>
      </c>
      <c r="L356" s="233"/>
      <c r="M356" s="12">
        <f t="shared" si="103"/>
        <v>0</v>
      </c>
      <c r="N356" s="233"/>
      <c r="O356" s="226"/>
      <c r="P356" s="377">
        <f>+T195+T198+T210+T213+T241+T244+T257+T260+T263+T295+T303+T310+T316+T349</f>
        <v>0</v>
      </c>
      <c r="Q356" s="12" t="s">
        <v>807</v>
      </c>
      <c r="R356" s="61">
        <f t="shared" si="104"/>
        <v>-0.02</v>
      </c>
      <c r="S356" s="233"/>
      <c r="T356" s="12">
        <f t="shared" si="105"/>
        <v>0</v>
      </c>
      <c r="U356" s="233"/>
      <c r="V356" s="12">
        <f t="shared" si="101"/>
        <v>0</v>
      </c>
      <c r="W356" s="21">
        <f t="shared" si="102"/>
        <v>0</v>
      </c>
    </row>
    <row r="357" spans="3:23" x14ac:dyDescent="0.25">
      <c r="E357" s="233">
        <v>17</v>
      </c>
      <c r="F357" s="11" t="s">
        <v>748</v>
      </c>
      <c r="G357" s="15"/>
      <c r="H357" s="233"/>
      <c r="I357" s="354">
        <f>+SUM(I353:I356)</f>
        <v>0</v>
      </c>
      <c r="J357" s="12" t="s">
        <v>807</v>
      </c>
      <c r="K357" s="12"/>
      <c r="L357" s="12"/>
      <c r="M357" s="54">
        <f>+SUM(M353:M356)</f>
        <v>0</v>
      </c>
      <c r="N357" s="12"/>
      <c r="O357" s="22"/>
      <c r="P357" s="354">
        <f>+SUM(P353:P356)</f>
        <v>0</v>
      </c>
      <c r="Q357" s="12" t="s">
        <v>807</v>
      </c>
      <c r="R357" s="233"/>
      <c r="S357" s="233"/>
      <c r="T357" s="54">
        <f>+SUM(T353:T356)</f>
        <v>0</v>
      </c>
      <c r="U357" s="12"/>
      <c r="V357" s="12">
        <f t="shared" si="101"/>
        <v>0</v>
      </c>
      <c r="W357" s="21">
        <f t="shared" si="102"/>
        <v>0</v>
      </c>
    </row>
    <row r="358" spans="3:23" x14ac:dyDescent="0.25">
      <c r="E358" s="233">
        <v>18</v>
      </c>
      <c r="F358" s="233"/>
      <c r="G358" s="233"/>
      <c r="H358" s="233"/>
      <c r="I358" s="233"/>
      <c r="J358" s="233"/>
      <c r="K358" s="233"/>
      <c r="L358" s="233"/>
      <c r="M358" s="233"/>
      <c r="N358" s="233"/>
      <c r="O358" s="226"/>
      <c r="P358" s="354"/>
      <c r="Q358" s="233"/>
      <c r="R358" s="233"/>
      <c r="S358" s="233"/>
      <c r="T358" s="233"/>
      <c r="U358" s="233"/>
      <c r="V358" s="233"/>
      <c r="W358" s="233"/>
    </row>
    <row r="359" spans="3:23" x14ac:dyDescent="0.25">
      <c r="E359" s="233">
        <v>19</v>
      </c>
      <c r="F359" s="233"/>
      <c r="G359" s="233"/>
      <c r="H359" s="233"/>
      <c r="I359" s="233"/>
      <c r="J359" s="233"/>
      <c r="K359" s="233"/>
      <c r="L359" s="233"/>
      <c r="M359" s="233"/>
      <c r="N359" s="233"/>
      <c r="O359" s="226"/>
      <c r="P359" s="233"/>
      <c r="Q359" s="233"/>
      <c r="R359" s="233"/>
      <c r="S359" s="233"/>
      <c r="T359" s="233"/>
      <c r="U359" s="233"/>
      <c r="V359" s="233"/>
      <c r="W359" s="233"/>
    </row>
    <row r="360" spans="3:23" x14ac:dyDescent="0.25">
      <c r="E360" s="233">
        <v>20</v>
      </c>
      <c r="F360" s="593"/>
      <c r="G360" s="593"/>
      <c r="H360" s="593"/>
      <c r="I360" s="233"/>
      <c r="J360" s="233"/>
      <c r="K360" s="233"/>
      <c r="L360" s="233"/>
      <c r="M360" s="233"/>
      <c r="N360" s="233"/>
      <c r="O360" s="226"/>
      <c r="P360" s="233"/>
      <c r="Q360" s="233"/>
      <c r="R360" s="233"/>
      <c r="S360" s="233"/>
      <c r="T360" s="233"/>
      <c r="U360" s="233"/>
      <c r="V360" s="233"/>
      <c r="W360" s="233"/>
    </row>
    <row r="361" spans="3:23" ht="15.75" thickBot="1" x14ac:dyDescent="0.3">
      <c r="E361" s="233">
        <v>21</v>
      </c>
      <c r="F361" s="11" t="s">
        <v>337</v>
      </c>
      <c r="G361" s="233"/>
      <c r="H361" s="233"/>
      <c r="I361" s="233"/>
      <c r="J361" s="233"/>
      <c r="K361" s="233"/>
      <c r="L361" s="233"/>
      <c r="M361" s="62">
        <f>+M187+M202+M217+M264+M296+M304+M317+M350+M357</f>
        <v>0</v>
      </c>
      <c r="N361" s="12"/>
      <c r="O361" s="22"/>
      <c r="P361" s="12"/>
      <c r="Q361" s="233"/>
      <c r="R361" s="233"/>
      <c r="S361" s="233"/>
      <c r="T361" s="62">
        <f>+T187+T202+T217+T264+T296+T304+T317+T350+T357</f>
        <v>0</v>
      </c>
      <c r="U361" s="233"/>
      <c r="V361" s="12">
        <f t="shared" ref="V361" si="106">+T361-M361</f>
        <v>0</v>
      </c>
      <c r="W361" s="21">
        <f t="shared" ref="W361" si="107">+IF(V361=0,0,(T361-M361)/M361)</f>
        <v>0</v>
      </c>
    </row>
    <row r="362" spans="3:23" ht="15.75" thickTop="1" x14ac:dyDescent="0.25">
      <c r="E362" s="233">
        <v>22</v>
      </c>
      <c r="F362" s="233"/>
      <c r="G362" s="233"/>
      <c r="H362" s="233"/>
      <c r="I362" s="233"/>
      <c r="J362" s="233"/>
      <c r="K362" s="233"/>
      <c r="L362" s="233"/>
      <c r="M362" s="233"/>
      <c r="N362" s="233"/>
      <c r="O362" s="233"/>
      <c r="P362" s="233"/>
      <c r="Q362" s="233"/>
      <c r="R362" s="233"/>
      <c r="S362" s="233"/>
      <c r="T362" s="233"/>
      <c r="U362" s="233"/>
      <c r="V362" s="233"/>
      <c r="W362" s="233"/>
    </row>
    <row r="363" spans="3:23" x14ac:dyDescent="0.25">
      <c r="E363" s="233">
        <v>23</v>
      </c>
      <c r="F363" s="233"/>
      <c r="G363" s="233"/>
      <c r="H363" s="233"/>
      <c r="I363" s="233"/>
      <c r="J363" s="233"/>
      <c r="K363" s="233"/>
      <c r="L363" s="233"/>
      <c r="M363" s="233"/>
      <c r="N363" s="233"/>
      <c r="O363" s="233"/>
      <c r="P363" s="233"/>
      <c r="Q363" s="233"/>
      <c r="R363" s="233"/>
      <c r="S363" s="233"/>
      <c r="T363" s="233"/>
      <c r="U363" s="233"/>
      <c r="V363" s="233"/>
      <c r="W363" s="233"/>
    </row>
    <row r="364" spans="3:23" x14ac:dyDescent="0.25">
      <c r="E364" s="233">
        <v>24</v>
      </c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3"/>
      <c r="Q364" s="233"/>
      <c r="R364" s="233"/>
      <c r="S364" s="233"/>
      <c r="T364" s="233"/>
      <c r="U364" s="233"/>
      <c r="V364" s="233"/>
      <c r="W364" s="233"/>
    </row>
    <row r="365" spans="3:23" x14ac:dyDescent="0.25">
      <c r="E365" s="233">
        <v>25</v>
      </c>
      <c r="F365" s="233"/>
      <c r="G365" s="233"/>
      <c r="H365" s="233"/>
      <c r="I365" s="233"/>
      <c r="J365" s="233"/>
      <c r="K365" s="233"/>
      <c r="L365" s="233"/>
      <c r="M365" s="233"/>
      <c r="N365" s="233"/>
      <c r="O365" s="233"/>
      <c r="P365" s="233"/>
      <c r="Q365" s="233"/>
      <c r="R365" s="233"/>
      <c r="S365" s="233"/>
      <c r="T365" s="233"/>
      <c r="U365" s="233"/>
      <c r="V365" s="233"/>
      <c r="W365" s="233"/>
    </row>
    <row r="366" spans="3:23" x14ac:dyDescent="0.25">
      <c r="E366" s="233">
        <v>26</v>
      </c>
      <c r="F366" s="11"/>
      <c r="G366" s="233"/>
      <c r="H366" s="233"/>
      <c r="I366" s="233"/>
      <c r="J366" s="233"/>
      <c r="K366" s="233"/>
      <c r="L366" s="233"/>
      <c r="M366" s="12"/>
      <c r="N366" s="12"/>
      <c r="O366" s="22"/>
      <c r="P366" s="12"/>
      <c r="Q366" s="233"/>
      <c r="R366" s="233"/>
      <c r="S366" s="233"/>
      <c r="T366" s="12"/>
      <c r="U366" s="233"/>
      <c r="V366" s="233"/>
      <c r="W366" s="23"/>
    </row>
    <row r="367" spans="3:23" x14ac:dyDescent="0.25">
      <c r="E367" s="233">
        <v>27</v>
      </c>
      <c r="F367" s="11"/>
      <c r="G367" s="233"/>
      <c r="H367" s="233"/>
      <c r="I367" s="233"/>
      <c r="J367" s="233"/>
      <c r="K367" s="233"/>
      <c r="L367" s="233"/>
      <c r="M367" s="12"/>
      <c r="N367" s="12"/>
      <c r="O367" s="22"/>
      <c r="P367" s="12"/>
      <c r="Q367" s="233"/>
      <c r="R367" s="233"/>
      <c r="S367" s="233"/>
      <c r="T367" s="12"/>
      <c r="U367" s="233"/>
      <c r="V367" s="233"/>
      <c r="W367" s="23"/>
    </row>
    <row r="368" spans="3:23" x14ac:dyDescent="0.25">
      <c r="E368" s="233">
        <v>28</v>
      </c>
      <c r="F368" s="11"/>
      <c r="G368" s="233"/>
      <c r="H368" s="233"/>
      <c r="I368" s="233"/>
      <c r="J368" s="233"/>
      <c r="K368" s="233"/>
      <c r="L368" s="233"/>
      <c r="M368" s="12"/>
      <c r="N368" s="12"/>
      <c r="O368" s="22"/>
      <c r="P368" s="12"/>
      <c r="Q368" s="233"/>
      <c r="R368" s="233"/>
      <c r="S368" s="233"/>
      <c r="T368" s="12"/>
      <c r="U368" s="233"/>
      <c r="V368" s="233"/>
      <c r="W368" s="23"/>
    </row>
    <row r="369" spans="5:23" x14ac:dyDescent="0.25">
      <c r="E369" s="233">
        <v>29</v>
      </c>
      <c r="F369" s="11"/>
      <c r="G369" s="233"/>
      <c r="H369" s="233"/>
      <c r="I369" s="233"/>
      <c r="J369" s="233"/>
      <c r="K369" s="233"/>
      <c r="L369" s="233"/>
      <c r="M369" s="12"/>
      <c r="N369" s="12"/>
      <c r="O369" s="22"/>
      <c r="P369" s="12"/>
      <c r="Q369" s="233"/>
      <c r="R369" s="233"/>
      <c r="S369" s="233"/>
      <c r="T369" s="12"/>
      <c r="U369" s="233"/>
      <c r="V369" s="233"/>
      <c r="W369" s="23"/>
    </row>
    <row r="370" spans="5:23" x14ac:dyDescent="0.25">
      <c r="E370" s="233">
        <v>30</v>
      </c>
      <c r="F370" s="11"/>
      <c r="G370" s="233"/>
      <c r="H370" s="233"/>
      <c r="I370" s="233"/>
      <c r="J370" s="233"/>
      <c r="K370" s="233"/>
      <c r="L370" s="233"/>
      <c r="M370" s="12"/>
      <c r="N370" s="12"/>
      <c r="O370" s="22"/>
      <c r="P370" s="12"/>
      <c r="Q370" s="233"/>
      <c r="R370" s="233"/>
      <c r="S370" s="233"/>
      <c r="T370" s="12"/>
      <c r="U370" s="233"/>
      <c r="V370" s="233"/>
      <c r="W370" s="23"/>
    </row>
    <row r="371" spans="5:23" x14ac:dyDescent="0.25">
      <c r="E371" s="233">
        <v>31</v>
      </c>
      <c r="F371" s="11"/>
      <c r="G371" s="233"/>
      <c r="H371" s="233"/>
      <c r="I371" s="233"/>
      <c r="J371" s="233"/>
      <c r="K371" s="233"/>
      <c r="L371" s="233"/>
      <c r="M371" s="12"/>
      <c r="N371" s="12"/>
      <c r="O371" s="22"/>
      <c r="P371" s="12"/>
      <c r="Q371" s="233"/>
      <c r="R371" s="233"/>
      <c r="S371" s="233"/>
      <c r="T371" s="12"/>
      <c r="U371" s="233"/>
      <c r="V371" s="233"/>
      <c r="W371" s="23"/>
    </row>
    <row r="372" spans="5:23" x14ac:dyDescent="0.25">
      <c r="E372" s="233">
        <v>32</v>
      </c>
      <c r="F372" s="11"/>
      <c r="G372" s="233"/>
      <c r="H372" s="233"/>
      <c r="I372" s="233"/>
      <c r="J372" s="233"/>
      <c r="K372" s="233"/>
      <c r="L372" s="233"/>
      <c r="M372" s="12"/>
      <c r="N372" s="12"/>
      <c r="O372" s="22"/>
      <c r="P372" s="12"/>
      <c r="Q372" s="233"/>
      <c r="R372" s="233"/>
      <c r="S372" s="233"/>
      <c r="T372" s="12"/>
      <c r="U372" s="233"/>
      <c r="V372" s="233"/>
      <c r="W372" s="23"/>
    </row>
    <row r="373" spans="5:23" x14ac:dyDescent="0.25">
      <c r="E373" s="233">
        <v>33</v>
      </c>
      <c r="F373" s="11"/>
      <c r="G373" s="233"/>
      <c r="H373" s="233"/>
      <c r="I373" s="233"/>
      <c r="J373" s="233"/>
      <c r="K373" s="233"/>
      <c r="L373" s="233"/>
      <c r="M373" s="12"/>
      <c r="N373" s="12"/>
      <c r="O373" s="22"/>
      <c r="P373" s="12"/>
      <c r="Q373" s="233"/>
      <c r="R373" s="233"/>
      <c r="S373" s="233"/>
      <c r="T373" s="12"/>
      <c r="U373" s="233"/>
      <c r="V373" s="233"/>
      <c r="W373" s="23"/>
    </row>
    <row r="374" spans="5:23" x14ac:dyDescent="0.25">
      <c r="E374" s="233">
        <v>34</v>
      </c>
      <c r="F374" s="11"/>
      <c r="G374" s="233"/>
      <c r="H374" s="233"/>
      <c r="I374" s="233"/>
      <c r="J374" s="233"/>
      <c r="K374" s="233"/>
      <c r="L374" s="233"/>
      <c r="M374" s="12"/>
      <c r="N374" s="12"/>
      <c r="O374" s="22"/>
      <c r="P374" s="12"/>
      <c r="Q374" s="233"/>
      <c r="R374" s="233"/>
      <c r="S374" s="233"/>
      <c r="T374" s="12"/>
      <c r="U374" s="233"/>
      <c r="V374" s="233"/>
      <c r="W374" s="23"/>
    </row>
    <row r="375" spans="5:23" x14ac:dyDescent="0.25">
      <c r="E375" s="233">
        <v>35</v>
      </c>
      <c r="F375" s="11"/>
      <c r="G375" s="233"/>
      <c r="H375" s="233"/>
      <c r="I375" s="233"/>
      <c r="J375" s="233"/>
      <c r="K375" s="233"/>
      <c r="L375" s="233"/>
      <c r="M375" s="12"/>
      <c r="N375" s="12"/>
      <c r="O375" s="22"/>
      <c r="P375" s="12"/>
      <c r="Q375" s="233"/>
      <c r="R375" s="233"/>
      <c r="S375" s="233"/>
      <c r="T375" s="12"/>
      <c r="U375" s="233"/>
      <c r="V375" s="233"/>
      <c r="W375" s="23"/>
    </row>
    <row r="376" spans="5:23" x14ac:dyDescent="0.25">
      <c r="E376" s="233">
        <v>36</v>
      </c>
      <c r="F376" s="11"/>
      <c r="G376" s="233"/>
      <c r="H376" s="233"/>
      <c r="I376" s="233"/>
      <c r="J376" s="233"/>
      <c r="K376" s="233"/>
      <c r="L376" s="233"/>
      <c r="M376" s="12"/>
      <c r="N376" s="12"/>
      <c r="O376" s="22"/>
      <c r="P376" s="12"/>
      <c r="Q376" s="233"/>
      <c r="R376" s="233"/>
      <c r="S376" s="233"/>
      <c r="T376" s="12"/>
      <c r="U376" s="233"/>
      <c r="V376" s="233"/>
      <c r="W376" s="23"/>
    </row>
    <row r="377" spans="5:23" x14ac:dyDescent="0.25">
      <c r="E377" s="233">
        <v>37</v>
      </c>
      <c r="F377" s="11"/>
      <c r="G377" s="233"/>
      <c r="H377" s="233"/>
      <c r="I377" s="233"/>
      <c r="J377" s="233"/>
      <c r="K377" s="233"/>
      <c r="L377" s="233"/>
      <c r="M377" s="12"/>
      <c r="N377" s="12"/>
      <c r="O377" s="22"/>
      <c r="P377" s="12"/>
      <c r="Q377" s="233"/>
      <c r="R377" s="233"/>
      <c r="S377" s="233"/>
      <c r="T377" s="12"/>
      <c r="U377" s="233"/>
      <c r="V377" s="233"/>
      <c r="W377" s="23"/>
    </row>
    <row r="378" spans="5:23" x14ac:dyDescent="0.25">
      <c r="E378" s="233">
        <v>38</v>
      </c>
      <c r="F378" s="11"/>
      <c r="G378" s="233"/>
      <c r="H378" s="233"/>
      <c r="I378" s="233"/>
      <c r="J378" s="233"/>
      <c r="K378" s="233"/>
      <c r="L378" s="233"/>
      <c r="M378" s="12"/>
      <c r="N378" s="12"/>
      <c r="O378" s="22"/>
      <c r="P378" s="12"/>
      <c r="Q378" s="233"/>
      <c r="R378" s="233"/>
      <c r="S378" s="233"/>
      <c r="T378" s="12"/>
      <c r="U378" s="233"/>
      <c r="V378" s="233"/>
      <c r="W378" s="23"/>
    </row>
    <row r="379" spans="5:23" ht="15.75" thickBot="1" x14ac:dyDescent="0.3">
      <c r="E379" s="306">
        <v>39</v>
      </c>
      <c r="F379" s="306"/>
      <c r="G379" s="306"/>
      <c r="H379" s="306"/>
      <c r="I379" s="306"/>
      <c r="J379" s="306"/>
      <c r="K379" s="306"/>
      <c r="L379" s="306"/>
      <c r="M379" s="306"/>
      <c r="N379" s="306"/>
      <c r="O379" s="314"/>
      <c r="P379" s="306"/>
      <c r="Q379" s="306"/>
      <c r="R379" s="306"/>
      <c r="S379" s="306"/>
      <c r="T379" s="306"/>
      <c r="U379" s="306"/>
      <c r="V379" s="306"/>
      <c r="W379" s="306"/>
    </row>
    <row r="380" spans="5:23" x14ac:dyDescent="0.25">
      <c r="E380" s="233"/>
      <c r="F380" s="233"/>
      <c r="G380" s="233"/>
      <c r="H380" s="233"/>
      <c r="I380" s="233"/>
      <c r="J380" s="233"/>
      <c r="K380" s="233"/>
      <c r="L380" s="233"/>
      <c r="M380" s="233"/>
      <c r="N380" s="233"/>
      <c r="O380" s="226"/>
      <c r="P380" s="233"/>
      <c r="Q380" s="233"/>
      <c r="R380" s="233"/>
      <c r="S380" s="233"/>
      <c r="T380" s="233"/>
      <c r="U380" s="233"/>
      <c r="V380" s="233"/>
      <c r="W380" s="233" t="s">
        <v>304</v>
      </c>
    </row>
  </sheetData>
  <mergeCells count="20">
    <mergeCell ref="F71:H71"/>
    <mergeCell ref="L111:P111"/>
    <mergeCell ref="L112:P112"/>
    <mergeCell ref="L165:P165"/>
    <mergeCell ref="L166:P166"/>
    <mergeCell ref="L220:P220"/>
    <mergeCell ref="L3:P3"/>
    <mergeCell ref="L4:P4"/>
    <mergeCell ref="L57:P57"/>
    <mergeCell ref="L58:P58"/>
    <mergeCell ref="L219:P219"/>
    <mergeCell ref="L328:P328"/>
    <mergeCell ref="F341:H341"/>
    <mergeCell ref="F360:H360"/>
    <mergeCell ref="F233:H233"/>
    <mergeCell ref="F267:O267"/>
    <mergeCell ref="L273:P273"/>
    <mergeCell ref="L274:P274"/>
    <mergeCell ref="F287:H287"/>
    <mergeCell ref="L327:P327"/>
  </mergeCells>
  <pageMargins left="0.7" right="0.7" top="0.75" bottom="0.75" header="0.3" footer="0.3"/>
  <pageSetup scale="3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3BC-F9CE-463B-940F-564312A01736}">
  <sheetPr>
    <pageSetUpPr fitToPage="1"/>
  </sheetPr>
  <dimension ref="A3:X164"/>
  <sheetViews>
    <sheetView workbookViewId="0"/>
  </sheetViews>
  <sheetFormatPr defaultRowHeight="15" x14ac:dyDescent="0.25"/>
  <cols>
    <col min="1" max="1" width="36.28515625" bestFit="1" customWidth="1"/>
    <col min="2" max="2" width="38.28515625" bestFit="1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7" max="17" width="9.42578125" bestFit="1" customWidth="1"/>
    <col min="19" max="19" width="13.140625" customWidth="1"/>
    <col min="21" max="21" width="29.140625" bestFit="1" customWidth="1"/>
    <col min="22" max="22" width="18.7109375" bestFit="1" customWidth="1"/>
  </cols>
  <sheetData>
    <row r="3" spans="1:22" x14ac:dyDescent="0.25">
      <c r="D3" s="233"/>
      <c r="E3" s="233"/>
      <c r="F3" s="233"/>
      <c r="G3" s="233"/>
      <c r="H3" s="233"/>
      <c r="I3" s="233"/>
      <c r="J3" s="233"/>
      <c r="K3" s="590"/>
      <c r="L3" s="590"/>
      <c r="M3" s="590"/>
      <c r="N3" s="590"/>
      <c r="O3" s="590"/>
      <c r="P3" s="233"/>
      <c r="Q3" s="233"/>
      <c r="R3" s="233"/>
      <c r="S3" s="233"/>
      <c r="T3" s="233"/>
      <c r="U3" s="233"/>
      <c r="V3" s="233"/>
    </row>
    <row r="4" spans="1:22" ht="15.75" thickBot="1" x14ac:dyDescent="0.3">
      <c r="D4" s="306" t="s">
        <v>305</v>
      </c>
      <c r="E4" s="306"/>
      <c r="F4" s="306"/>
      <c r="G4" s="306"/>
      <c r="H4" s="306"/>
      <c r="I4" s="306"/>
      <c r="J4" s="306"/>
      <c r="K4" s="591" t="s">
        <v>306</v>
      </c>
      <c r="L4" s="591"/>
      <c r="M4" s="591"/>
      <c r="N4" s="591"/>
      <c r="O4" s="591"/>
      <c r="P4" s="306"/>
      <c r="Q4" s="306"/>
      <c r="R4" s="306"/>
      <c r="S4" s="306"/>
      <c r="T4" s="306"/>
      <c r="U4" s="306"/>
      <c r="V4" s="326" t="s">
        <v>885</v>
      </c>
    </row>
    <row r="5" spans="1:22" x14ac:dyDescent="0.25">
      <c r="A5" t="s">
        <v>712</v>
      </c>
      <c r="B5" s="307">
        <f>+'Operating Revenue Requirement'!F7</f>
        <v>47902932.979999997</v>
      </c>
      <c r="D5" s="233" t="s">
        <v>307</v>
      </c>
      <c r="E5" s="233"/>
      <c r="F5" s="233"/>
      <c r="G5" s="233"/>
      <c r="H5" s="233" t="s">
        <v>308</v>
      </c>
      <c r="I5" s="233"/>
      <c r="J5" s="233" t="s">
        <v>913</v>
      </c>
      <c r="K5" s="233"/>
      <c r="L5" s="233"/>
      <c r="M5" s="233"/>
      <c r="N5" s="316"/>
      <c r="O5" s="309"/>
      <c r="P5" s="233"/>
      <c r="Q5" s="309"/>
      <c r="R5" s="309"/>
      <c r="S5" s="309" t="s">
        <v>309</v>
      </c>
      <c r="T5" s="233"/>
      <c r="U5" s="233"/>
      <c r="V5" s="310"/>
    </row>
    <row r="6" spans="1:22" x14ac:dyDescent="0.25">
      <c r="D6" s="233"/>
      <c r="E6" s="233"/>
      <c r="F6" s="233"/>
      <c r="G6" s="233"/>
      <c r="H6" s="233"/>
      <c r="I6" s="233"/>
      <c r="J6" s="233" t="s">
        <v>914</v>
      </c>
      <c r="K6" s="233"/>
      <c r="L6" s="233"/>
      <c r="M6" s="233"/>
      <c r="N6" s="226"/>
      <c r="O6" s="310"/>
      <c r="P6" s="233"/>
      <c r="Q6" s="233"/>
      <c r="R6" s="311"/>
      <c r="S6" s="311"/>
      <c r="T6" s="311" t="s">
        <v>919</v>
      </c>
      <c r="U6" s="310" t="s">
        <v>920</v>
      </c>
      <c r="V6" s="311"/>
    </row>
    <row r="7" spans="1:22" x14ac:dyDescent="0.25">
      <c r="A7" t="s">
        <v>714</v>
      </c>
      <c r="B7" s="313">
        <v>-0.17133012</v>
      </c>
      <c r="D7" s="233" t="s">
        <v>310</v>
      </c>
      <c r="E7" s="233"/>
      <c r="F7" s="233"/>
      <c r="G7" s="233"/>
      <c r="H7" s="233"/>
      <c r="I7" s="233"/>
      <c r="J7" s="233" t="s">
        <v>915</v>
      </c>
      <c r="K7" s="233"/>
      <c r="L7" s="233"/>
      <c r="M7" s="233"/>
      <c r="N7" s="226"/>
      <c r="O7" s="310"/>
      <c r="P7" s="311"/>
      <c r="Q7" s="233"/>
      <c r="R7" s="233"/>
      <c r="S7" s="311"/>
      <c r="T7" s="311"/>
      <c r="U7" s="310" t="s">
        <v>937</v>
      </c>
      <c r="V7" s="311"/>
    </row>
    <row r="8" spans="1:22" x14ac:dyDescent="0.25">
      <c r="A8" t="s">
        <v>713</v>
      </c>
      <c r="B8" s="307">
        <f>+(S54+S144)</f>
        <v>47902933.470879942</v>
      </c>
      <c r="D8" s="233"/>
      <c r="E8" s="233"/>
      <c r="F8" s="233"/>
      <c r="G8" s="233"/>
      <c r="H8" s="233"/>
      <c r="I8" s="233"/>
      <c r="J8" s="233" t="s">
        <v>916</v>
      </c>
      <c r="K8" s="233"/>
      <c r="L8" s="233"/>
      <c r="M8" s="233"/>
      <c r="N8" s="226"/>
      <c r="O8" s="310"/>
      <c r="P8" s="311"/>
      <c r="Q8" s="233"/>
      <c r="R8" s="233"/>
      <c r="S8" s="311"/>
      <c r="T8" s="311"/>
      <c r="U8" s="310" t="s">
        <v>938</v>
      </c>
      <c r="V8" s="311"/>
    </row>
    <row r="9" spans="1:22" x14ac:dyDescent="0.25">
      <c r="D9" s="233"/>
      <c r="E9" s="233"/>
      <c r="F9" s="311"/>
      <c r="G9" s="233"/>
      <c r="H9" s="233"/>
      <c r="I9" s="233"/>
      <c r="J9" s="233" t="s">
        <v>917</v>
      </c>
      <c r="K9" s="317"/>
      <c r="L9" s="317"/>
      <c r="M9" s="317"/>
      <c r="N9" s="226"/>
      <c r="O9" s="233"/>
      <c r="P9" s="233"/>
      <c r="Q9" s="233"/>
      <c r="R9" s="233"/>
      <c r="S9" s="233"/>
      <c r="T9" s="233"/>
      <c r="U9" s="233" t="s">
        <v>311</v>
      </c>
      <c r="V9" s="233"/>
    </row>
    <row r="10" spans="1:22" ht="15.75" thickBot="1" x14ac:dyDescent="0.3">
      <c r="D10" s="306" t="s">
        <v>1642</v>
      </c>
      <c r="E10" s="306"/>
      <c r="F10" s="326"/>
      <c r="G10" s="319"/>
      <c r="H10" s="319"/>
      <c r="I10" s="319"/>
      <c r="J10" s="361" t="s">
        <v>918</v>
      </c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x14ac:dyDescent="0.25">
      <c r="D11" s="233"/>
      <c r="E11" s="233"/>
      <c r="F11" s="233"/>
      <c r="G11" s="233"/>
      <c r="H11" s="317"/>
      <c r="I11" s="233"/>
      <c r="J11" s="317"/>
      <c r="K11" s="362"/>
      <c r="L11" s="317"/>
      <c r="M11" s="233"/>
      <c r="N11" s="317"/>
      <c r="O11" s="233"/>
      <c r="P11" s="362"/>
      <c r="Q11" s="233"/>
      <c r="R11" s="233"/>
      <c r="S11" s="233"/>
      <c r="T11" s="233"/>
      <c r="U11" s="233"/>
      <c r="V11" s="233"/>
    </row>
    <row r="12" spans="1:22" x14ac:dyDescent="0.25">
      <c r="D12" s="233"/>
      <c r="E12" s="233"/>
      <c r="F12" s="233"/>
      <c r="G12" s="233"/>
      <c r="H12" s="362"/>
      <c r="I12" s="233"/>
      <c r="J12" s="233"/>
      <c r="K12" s="362"/>
      <c r="L12" s="233"/>
      <c r="M12" s="233"/>
      <c r="N12" s="317"/>
      <c r="O12" s="233"/>
      <c r="P12" s="362"/>
      <c r="Q12" s="233"/>
      <c r="R12" s="233"/>
      <c r="S12" s="233"/>
      <c r="T12" s="233"/>
      <c r="U12" s="233"/>
      <c r="V12" s="233"/>
    </row>
    <row r="13" spans="1:22" x14ac:dyDescent="0.25">
      <c r="D13" s="233"/>
      <c r="E13" s="233"/>
      <c r="F13" s="233"/>
      <c r="G13" s="233"/>
      <c r="H13" s="233"/>
      <c r="I13" s="362"/>
      <c r="J13" s="362"/>
      <c r="K13" s="363"/>
      <c r="L13" s="363" t="s">
        <v>312</v>
      </c>
      <c r="M13" s="317"/>
      <c r="N13" s="364" t="s">
        <v>742</v>
      </c>
      <c r="O13" s="362"/>
      <c r="P13" s="233"/>
      <c r="Q13" s="362"/>
      <c r="R13" s="362"/>
      <c r="S13" s="362"/>
      <c r="T13" s="362"/>
      <c r="U13" s="362"/>
      <c r="V13" s="233"/>
    </row>
    <row r="14" spans="1:22" x14ac:dyDescent="0.25">
      <c r="D14" s="233"/>
      <c r="E14" s="233"/>
      <c r="F14" s="233"/>
      <c r="G14" s="233"/>
      <c r="H14" s="233"/>
      <c r="I14" s="362"/>
      <c r="J14" s="362"/>
      <c r="K14" s="362"/>
      <c r="L14" s="362"/>
      <c r="M14" s="362"/>
      <c r="N14" s="317"/>
      <c r="O14" s="362"/>
      <c r="P14" s="362"/>
      <c r="Q14" s="362"/>
      <c r="R14" s="362"/>
      <c r="S14" s="362"/>
      <c r="T14" s="362"/>
      <c r="U14" s="362"/>
      <c r="V14" s="362"/>
    </row>
    <row r="15" spans="1:22" x14ac:dyDescent="0.25">
      <c r="D15" s="226" t="s">
        <v>314</v>
      </c>
      <c r="E15" s="371" t="s">
        <v>315</v>
      </c>
      <c r="F15" s="2"/>
      <c r="G15" s="3"/>
      <c r="H15" s="4"/>
      <c r="I15" s="4"/>
      <c r="J15" s="5" t="s">
        <v>316</v>
      </c>
      <c r="K15" s="4"/>
      <c r="L15" s="4"/>
      <c r="M15" s="2"/>
      <c r="N15" s="6"/>
      <c r="O15" s="4"/>
      <c r="P15" s="5"/>
      <c r="Q15" s="5" t="s">
        <v>317</v>
      </c>
      <c r="R15" s="4"/>
      <c r="S15" s="4"/>
      <c r="T15" s="2"/>
      <c r="U15" s="7" t="s">
        <v>318</v>
      </c>
      <c r="V15" s="7" t="s">
        <v>319</v>
      </c>
    </row>
    <row r="16" spans="1:22" ht="15.75" thickBot="1" x14ac:dyDescent="0.3">
      <c r="A16" s="216" t="s">
        <v>552</v>
      </c>
      <c r="B16" s="216" t="s">
        <v>553</v>
      </c>
      <c r="D16" s="314" t="s">
        <v>320</v>
      </c>
      <c r="E16" s="367" t="s">
        <v>321</v>
      </c>
      <c r="F16" s="8"/>
      <c r="G16" s="306"/>
      <c r="H16" s="314" t="s">
        <v>322</v>
      </c>
      <c r="I16" s="9"/>
      <c r="J16" s="9" t="s">
        <v>323</v>
      </c>
      <c r="K16" s="9"/>
      <c r="L16" s="9" t="s">
        <v>324</v>
      </c>
      <c r="M16" s="9"/>
      <c r="N16" s="9"/>
      <c r="O16" s="9" t="s">
        <v>322</v>
      </c>
      <c r="P16" s="9"/>
      <c r="Q16" s="9" t="s">
        <v>323</v>
      </c>
      <c r="R16" s="9"/>
      <c r="S16" s="9" t="s">
        <v>324</v>
      </c>
      <c r="T16" s="8"/>
      <c r="U16" s="10" t="s">
        <v>325</v>
      </c>
      <c r="V16" s="10" t="s">
        <v>326</v>
      </c>
    </row>
    <row r="17" spans="1:24" x14ac:dyDescent="0.25">
      <c r="D17" s="233">
        <v>1</v>
      </c>
      <c r="E17" s="11" t="s">
        <v>327</v>
      </c>
      <c r="F17" s="11"/>
      <c r="G17" s="233"/>
      <c r="H17" s="233"/>
      <c r="I17" s="12"/>
      <c r="J17" s="12"/>
      <c r="K17" s="12"/>
      <c r="L17" s="12"/>
      <c r="M17" s="13"/>
      <c r="N17" s="22"/>
      <c r="O17" s="13"/>
      <c r="P17" s="12"/>
      <c r="Q17" s="12"/>
      <c r="R17" s="12"/>
      <c r="S17" s="12"/>
      <c r="T17" s="12"/>
      <c r="U17" s="12"/>
      <c r="V17" s="12"/>
    </row>
    <row r="18" spans="1:24" x14ac:dyDescent="0.25">
      <c r="A18" s="368" t="s">
        <v>201</v>
      </c>
      <c r="B18" s="368" t="s">
        <v>681</v>
      </c>
      <c r="D18" s="233">
        <v>2</v>
      </c>
      <c r="E18" s="11" t="s">
        <v>365</v>
      </c>
      <c r="F18" s="233"/>
      <c r="G18" s="233"/>
      <c r="H18" s="12">
        <f>+INDEX('2025 Org Base Case BDs'!B:B,MATCH('2025 GSLDPR Rate Class E-13c'!A18,'2025 Org Base Case BDs'!A:A,0))</f>
        <v>8585.9699999999993</v>
      </c>
      <c r="I18" s="12" t="s">
        <v>329</v>
      </c>
      <c r="J18" s="19">
        <f>+INDEX('2024 Base Rates'!E:E,MATCH('2025 GSLDPR Rate Class E-13c'!B18,'2024 Base Rates'!D:D,0))</f>
        <v>19.52</v>
      </c>
      <c r="K18" s="12"/>
      <c r="L18" s="12">
        <f>+H18*J18</f>
        <v>167598.13439999998</v>
      </c>
      <c r="M18" s="233"/>
      <c r="N18" s="226"/>
      <c r="O18" s="12">
        <f>+INDEX('2025 Billing Determinants'!B:B,MATCH('2025 GSLDPR Rate Class E-13c'!A18,'2025 Billing Determinants'!A:A,0))</f>
        <v>8585.9699999999993</v>
      </c>
      <c r="P18" s="12" t="s">
        <v>329</v>
      </c>
      <c r="Q18" s="19">
        <f>+INDEX('Unit Cost Rate Design Input'!D:D,MATCH('2025 GSLDPR Rate Class E-13c'!B18,'Unit Cost Rate Design Input'!B:B,0))</f>
        <v>21.42</v>
      </c>
      <c r="R18" s="12"/>
      <c r="S18" s="12">
        <f>+O18*Q18</f>
        <v>183911.4774</v>
      </c>
      <c r="T18" s="12"/>
      <c r="U18" s="12">
        <f>+S18-L18</f>
        <v>16313.343000000023</v>
      </c>
      <c r="V18" s="21">
        <f>+IF(U18=0,0,(S18-L18)/L18)</f>
        <v>9.7336065573770642E-2</v>
      </c>
      <c r="X18" s="378"/>
    </row>
    <row r="19" spans="1:24" ht="16.5" x14ac:dyDescent="0.35">
      <c r="A19" s="368" t="s">
        <v>215</v>
      </c>
      <c r="B19" s="368" t="s">
        <v>682</v>
      </c>
      <c r="D19" s="233">
        <v>3</v>
      </c>
      <c r="E19" s="233" t="s">
        <v>722</v>
      </c>
      <c r="F19" s="233"/>
      <c r="G19" s="233"/>
      <c r="H19" s="58">
        <f>+INDEX('2025 Org Base Case BDs'!B:B,MATCH('2025 GSLDPR Rate Class E-13c'!A19,'2025 Org Base Case BDs'!A:A,0))</f>
        <v>13410.6</v>
      </c>
      <c r="I19" s="12" t="s">
        <v>329</v>
      </c>
      <c r="J19" s="19">
        <f>+INDEX('2024 Base Rates'!E:E,MATCH('2025 GSLDPR Rate Class E-13c'!B19,'2024 Base Rates'!D:D,0))</f>
        <v>19.52</v>
      </c>
      <c r="K19" s="233"/>
      <c r="L19" s="58">
        <f>+H19*J19</f>
        <v>261774.91200000001</v>
      </c>
      <c r="M19" s="233"/>
      <c r="N19" s="226"/>
      <c r="O19" s="58">
        <f>+INDEX('2025 Billing Determinants'!B:B,MATCH('2025 GSLDPR Rate Class E-13c'!A19,'2025 Billing Determinants'!A:A,0))</f>
        <v>13410.6</v>
      </c>
      <c r="P19" s="12" t="s">
        <v>329</v>
      </c>
      <c r="Q19" s="19">
        <f>+INDEX('Unit Cost Rate Design Input'!D:D,MATCH('2025 GSLDPR Rate Class E-13c'!B19,'Unit Cost Rate Design Input'!B:B,0))</f>
        <v>21.42</v>
      </c>
      <c r="R19" s="233"/>
      <c r="S19" s="58">
        <f>+O19*Q19</f>
        <v>287255.05200000003</v>
      </c>
      <c r="T19" s="12"/>
      <c r="U19" s="12">
        <f t="shared" ref="U19:U20" si="0">+S19-L19</f>
        <v>25480.140000000014</v>
      </c>
      <c r="V19" s="21">
        <f t="shared" ref="V19:V20" si="1">+IF(U19=0,0,(S19-L19)/L19)</f>
        <v>9.7336065573770544E-2</v>
      </c>
    </row>
    <row r="20" spans="1:24" x14ac:dyDescent="0.25">
      <c r="A20" s="368"/>
      <c r="B20" s="368"/>
      <c r="D20" s="233">
        <v>4</v>
      </c>
      <c r="E20" s="38" t="s">
        <v>336</v>
      </c>
      <c r="F20" s="233"/>
      <c r="G20" s="233"/>
      <c r="H20" s="13">
        <f>+SUM(H18:H19)</f>
        <v>21996.57</v>
      </c>
      <c r="I20" s="12" t="s">
        <v>342</v>
      </c>
      <c r="J20" s="19"/>
      <c r="K20" s="12"/>
      <c r="L20" s="53">
        <f>+SUM(L18:L19)</f>
        <v>429373.04639999999</v>
      </c>
      <c r="M20" s="12"/>
      <c r="N20" s="22"/>
      <c r="O20" s="13">
        <f>+SUM(O18:O19)</f>
        <v>21996.57</v>
      </c>
      <c r="P20" s="12" t="s">
        <v>342</v>
      </c>
      <c r="Q20" s="19"/>
      <c r="R20" s="12"/>
      <c r="S20" s="53">
        <f>+SUM(S18:S19)</f>
        <v>471166.5294</v>
      </c>
      <c r="T20" s="12"/>
      <c r="U20" s="12">
        <f t="shared" si="0"/>
        <v>41793.483000000007</v>
      </c>
      <c r="V20" s="21">
        <f t="shared" si="1"/>
        <v>9.7336065573770517E-2</v>
      </c>
    </row>
    <row r="21" spans="1:24" x14ac:dyDescent="0.25">
      <c r="A21" s="368"/>
      <c r="B21" s="368"/>
      <c r="D21" s="233">
        <v>5</v>
      </c>
      <c r="E21" s="233"/>
      <c r="F21" s="233"/>
      <c r="G21" s="233"/>
      <c r="H21" s="233"/>
      <c r="I21" s="12"/>
      <c r="J21" s="19"/>
      <c r="K21" s="12"/>
      <c r="L21" s="19"/>
      <c r="M21" s="13"/>
      <c r="N21" s="22"/>
      <c r="O21" s="13"/>
      <c r="P21" s="12"/>
      <c r="Q21" s="19"/>
      <c r="R21" s="12"/>
      <c r="S21" s="19"/>
      <c r="T21" s="12"/>
      <c r="U21" s="12"/>
      <c r="V21" s="23"/>
    </row>
    <row r="22" spans="1:24" x14ac:dyDescent="0.25">
      <c r="A22" s="368"/>
      <c r="B22" s="368"/>
      <c r="D22" s="233">
        <v>6</v>
      </c>
      <c r="E22" s="11" t="s">
        <v>343</v>
      </c>
      <c r="F22" s="11"/>
      <c r="G22" s="233"/>
      <c r="H22" s="233"/>
      <c r="I22" s="12"/>
      <c r="J22" s="12"/>
      <c r="K22" s="12"/>
      <c r="L22" s="19"/>
      <c r="M22" s="12"/>
      <c r="N22" s="22"/>
      <c r="O22" s="12"/>
      <c r="P22" s="12"/>
      <c r="Q22" s="12"/>
      <c r="R22" s="12"/>
      <c r="S22" s="19"/>
      <c r="T22" s="12"/>
      <c r="U22" s="12"/>
      <c r="V22" s="12"/>
    </row>
    <row r="23" spans="1:24" x14ac:dyDescent="0.25">
      <c r="A23" s="368" t="s">
        <v>202</v>
      </c>
      <c r="B23" s="368" t="s">
        <v>683</v>
      </c>
      <c r="D23" s="233">
        <v>7</v>
      </c>
      <c r="E23" s="11" t="s">
        <v>365</v>
      </c>
      <c r="F23" s="233"/>
      <c r="G23" s="233"/>
      <c r="H23" s="13">
        <f>+INDEX('2025 Org Base Case BDs'!B:B,MATCH('2025 GSLDPR Rate Class E-13c'!A23,'2025 Org Base Case BDs'!A:A,0))</f>
        <v>257957869.19</v>
      </c>
      <c r="I23" s="12" t="s">
        <v>711</v>
      </c>
      <c r="J23" s="28">
        <f>+INDEX('2024 Base Rates'!E:E,MATCH('2025 GSLDPR Rate Class E-13c'!B23,'2024 Base Rates'!D:D,0))</f>
        <v>1.042E-2</v>
      </c>
      <c r="K23" s="12"/>
      <c r="L23" s="12">
        <f>+H23*J23</f>
        <v>2687920.9969597999</v>
      </c>
      <c r="M23" s="13"/>
      <c r="N23" s="22"/>
      <c r="O23" s="13">
        <f>+INDEX('2025 Billing Determinants'!B:B,MATCH('2025 GSLDPR Rate Class E-13c'!A23,'2025 Billing Determinants'!A:A,0))</f>
        <v>257957869.19</v>
      </c>
      <c r="P23" s="12" t="s">
        <v>711</v>
      </c>
      <c r="Q23" s="28">
        <f>+J23*(1.02)</f>
        <v>1.0628400000000001E-2</v>
      </c>
      <c r="R23" s="12"/>
      <c r="S23" s="12">
        <f>+O23*Q23</f>
        <v>2741679.4168989961</v>
      </c>
      <c r="T23" s="12"/>
      <c r="U23" s="12">
        <f t="shared" ref="U23:U27" si="2">+S23-L23</f>
        <v>53758.419939196203</v>
      </c>
      <c r="V23" s="21">
        <f t="shared" ref="V23:V27" si="3">+IF(U23=0,0,(S23-L23)/L23)</f>
        <v>2.0000000000000077E-2</v>
      </c>
    </row>
    <row r="24" spans="1:24" x14ac:dyDescent="0.25">
      <c r="A24" s="368" t="s">
        <v>218</v>
      </c>
      <c r="B24" s="368" t="s">
        <v>684</v>
      </c>
      <c r="D24" s="233">
        <v>8</v>
      </c>
      <c r="E24" s="11" t="s">
        <v>725</v>
      </c>
      <c r="F24" s="233"/>
      <c r="G24" s="233"/>
      <c r="H24" s="13">
        <f>+INDEX('2025 Org Base Case BDs'!B:B,MATCH('2025 GSLDPR Rate Class E-13c'!A24,'2025 Org Base Case BDs'!A:A,0))</f>
        <v>269526764.56999999</v>
      </c>
      <c r="I24" s="12" t="s">
        <v>711</v>
      </c>
      <c r="J24" s="28">
        <f>+INDEX('2024 Base Rates'!E:E,MATCH('2025 GSLDPR Rate Class E-13c'!B24,'2024 Base Rates'!D:D,0))</f>
        <v>1.584E-2</v>
      </c>
      <c r="K24" s="233"/>
      <c r="L24" s="12">
        <f>+H24*J24</f>
        <v>4269303.9507887997</v>
      </c>
      <c r="M24" s="233"/>
      <c r="N24" s="226"/>
      <c r="O24" s="13">
        <f>+INDEX('2025 Billing Determinants'!B:B,MATCH('2025 GSLDPR Rate Class E-13c'!A24,'2025 Billing Determinants'!A:A,0))</f>
        <v>248665475.38</v>
      </c>
      <c r="P24" s="12" t="s">
        <v>711</v>
      </c>
      <c r="Q24" s="28">
        <f>+Q23*'Time of Day Inputs'!E5</f>
        <v>1.7329800000000003E-2</v>
      </c>
      <c r="R24" s="233"/>
      <c r="S24" s="12">
        <f>+O24*Q24</f>
        <v>4309322.9552403251</v>
      </c>
      <c r="T24" s="12"/>
      <c r="U24" s="12">
        <f t="shared" si="2"/>
        <v>40019.004451525398</v>
      </c>
      <c r="V24" s="21">
        <f t="shared" si="3"/>
        <v>9.3736601827404346E-3</v>
      </c>
    </row>
    <row r="25" spans="1:24" x14ac:dyDescent="0.25">
      <c r="A25" s="368" t="s">
        <v>219</v>
      </c>
      <c r="B25" s="368" t="s">
        <v>685</v>
      </c>
      <c r="D25" s="233">
        <v>9</v>
      </c>
      <c r="E25" s="11" t="s">
        <v>728</v>
      </c>
      <c r="F25" s="15"/>
      <c r="G25" s="11"/>
      <c r="H25" s="13">
        <f>+INDEX('2025 Org Base Case BDs'!B:B,MATCH('2025 GSLDPR Rate Class E-13c'!A25,'2025 Org Base Case BDs'!A:A,0))</f>
        <v>746619369.49000001</v>
      </c>
      <c r="I25" s="12" t="s">
        <v>711</v>
      </c>
      <c r="J25" s="28">
        <f>+INDEX('2024 Base Rates'!E:E,MATCH('2025 GSLDPR Rate Class E-13c'!B25,'2024 Base Rates'!D:D,0))</f>
        <v>8.4700000000000001E-3</v>
      </c>
      <c r="K25" s="233"/>
      <c r="L25" s="12">
        <f>+H25*J25</f>
        <v>6323866.0595803</v>
      </c>
      <c r="M25" s="233"/>
      <c r="N25" s="226"/>
      <c r="O25" s="13">
        <f>+INDEX('2025 Billing Determinants'!B:B,MATCH('2025 GSLDPR Rate Class E-13c'!A25,'2025 Billing Determinants'!A:A,0))</f>
        <v>415280779.51999998</v>
      </c>
      <c r="P25" s="12" t="s">
        <v>711</v>
      </c>
      <c r="Q25" s="28">
        <f>+Q24+'Time of Day Inputs'!F5</f>
        <v>1.0559800000000003E-2</v>
      </c>
      <c r="R25" s="233"/>
      <c r="S25" s="12">
        <f>+O25*Q25</f>
        <v>4385281.9755752971</v>
      </c>
      <c r="T25" s="12"/>
      <c r="U25" s="12">
        <f t="shared" si="2"/>
        <v>-1938584.0840050029</v>
      </c>
      <c r="V25" s="21">
        <f t="shared" si="3"/>
        <v>-0.30655046544955794</v>
      </c>
    </row>
    <row r="26" spans="1:24" ht="16.5" x14ac:dyDescent="0.35">
      <c r="A26" s="368" t="s">
        <v>905</v>
      </c>
      <c r="B26" s="368" t="s">
        <v>1506</v>
      </c>
      <c r="D26" s="233"/>
      <c r="E26" s="11" t="s">
        <v>1611</v>
      </c>
      <c r="F26" s="15"/>
      <c r="G26" s="11"/>
      <c r="H26" s="57">
        <v>0</v>
      </c>
      <c r="I26" s="12" t="s">
        <v>711</v>
      </c>
      <c r="J26" s="28">
        <v>0</v>
      </c>
      <c r="K26" s="12"/>
      <c r="L26" s="58">
        <f>+H26*J26</f>
        <v>0</v>
      </c>
      <c r="M26" s="12"/>
      <c r="N26" s="22"/>
      <c r="O26" s="57">
        <f>+INDEX('2025 Billing Determinants'!B:B,MATCH('2025 GSLDPR Rate Class E-13c'!A26,'2025 Billing Determinants'!A:A,0))</f>
        <v>352199879.16000003</v>
      </c>
      <c r="P26" s="12" t="s">
        <v>711</v>
      </c>
      <c r="Q26" s="28">
        <f>+Q25+'Time of Day Inputs'!G5</f>
        <v>6.3798000000000032E-3</v>
      </c>
      <c r="R26" s="12"/>
      <c r="S26" s="58">
        <f>+O26*Q26</f>
        <v>2246964.7890649694</v>
      </c>
      <c r="T26" s="233"/>
      <c r="U26" s="12">
        <f t="shared" ref="U26" si="4">+S26-L26</f>
        <v>2246964.7890649694</v>
      </c>
      <c r="V26" s="78" t="str">
        <f>IFERROR(+IF(U26=0,0,(S26-L26)/L26),"New Rate")</f>
        <v>New Rate</v>
      </c>
    </row>
    <row r="27" spans="1:24" x14ac:dyDescent="0.25">
      <c r="A27" s="368"/>
      <c r="B27" s="368"/>
      <c r="D27" s="233">
        <v>10</v>
      </c>
      <c r="E27" s="38" t="s">
        <v>336</v>
      </c>
      <c r="F27" s="15"/>
      <c r="G27" s="233"/>
      <c r="H27" s="12">
        <f>+SUM(H23:H26)</f>
        <v>1274104003.25</v>
      </c>
      <c r="I27" s="12" t="s">
        <v>711</v>
      </c>
      <c r="J27" s="12"/>
      <c r="K27" s="12"/>
      <c r="L27" s="53">
        <f>+SUM(L23:L26)</f>
        <v>13281091.0073289</v>
      </c>
      <c r="M27" s="12"/>
      <c r="N27" s="22"/>
      <c r="O27" s="12">
        <f>+SUM(O23:O26)</f>
        <v>1274104003.25</v>
      </c>
      <c r="P27" s="12" t="s">
        <v>711</v>
      </c>
      <c r="Q27" s="12"/>
      <c r="R27" s="12"/>
      <c r="S27" s="53">
        <f>+SUM(S23:S26)</f>
        <v>13683249.136779588</v>
      </c>
      <c r="T27" s="233"/>
      <c r="U27" s="12">
        <f t="shared" si="2"/>
        <v>402158.12945068814</v>
      </c>
      <c r="V27" s="21">
        <f t="shared" si="3"/>
        <v>3.0280504005940879E-2</v>
      </c>
    </row>
    <row r="28" spans="1:24" x14ac:dyDescent="0.25">
      <c r="A28" s="368"/>
      <c r="B28" s="368"/>
      <c r="D28" s="233">
        <v>11</v>
      </c>
      <c r="E28" s="233"/>
      <c r="F28" s="233"/>
      <c r="G28" s="233"/>
      <c r="H28" s="233"/>
      <c r="I28" s="233"/>
      <c r="J28" s="233"/>
      <c r="K28" s="233"/>
      <c r="L28" s="27"/>
      <c r="M28" s="233"/>
      <c r="N28" s="226"/>
      <c r="O28" s="233"/>
      <c r="P28" s="233"/>
      <c r="Q28" s="233"/>
      <c r="R28" s="233"/>
      <c r="S28" s="27"/>
      <c r="T28" s="233"/>
      <c r="U28" s="233"/>
      <c r="V28" s="233"/>
    </row>
    <row r="29" spans="1:24" x14ac:dyDescent="0.25">
      <c r="A29" s="368"/>
      <c r="B29" s="368"/>
      <c r="D29" s="233">
        <v>12</v>
      </c>
      <c r="E29" s="233" t="s">
        <v>380</v>
      </c>
      <c r="F29" s="15"/>
      <c r="G29" s="233"/>
      <c r="H29" s="233"/>
      <c r="I29" s="12"/>
      <c r="J29" s="12"/>
      <c r="K29" s="12"/>
      <c r="L29" s="19"/>
      <c r="M29" s="12"/>
      <c r="N29" s="22"/>
      <c r="O29" s="12"/>
      <c r="P29" s="12"/>
      <c r="Q29" s="12"/>
      <c r="R29" s="12"/>
      <c r="S29" s="19"/>
      <c r="T29" s="12"/>
      <c r="U29" s="12"/>
      <c r="V29" s="31"/>
    </row>
    <row r="30" spans="1:24" x14ac:dyDescent="0.25">
      <c r="A30" s="368" t="s">
        <v>203</v>
      </c>
      <c r="B30" s="368" t="s">
        <v>686</v>
      </c>
      <c r="D30" s="233">
        <v>13</v>
      </c>
      <c r="E30" s="11" t="s">
        <v>365</v>
      </c>
      <c r="F30" s="15"/>
      <c r="G30" s="11"/>
      <c r="H30" s="13">
        <f>+INDEX('2025 Org Base Case BDs'!B:B,MATCH('2025 GSLDPR Rate Class E-13c'!A30,'2025 Org Base Case BDs'!A:A,0))</f>
        <v>643312.37</v>
      </c>
      <c r="I30" s="12" t="s">
        <v>730</v>
      </c>
      <c r="J30" s="19">
        <f>+INDEX('2024 Base Rates'!E:E,MATCH('2025 GSLDPR Rate Class E-13c'!B30,'2024 Base Rates'!D:D,0))</f>
        <v>11.88</v>
      </c>
      <c r="K30" s="12"/>
      <c r="L30" s="12">
        <f>+H30*J30</f>
        <v>7642550.9556</v>
      </c>
      <c r="M30" s="12"/>
      <c r="N30" s="22"/>
      <c r="O30" s="12">
        <f>+INDEX('2025 Billing Determinants'!B:B,MATCH('2025 GSLDPR Rate Class E-13c'!A30,'2025 Billing Determinants'!A:A,0))</f>
        <v>643312.37</v>
      </c>
      <c r="P30" s="12" t="s">
        <v>730</v>
      </c>
      <c r="Q30" s="19">
        <f>+INDEX('Unit Cost Rate Design Input'!D:D,MATCH('2025 GSLDPR Rate Class E-13c'!B30,'Unit Cost Rate Design Input'!B:B,0))*(1+$B$7)+0.005</f>
        <v>12.998543718400001</v>
      </c>
      <c r="R30" s="12"/>
      <c r="S30" s="12">
        <f>+O30*Q30</f>
        <v>8362123.9660325171</v>
      </c>
      <c r="T30" s="233"/>
      <c r="U30" s="12">
        <f t="shared" ref="U30:U33" si="5">+S30-L30</f>
        <v>719573.01043251716</v>
      </c>
      <c r="V30" s="21">
        <f t="shared" ref="V30:V33" si="6">+IF(U30=0,0,(S30-L30)/L30)</f>
        <v>9.4153511649831725E-2</v>
      </c>
    </row>
    <row r="31" spans="1:24" x14ac:dyDescent="0.25">
      <c r="A31" s="368" t="s">
        <v>220</v>
      </c>
      <c r="B31" s="368" t="s">
        <v>687</v>
      </c>
      <c r="D31" s="233">
        <v>14</v>
      </c>
      <c r="E31" s="11" t="s">
        <v>382</v>
      </c>
      <c r="F31" s="233"/>
      <c r="G31" s="233"/>
      <c r="H31" s="13">
        <f>+INDEX('2025 Org Base Case BDs'!B:B,MATCH('2025 GSLDPR Rate Class E-13c'!A31,'2025 Org Base Case BDs'!A:A,0))</f>
        <v>1888584.92</v>
      </c>
      <c r="I31" s="12" t="s">
        <v>730</v>
      </c>
      <c r="J31" s="19">
        <f>+INDEX('2024 Base Rates'!E:E,MATCH('2025 GSLDPR Rate Class E-13c'!B31,'2024 Base Rates'!D:D,0))</f>
        <v>3.77</v>
      </c>
      <c r="K31" s="12"/>
      <c r="L31" s="12">
        <f>+H31*J31</f>
        <v>7119965.1483999994</v>
      </c>
      <c r="M31" s="12"/>
      <c r="N31" s="22"/>
      <c r="O31" s="12">
        <f>+INDEX('2025 Billing Determinants'!B:B,MATCH('2025 GSLDPR Rate Class E-13c'!A31,'2025 Billing Determinants'!A:A,0))</f>
        <v>1888584.92</v>
      </c>
      <c r="P31" s="12" t="s">
        <v>730</v>
      </c>
      <c r="Q31" s="19">
        <f>+INDEX('Unit Cost Rate Design Input'!D:D,MATCH('2025 GSLDPR Rate Class E-13c'!B31,'Unit Cost Rate Design Input'!B:B,0))*(1+$B$7)</f>
        <v>2.9252046763999999</v>
      </c>
      <c r="R31" s="12"/>
      <c r="S31" s="12">
        <f>+O31*Q31</f>
        <v>5524497.4397625197</v>
      </c>
      <c r="T31" s="233"/>
      <c r="U31" s="12">
        <f t="shared" si="5"/>
        <v>-1595467.7086374797</v>
      </c>
      <c r="V31" s="21">
        <f t="shared" si="6"/>
        <v>-0.22408364021220156</v>
      </c>
    </row>
    <row r="32" spans="1:24" ht="16.5" x14ac:dyDescent="0.35">
      <c r="A32" s="368" t="s">
        <v>221</v>
      </c>
      <c r="B32" s="368" t="s">
        <v>688</v>
      </c>
      <c r="D32" s="233">
        <v>15</v>
      </c>
      <c r="E32" s="11" t="s">
        <v>385</v>
      </c>
      <c r="F32" s="15"/>
      <c r="G32" s="11"/>
      <c r="H32" s="57">
        <f>+INDEX('2025 Org Base Case BDs'!B:B,MATCH('2025 GSLDPR Rate Class E-13c'!A32,'2025 Org Base Case BDs'!A:A,0))</f>
        <v>1780840.11</v>
      </c>
      <c r="I32" s="12" t="s">
        <v>732</v>
      </c>
      <c r="J32" s="19">
        <f>+INDEX('2024 Base Rates'!E:E,MATCH('2025 GSLDPR Rate Class E-13c'!B32,'2024 Base Rates'!D:D,0))</f>
        <v>8.08</v>
      </c>
      <c r="K32" s="12"/>
      <c r="L32" s="58">
        <f>+H32*J32</f>
        <v>14389188.0888</v>
      </c>
      <c r="M32" s="12"/>
      <c r="N32" s="22"/>
      <c r="O32" s="58">
        <f>+INDEX('2025 Billing Determinants'!B:B,MATCH('2025 GSLDPR Rate Class E-13c'!A32,'2025 Billing Determinants'!A:A,0))</f>
        <v>1780840.11</v>
      </c>
      <c r="P32" s="12" t="s">
        <v>732</v>
      </c>
      <c r="Q32" s="19">
        <f>+INDEX('Unit Cost Rate Design Input'!D:D,MATCH('2025 GSLDPR Rate Class E-13c'!B32,'Unit Cost Rate Design Input'!B:B,0))*(1+$B$7)</f>
        <v>10.068339042</v>
      </c>
      <c r="R32" s="12"/>
      <c r="S32" s="58">
        <f>+O32*Q32</f>
        <v>17930102.007072575</v>
      </c>
      <c r="T32" s="233"/>
      <c r="U32" s="12">
        <f t="shared" si="5"/>
        <v>3540913.9182725754</v>
      </c>
      <c r="V32" s="21">
        <f t="shared" si="6"/>
        <v>0.24608156460396044</v>
      </c>
    </row>
    <row r="33" spans="1:22" x14ac:dyDescent="0.25">
      <c r="A33" s="368"/>
      <c r="B33" s="379"/>
      <c r="D33" s="233">
        <v>16</v>
      </c>
      <c r="E33" s="2" t="s">
        <v>331</v>
      </c>
      <c r="F33" s="15"/>
      <c r="G33" s="233"/>
      <c r="H33" s="12">
        <f>+SUM(H30:H31)</f>
        <v>2531897.29</v>
      </c>
      <c r="I33" s="12" t="s">
        <v>730</v>
      </c>
      <c r="J33" s="19"/>
      <c r="K33" s="12"/>
      <c r="L33" s="53">
        <f>+SUM(L30:L32)</f>
        <v>29151704.1928</v>
      </c>
      <c r="M33" s="12"/>
      <c r="N33" s="22"/>
      <c r="O33" s="12">
        <f>+SUM(O30:O31)</f>
        <v>2531897.29</v>
      </c>
      <c r="P33" s="12" t="s">
        <v>730</v>
      </c>
      <c r="Q33" s="30"/>
      <c r="R33" s="12"/>
      <c r="S33" s="53">
        <f>+SUM(S30:S32)</f>
        <v>31816723.412867613</v>
      </c>
      <c r="T33" s="12"/>
      <c r="U33" s="12">
        <f t="shared" si="5"/>
        <v>2665019.2200676128</v>
      </c>
      <c r="V33" s="21">
        <f t="shared" si="6"/>
        <v>9.1418985402775516E-2</v>
      </c>
    </row>
    <row r="34" spans="1:22" x14ac:dyDescent="0.25">
      <c r="A34" s="368"/>
      <c r="B34" s="379"/>
      <c r="D34" s="233">
        <v>17</v>
      </c>
      <c r="E34" s="2"/>
      <c r="F34" s="15"/>
      <c r="G34" s="233"/>
      <c r="H34" s="12"/>
      <c r="I34" s="12"/>
      <c r="J34" s="19"/>
      <c r="K34" s="12"/>
      <c r="L34" s="12"/>
      <c r="M34" s="12"/>
      <c r="N34" s="22"/>
      <c r="O34" s="12"/>
      <c r="P34" s="12"/>
      <c r="Q34" s="30"/>
      <c r="R34" s="12"/>
      <c r="S34" s="12"/>
      <c r="T34" s="12"/>
      <c r="U34" s="12"/>
      <c r="V34" s="23"/>
    </row>
    <row r="35" spans="1:22" x14ac:dyDescent="0.25">
      <c r="A35" s="368"/>
      <c r="B35" s="379"/>
      <c r="D35" s="233">
        <v>18</v>
      </c>
      <c r="E35" s="11" t="s">
        <v>346</v>
      </c>
      <c r="F35" s="11"/>
      <c r="G35" s="233"/>
      <c r="H35" s="354"/>
      <c r="I35" s="12"/>
      <c r="J35" s="12"/>
      <c r="K35" s="12"/>
      <c r="L35" s="19"/>
      <c r="M35" s="12"/>
      <c r="N35" s="22"/>
      <c r="O35" s="233"/>
      <c r="P35" s="12"/>
      <c r="Q35" s="12"/>
      <c r="R35" s="12"/>
      <c r="S35" s="19"/>
      <c r="T35" s="12"/>
      <c r="U35" s="12"/>
      <c r="V35" s="23"/>
    </row>
    <row r="36" spans="1:22" x14ac:dyDescent="0.25">
      <c r="A36" s="368" t="s">
        <v>204</v>
      </c>
      <c r="B36" s="368" t="s">
        <v>693</v>
      </c>
      <c r="D36" s="233">
        <v>19</v>
      </c>
      <c r="E36" s="11" t="s">
        <v>388</v>
      </c>
      <c r="F36" s="233"/>
      <c r="G36" s="233"/>
      <c r="H36" s="12">
        <f>+INDEX('2025 Org Base Case BDs'!B:B,MATCH('2025 GSLDPR Rate Class E-13c'!A36,'2025 Org Base Case BDs'!A:A,0))</f>
        <v>119000.51</v>
      </c>
      <c r="I36" s="12" t="s">
        <v>730</v>
      </c>
      <c r="J36" s="19">
        <f>+INDEX('2024 Base Rates'!E:E,MATCH('2025 GSLDPR Rate Class E-13c'!B36,'2024 Base Rates'!D:D,0))</f>
        <v>0.68</v>
      </c>
      <c r="K36" s="233"/>
      <c r="L36" s="12">
        <f>+H36*J36</f>
        <v>80920.346799999999</v>
      </c>
      <c r="M36" s="233"/>
      <c r="N36" s="226"/>
      <c r="O36" s="12">
        <f>+INDEX('2025 Billing Determinants'!B:B,MATCH('2025 GSLDPR Rate Class E-13c'!A36,'2025 Billing Determinants'!A:A,0))</f>
        <v>119000.51</v>
      </c>
      <c r="P36" s="12" t="s">
        <v>730</v>
      </c>
      <c r="Q36" s="19">
        <f>+INDEX('Unit Cost Rate Design Input'!D:D,MATCH('2025 GSLDPR Rate Class E-13c'!B36,'Unit Cost Rate Design Input'!B:B,0))</f>
        <v>1.02</v>
      </c>
      <c r="R36" s="233"/>
      <c r="S36" s="12">
        <f>+O36*Q36</f>
        <v>121380.5202</v>
      </c>
      <c r="T36" s="233"/>
      <c r="U36" s="12">
        <f t="shared" ref="U36:U38" si="7">+S36-L36</f>
        <v>40460.1734</v>
      </c>
      <c r="V36" s="21">
        <f t="shared" ref="V36:V38" si="8">+IF(U36=0,0,(S36-L36)/L36)</f>
        <v>0.5</v>
      </c>
    </row>
    <row r="37" spans="1:22" ht="16.5" x14ac:dyDescent="0.35">
      <c r="A37" s="368" t="s">
        <v>222</v>
      </c>
      <c r="B37" s="368" t="s">
        <v>694</v>
      </c>
      <c r="D37" s="233">
        <v>20</v>
      </c>
      <c r="E37" s="11" t="s">
        <v>735</v>
      </c>
      <c r="F37" s="233"/>
      <c r="G37" s="233"/>
      <c r="H37" s="58">
        <f>+INDEX('2025 Org Base Case BDs'!B:B,MATCH('2025 GSLDPR Rate Class E-13c'!A37,'2025 Org Base Case BDs'!A:A,0))</f>
        <v>888138.23</v>
      </c>
      <c r="I37" s="12" t="s">
        <v>730</v>
      </c>
      <c r="J37" s="19">
        <f>+INDEX('2024 Base Rates'!E:E,MATCH('2025 GSLDPR Rate Class E-13c'!B37,'2024 Base Rates'!D:D,0))</f>
        <v>0.68</v>
      </c>
      <c r="K37" s="233"/>
      <c r="L37" s="58">
        <f>+H37*J37</f>
        <v>603933.99640000006</v>
      </c>
      <c r="M37" s="233"/>
      <c r="N37" s="226"/>
      <c r="O37" s="58">
        <f>+INDEX('2025 Billing Determinants'!B:B,MATCH('2025 GSLDPR Rate Class E-13c'!A37,'2025 Billing Determinants'!A:A,0))</f>
        <v>888138.23</v>
      </c>
      <c r="P37" s="12" t="s">
        <v>730</v>
      </c>
      <c r="Q37" s="19">
        <f>+INDEX('Unit Cost Rate Design Input'!D:D,MATCH('2025 GSLDPR Rate Class E-13c'!B37,'Unit Cost Rate Design Input'!B:B,0))</f>
        <v>1.02</v>
      </c>
      <c r="R37" s="233"/>
      <c r="S37" s="58">
        <f>+O37*Q37</f>
        <v>905900.99459999998</v>
      </c>
      <c r="T37" s="233"/>
      <c r="U37" s="12">
        <f t="shared" si="7"/>
        <v>301966.99819999991</v>
      </c>
      <c r="V37" s="21">
        <f t="shared" si="8"/>
        <v>0.49999999999999983</v>
      </c>
    </row>
    <row r="38" spans="1:22" x14ac:dyDescent="0.25">
      <c r="A38" s="368"/>
      <c r="B38" s="368"/>
      <c r="D38" s="233">
        <v>21</v>
      </c>
      <c r="E38" s="2" t="s">
        <v>331</v>
      </c>
      <c r="F38" s="15"/>
      <c r="G38" s="233"/>
      <c r="H38" s="13">
        <f>+SUM(H36:H37)</f>
        <v>1007138.74</v>
      </c>
      <c r="I38" s="12" t="s">
        <v>730</v>
      </c>
      <c r="J38" s="19"/>
      <c r="K38" s="12"/>
      <c r="L38" s="53">
        <f>+SUM(L36:L37)</f>
        <v>684854.3432</v>
      </c>
      <c r="M38" s="12"/>
      <c r="N38" s="22"/>
      <c r="O38" s="13">
        <f>+SUM(O36:O37)</f>
        <v>1007138.74</v>
      </c>
      <c r="P38" s="12" t="s">
        <v>730</v>
      </c>
      <c r="Q38" s="19"/>
      <c r="R38" s="12"/>
      <c r="S38" s="53">
        <f>+SUM(S36:S37)</f>
        <v>1027281.5148</v>
      </c>
      <c r="T38" s="12"/>
      <c r="U38" s="12">
        <f t="shared" si="7"/>
        <v>342427.1716</v>
      </c>
      <c r="V38" s="21">
        <f t="shared" si="8"/>
        <v>0.5</v>
      </c>
    </row>
    <row r="39" spans="1:22" x14ac:dyDescent="0.25">
      <c r="A39" s="368"/>
      <c r="B39" s="368"/>
      <c r="D39" s="233">
        <v>22</v>
      </c>
      <c r="E39" s="2"/>
      <c r="F39" s="15"/>
      <c r="G39" s="233"/>
      <c r="H39" s="12"/>
      <c r="I39" s="12"/>
      <c r="J39" s="19"/>
      <c r="K39" s="12"/>
      <c r="L39" s="19"/>
      <c r="M39" s="12"/>
      <c r="N39" s="22"/>
      <c r="O39" s="12"/>
      <c r="P39" s="12"/>
      <c r="Q39" s="19"/>
      <c r="R39" s="12"/>
      <c r="S39" s="19"/>
      <c r="T39" s="12"/>
      <c r="U39" s="12"/>
      <c r="V39" s="23"/>
    </row>
    <row r="40" spans="1:22" x14ac:dyDescent="0.25">
      <c r="A40" s="368"/>
      <c r="B40" s="368"/>
      <c r="D40" s="233">
        <v>23</v>
      </c>
      <c r="E40" s="233" t="s">
        <v>445</v>
      </c>
      <c r="F40" s="233"/>
      <c r="G40" s="233"/>
      <c r="H40" s="233"/>
      <c r="I40" s="233"/>
      <c r="J40" s="233"/>
      <c r="K40" s="233"/>
      <c r="L40" s="27"/>
      <c r="M40" s="233"/>
      <c r="N40" s="226"/>
      <c r="O40" s="233"/>
      <c r="P40" s="233"/>
      <c r="Q40" s="233"/>
      <c r="R40" s="233"/>
      <c r="S40" s="27"/>
      <c r="T40" s="12"/>
      <c r="U40" s="12"/>
      <c r="V40" s="12"/>
    </row>
    <row r="41" spans="1:22" x14ac:dyDescent="0.25">
      <c r="A41" s="368" t="s">
        <v>206</v>
      </c>
      <c r="B41" s="368" t="s">
        <v>689</v>
      </c>
      <c r="D41" s="233">
        <v>24</v>
      </c>
      <c r="E41" s="11" t="s">
        <v>388</v>
      </c>
      <c r="F41" s="233"/>
      <c r="G41" s="233"/>
      <c r="H41" s="12">
        <f>+INDEX('2025 Org Base Case BDs'!B:B,MATCH('2025 GSLDPR Rate Class E-13c'!A41,'2025 Org Base Case BDs'!A:A,0))</f>
        <v>8645931.6999999993</v>
      </c>
      <c r="I41" s="233" t="s">
        <v>840</v>
      </c>
      <c r="J41" s="28">
        <f>+INDEX('2024 Base Rates'!E:E,MATCH('2025 GSLDPR Rate Class E-13c'!B41,'2024 Base Rates'!D:D,0))</f>
        <v>2.0300000000000001E-3</v>
      </c>
      <c r="K41" s="233"/>
      <c r="L41" s="12">
        <f>+H41*J41</f>
        <v>17551.241351000001</v>
      </c>
      <c r="M41" s="233"/>
      <c r="N41" s="226"/>
      <c r="O41" s="372">
        <f>+INDEX('2025 Billing Determinants'!B:B,MATCH('2025 GSLDPR Rate Class E-13c'!A41,'2025 Billing Determinants'!A:A,0))</f>
        <v>8645931.6999999993</v>
      </c>
      <c r="P41" s="233" t="s">
        <v>840</v>
      </c>
      <c r="Q41" s="28">
        <f>+INDEX('Unit Cost Rate Design Input'!D:D,MATCH('2025 GSLDPR Rate Class E-13c'!B41,'Unit Cost Rate Design Input'!B:B,0))</f>
        <v>2.0300000000000001E-3</v>
      </c>
      <c r="R41" s="233"/>
      <c r="S41" s="12">
        <f>+O41*Q41</f>
        <v>17551.241351000001</v>
      </c>
      <c r="T41" s="233"/>
      <c r="U41" s="12">
        <f t="shared" ref="U41:U43" si="9">+S41-L41</f>
        <v>0</v>
      </c>
      <c r="V41" s="21">
        <f t="shared" ref="V41:V43" si="10">+IF(U41=0,0,(S41-L41)/L41)</f>
        <v>0</v>
      </c>
    </row>
    <row r="42" spans="1:22" ht="16.5" x14ac:dyDescent="0.35">
      <c r="A42" s="368" t="s">
        <v>224</v>
      </c>
      <c r="B42" s="368" t="s">
        <v>690</v>
      </c>
      <c r="D42" s="233">
        <v>25</v>
      </c>
      <c r="E42" s="11" t="s">
        <v>735</v>
      </c>
      <c r="F42" s="233"/>
      <c r="G42" s="233"/>
      <c r="H42" s="58">
        <f>+INDEX('2025 Org Base Case BDs'!B:B,MATCH('2025 GSLDPR Rate Class E-13c'!A42,'2025 Org Base Case BDs'!A:A,0))</f>
        <v>27333710.02</v>
      </c>
      <c r="I42" s="233" t="s">
        <v>840</v>
      </c>
      <c r="J42" s="28">
        <f>+INDEX('2024 Base Rates'!E:E,MATCH('2025 GSLDPR Rate Class E-13c'!B42,'2024 Base Rates'!D:D,0))</f>
        <v>2.0300000000000001E-3</v>
      </c>
      <c r="K42" s="233"/>
      <c r="L42" s="58">
        <f>+H42*J42</f>
        <v>55487.4313406</v>
      </c>
      <c r="M42" s="233"/>
      <c r="N42" s="226"/>
      <c r="O42" s="373">
        <f>+INDEX('2025 Billing Determinants'!B:B,MATCH('2025 GSLDPR Rate Class E-13c'!A42,'2025 Billing Determinants'!A:A,0))</f>
        <v>27333710.02</v>
      </c>
      <c r="P42" s="233" t="s">
        <v>840</v>
      </c>
      <c r="Q42" s="28">
        <f>+INDEX('Unit Cost Rate Design Input'!D:D,MATCH('2025 GSLDPR Rate Class E-13c'!B42,'Unit Cost Rate Design Input'!B:B,0))</f>
        <v>2.0300000000000001E-3</v>
      </c>
      <c r="R42" s="233"/>
      <c r="S42" s="58">
        <f>+O42*Q42</f>
        <v>55487.4313406</v>
      </c>
      <c r="T42" s="12"/>
      <c r="U42" s="12">
        <f t="shared" si="9"/>
        <v>0</v>
      </c>
      <c r="V42" s="21">
        <f t="shared" si="10"/>
        <v>0</v>
      </c>
    </row>
    <row r="43" spans="1:22" x14ac:dyDescent="0.25">
      <c r="A43" s="368"/>
      <c r="B43" s="368"/>
      <c r="D43" s="233">
        <v>26</v>
      </c>
      <c r="E43" s="233"/>
      <c r="F43" s="233"/>
      <c r="G43" s="233"/>
      <c r="H43" s="13">
        <f>+SUM(H41:H42)</f>
        <v>35979641.719999999</v>
      </c>
      <c r="I43" s="233" t="s">
        <v>840</v>
      </c>
      <c r="J43" s="233"/>
      <c r="K43" s="233"/>
      <c r="L43" s="53">
        <f>+SUM(L41:L42)</f>
        <v>73038.672691600004</v>
      </c>
      <c r="M43" s="233"/>
      <c r="N43" s="226"/>
      <c r="O43" s="13">
        <f>+SUM(O41:O42)</f>
        <v>35979641.719999999</v>
      </c>
      <c r="P43" s="233" t="s">
        <v>840</v>
      </c>
      <c r="Q43" s="233"/>
      <c r="R43" s="233"/>
      <c r="S43" s="53">
        <f>+SUM(S41:S42)</f>
        <v>73038.672691600004</v>
      </c>
      <c r="T43" s="12"/>
      <c r="U43" s="12">
        <f t="shared" si="9"/>
        <v>0</v>
      </c>
      <c r="V43" s="21">
        <f t="shared" si="10"/>
        <v>0</v>
      </c>
    </row>
    <row r="44" spans="1:22" x14ac:dyDescent="0.25">
      <c r="A44" s="368"/>
      <c r="B44" s="368"/>
      <c r="D44" s="233">
        <v>27</v>
      </c>
      <c r="E44" s="233" t="s">
        <v>446</v>
      </c>
      <c r="F44" s="233"/>
      <c r="G44" s="233"/>
      <c r="H44" s="233"/>
      <c r="I44" s="233"/>
      <c r="J44" s="233"/>
      <c r="K44" s="233"/>
      <c r="L44" s="233"/>
      <c r="M44" s="233"/>
      <c r="N44" s="226"/>
      <c r="O44" s="233"/>
      <c r="P44" s="233"/>
      <c r="Q44" s="233"/>
      <c r="R44" s="233"/>
      <c r="S44" s="233"/>
      <c r="T44" s="233"/>
      <c r="U44" s="233"/>
      <c r="V44" s="233"/>
    </row>
    <row r="45" spans="1:22" x14ac:dyDescent="0.25">
      <c r="A45" s="368" t="s">
        <v>207</v>
      </c>
      <c r="B45" s="368" t="s">
        <v>691</v>
      </c>
      <c r="D45" s="233">
        <v>28</v>
      </c>
      <c r="E45" s="11" t="s">
        <v>388</v>
      </c>
      <c r="F45" s="233"/>
      <c r="G45" s="233"/>
      <c r="H45" s="12">
        <f>+INDEX('2025 Org Base Case BDs'!B:B,MATCH('2025 GSLDPR Rate Class E-13c'!A45,'2025 Org Base Case BDs'!A:A,0))</f>
        <v>36511132.229999997</v>
      </c>
      <c r="I45" s="233" t="s">
        <v>840</v>
      </c>
      <c r="J45" s="28">
        <f>+INDEX('2024 Base Rates'!E:E,MATCH('2025 GSLDPR Rate Class E-13c'!B45,'2024 Base Rates'!D:D,0))</f>
        <v>-1.0200000000000001E-3</v>
      </c>
      <c r="K45" s="233"/>
      <c r="L45" s="12">
        <f>+H45*J45</f>
        <v>-37241.354874600001</v>
      </c>
      <c r="M45" s="233"/>
      <c r="N45" s="226"/>
      <c r="O45" s="372">
        <f>+INDEX('2025 Billing Determinants'!B:B,MATCH('2025 GSLDPR Rate Class E-13c'!A45,'2025 Billing Determinants'!A:A,0))</f>
        <v>36511132.229999997</v>
      </c>
      <c r="P45" s="233" t="s">
        <v>840</v>
      </c>
      <c r="Q45" s="28">
        <f>+INDEX('Unit Cost Rate Design Input'!D:D,MATCH('2025 GSLDPR Rate Class E-13c'!B45,'Unit Cost Rate Design Input'!B:B,0))</f>
        <v>-1.0200000000000001E-3</v>
      </c>
      <c r="R45" s="233"/>
      <c r="S45" s="12">
        <f>+O45*Q45</f>
        <v>-37241.354874600001</v>
      </c>
      <c r="T45" s="233"/>
      <c r="U45" s="12">
        <f t="shared" ref="U45:U47" si="11">+S45-L45</f>
        <v>0</v>
      </c>
      <c r="V45" s="21">
        <f t="shared" ref="V45:V47" si="12">+IF(U45=0,0,(S45-L45)/L45)</f>
        <v>0</v>
      </c>
    </row>
    <row r="46" spans="1:22" ht="16.5" x14ac:dyDescent="0.35">
      <c r="A46" s="368" t="s">
        <v>225</v>
      </c>
      <c r="B46" s="368" t="s">
        <v>692</v>
      </c>
      <c r="D46" s="233">
        <v>29</v>
      </c>
      <c r="E46" s="233" t="s">
        <v>735</v>
      </c>
      <c r="F46" s="233"/>
      <c r="G46" s="233"/>
      <c r="H46" s="58">
        <f>+INDEX('2025 Org Base Case BDs'!B:B,MATCH('2025 GSLDPR Rate Class E-13c'!A46,'2025 Org Base Case BDs'!A:A,0))</f>
        <v>109235089.39</v>
      </c>
      <c r="I46" s="233" t="s">
        <v>840</v>
      </c>
      <c r="J46" s="28">
        <f>+INDEX('2024 Base Rates'!E:E,MATCH('2025 GSLDPR Rate Class E-13c'!B46,'2024 Base Rates'!D:D,0))</f>
        <v>-1.0200000000000001E-3</v>
      </c>
      <c r="K46" s="233"/>
      <c r="L46" s="373">
        <f>+H46*J46</f>
        <v>-111419.79117780001</v>
      </c>
      <c r="M46" s="233"/>
      <c r="N46" s="226"/>
      <c r="O46" s="373">
        <f>+INDEX('2025 Billing Determinants'!B:B,MATCH('2025 GSLDPR Rate Class E-13c'!A46,'2025 Billing Determinants'!A:A,0))</f>
        <v>109235089.39</v>
      </c>
      <c r="P46" s="233" t="s">
        <v>840</v>
      </c>
      <c r="Q46" s="28">
        <f>+INDEX('Unit Cost Rate Design Input'!D:D,MATCH('2025 GSLDPR Rate Class E-13c'!B46,'Unit Cost Rate Design Input'!B:B,0))</f>
        <v>-1.0200000000000001E-3</v>
      </c>
      <c r="R46" s="233"/>
      <c r="S46" s="373">
        <f>+O46*Q46</f>
        <v>-111419.79117780001</v>
      </c>
      <c r="T46" s="233"/>
      <c r="U46" s="12">
        <f t="shared" si="11"/>
        <v>0</v>
      </c>
      <c r="V46" s="21">
        <f t="shared" si="12"/>
        <v>0</v>
      </c>
    </row>
    <row r="47" spans="1:22" x14ac:dyDescent="0.25">
      <c r="A47" s="368"/>
      <c r="B47" s="368"/>
      <c r="D47" s="233">
        <v>30</v>
      </c>
      <c r="E47" s="233" t="s">
        <v>331</v>
      </c>
      <c r="F47" s="233"/>
      <c r="G47" s="233"/>
      <c r="H47" s="13">
        <f>+SUM(H45:H46)</f>
        <v>145746221.62</v>
      </c>
      <c r="I47" s="233"/>
      <c r="J47" s="233"/>
      <c r="K47" s="233"/>
      <c r="L47" s="354">
        <f>+SUM(L45:L46)</f>
        <v>-148661.1460524</v>
      </c>
      <c r="M47" s="233"/>
      <c r="N47" s="226"/>
      <c r="O47" s="13">
        <f>+SUM(O45:O46)</f>
        <v>145746221.62</v>
      </c>
      <c r="P47" s="233"/>
      <c r="Q47" s="233"/>
      <c r="R47" s="233"/>
      <c r="S47" s="354">
        <f>+SUM(S45:S46)</f>
        <v>-148661.1460524</v>
      </c>
      <c r="T47" s="233"/>
      <c r="U47" s="12">
        <f t="shared" si="11"/>
        <v>0</v>
      </c>
      <c r="V47" s="21">
        <f t="shared" si="12"/>
        <v>0</v>
      </c>
    </row>
    <row r="48" spans="1:22" x14ac:dyDescent="0.25">
      <c r="A48" s="368"/>
      <c r="B48" s="368"/>
      <c r="D48" s="233">
        <v>31</v>
      </c>
      <c r="E48" s="2"/>
      <c r="F48" s="15"/>
      <c r="G48" s="233"/>
      <c r="H48" s="12"/>
      <c r="I48" s="12"/>
      <c r="J48" s="19"/>
      <c r="K48" s="12"/>
      <c r="L48" s="12"/>
      <c r="M48" s="12"/>
      <c r="N48" s="22"/>
      <c r="O48" s="12"/>
      <c r="P48" s="12"/>
      <c r="Q48" s="30"/>
      <c r="R48" s="12"/>
      <c r="S48" s="12"/>
      <c r="T48" s="12"/>
      <c r="U48" s="12"/>
      <c r="V48" s="23"/>
    </row>
    <row r="49" spans="1:22" x14ac:dyDescent="0.25">
      <c r="A49" s="368"/>
      <c r="B49" s="368"/>
      <c r="D49" s="233">
        <v>32</v>
      </c>
      <c r="E49" s="233" t="s">
        <v>812</v>
      </c>
      <c r="F49" s="233"/>
      <c r="G49" s="233"/>
      <c r="H49" s="233"/>
      <c r="I49" s="233"/>
      <c r="J49" s="233"/>
      <c r="K49" s="233"/>
      <c r="L49" s="233"/>
      <c r="M49" s="233"/>
      <c r="N49" s="226"/>
      <c r="O49" s="233"/>
      <c r="P49" s="233"/>
      <c r="Q49" s="233"/>
      <c r="R49" s="233"/>
      <c r="S49" s="233"/>
      <c r="T49" s="233"/>
      <c r="U49" s="233"/>
      <c r="V49" s="233"/>
    </row>
    <row r="50" spans="1:22" x14ac:dyDescent="0.25">
      <c r="A50" s="368"/>
      <c r="B50" s="368" t="s">
        <v>695</v>
      </c>
      <c r="D50" s="233">
        <v>33</v>
      </c>
      <c r="E50" s="11" t="s">
        <v>388</v>
      </c>
      <c r="F50" s="233"/>
      <c r="G50" s="233"/>
      <c r="H50" s="372">
        <v>0</v>
      </c>
      <c r="I50" s="233" t="s">
        <v>807</v>
      </c>
      <c r="J50" s="39">
        <f>+INDEX('2024 Base Rates'!E:E,MATCH('2025 GSLDPR Rate Class E-13c'!B50,'2024 Base Rates'!D:D,0))</f>
        <v>-0.01</v>
      </c>
      <c r="K50" s="233"/>
      <c r="L50" s="12">
        <f>+H50*J50</f>
        <v>0</v>
      </c>
      <c r="M50" s="233"/>
      <c r="N50" s="226"/>
      <c r="O50" s="372">
        <v>0</v>
      </c>
      <c r="P50" s="233" t="s">
        <v>807</v>
      </c>
      <c r="Q50" s="39">
        <f>+J50</f>
        <v>-0.01</v>
      </c>
      <c r="R50" s="233"/>
      <c r="S50" s="12">
        <f>+O50*Q50</f>
        <v>0</v>
      </c>
      <c r="T50" s="233"/>
      <c r="U50" s="12">
        <f t="shared" ref="U50:U52" si="13">+S50-L50</f>
        <v>0</v>
      </c>
      <c r="V50" s="21">
        <f t="shared" ref="V50:V52" si="14">+IF(U50=0,0,(S50-L50)/L50)</f>
        <v>0</v>
      </c>
    </row>
    <row r="51" spans="1:22" x14ac:dyDescent="0.25">
      <c r="A51" s="368"/>
      <c r="B51" s="368" t="s">
        <v>696</v>
      </c>
      <c r="D51" s="233">
        <v>34</v>
      </c>
      <c r="E51" s="233" t="s">
        <v>735</v>
      </c>
      <c r="F51" s="233"/>
      <c r="G51" s="233"/>
      <c r="H51" s="373">
        <v>0</v>
      </c>
      <c r="I51" s="233" t="s">
        <v>807</v>
      </c>
      <c r="J51" s="39">
        <f>+INDEX('2024 Base Rates'!E:E,MATCH('2025 GSLDPR Rate Class E-13c'!B51,'2024 Base Rates'!D:D,0))</f>
        <v>-0.01</v>
      </c>
      <c r="K51" s="233"/>
      <c r="L51" s="373">
        <f>+H51*J51</f>
        <v>0</v>
      </c>
      <c r="M51" s="233"/>
      <c r="N51" s="226"/>
      <c r="O51" s="373">
        <v>0</v>
      </c>
      <c r="P51" s="233" t="s">
        <v>807</v>
      </c>
      <c r="Q51" s="39">
        <f>+J51</f>
        <v>-0.01</v>
      </c>
      <c r="R51" s="233"/>
      <c r="S51" s="373">
        <f>+O51*Q51</f>
        <v>0</v>
      </c>
      <c r="T51" s="233"/>
      <c r="U51" s="12">
        <f t="shared" si="13"/>
        <v>0</v>
      </c>
      <c r="V51" s="21">
        <f t="shared" si="14"/>
        <v>0</v>
      </c>
    </row>
    <row r="52" spans="1:22" x14ac:dyDescent="0.25">
      <c r="D52" s="233">
        <v>35</v>
      </c>
      <c r="E52" s="233" t="s">
        <v>331</v>
      </c>
      <c r="F52" s="233"/>
      <c r="G52" s="233"/>
      <c r="H52" s="372">
        <f>+SUM(H50:H51)</f>
        <v>0</v>
      </c>
      <c r="I52" s="233" t="s">
        <v>807</v>
      </c>
      <c r="J52" s="233"/>
      <c r="K52" s="233"/>
      <c r="L52" s="354">
        <f>+SUM(L50:L51)</f>
        <v>0</v>
      </c>
      <c r="M52" s="233"/>
      <c r="N52" s="226"/>
      <c r="O52" s="372">
        <f>+SUM(O50:O51)</f>
        <v>0</v>
      </c>
      <c r="P52" s="233" t="s">
        <v>807</v>
      </c>
      <c r="Q52" s="233"/>
      <c r="R52" s="233"/>
      <c r="S52" s="354">
        <f>+SUM(S50:S51)</f>
        <v>0</v>
      </c>
      <c r="T52" s="233"/>
      <c r="U52" s="12">
        <f t="shared" si="13"/>
        <v>0</v>
      </c>
      <c r="V52" s="21">
        <f t="shared" si="14"/>
        <v>0</v>
      </c>
    </row>
    <row r="53" spans="1:22" x14ac:dyDescent="0.25">
      <c r="D53" s="233">
        <v>36</v>
      </c>
    </row>
    <row r="54" spans="1:22" ht="15.75" thickBot="1" x14ac:dyDescent="0.3">
      <c r="D54" s="233">
        <v>37</v>
      </c>
      <c r="E54" s="11" t="s">
        <v>337</v>
      </c>
      <c r="F54" s="11"/>
      <c r="G54" s="233"/>
      <c r="H54" s="233"/>
      <c r="I54" s="12"/>
      <c r="J54" s="12"/>
      <c r="K54" s="12"/>
      <c r="L54" s="56">
        <f>+L20+L27+L33+L38+L43+L47+L52</f>
        <v>43471400.1163681</v>
      </c>
      <c r="M54" s="12"/>
      <c r="N54" s="22"/>
      <c r="O54" s="12"/>
      <c r="P54" s="12"/>
      <c r="Q54" s="12"/>
      <c r="R54" s="12"/>
      <c r="S54" s="56">
        <f>+S20+S27+S33+S38+S43+S47+S52</f>
        <v>46922798.120486401</v>
      </c>
      <c r="T54" s="233"/>
      <c r="U54" s="12">
        <f>+S54-L54</f>
        <v>3451398.004118301</v>
      </c>
      <c r="V54" s="21">
        <f>+IF(U54=0,0,(S54-L54)/L54)</f>
        <v>7.9394682363100627E-2</v>
      </c>
    </row>
    <row r="55" spans="1:22" ht="16.5" thickTop="1" thickBot="1" x14ac:dyDescent="0.3">
      <c r="D55" s="306">
        <v>39</v>
      </c>
      <c r="E55" s="306" t="s">
        <v>743</v>
      </c>
      <c r="F55" s="306"/>
      <c r="G55" s="306"/>
      <c r="H55" s="306"/>
      <c r="I55" s="306"/>
      <c r="J55" s="306"/>
      <c r="K55" s="306"/>
      <c r="L55" s="306"/>
      <c r="M55" s="306"/>
      <c r="N55" s="314"/>
      <c r="O55" s="306"/>
      <c r="P55" s="306"/>
      <c r="Q55" s="306"/>
      <c r="R55" s="306"/>
      <c r="S55" s="306"/>
      <c r="T55" s="306"/>
      <c r="U55" s="306"/>
      <c r="V55" s="326"/>
    </row>
    <row r="56" spans="1:22" x14ac:dyDescent="0.25"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26"/>
      <c r="O56" s="233"/>
      <c r="P56" s="233"/>
      <c r="Q56" s="233"/>
      <c r="R56" s="233"/>
      <c r="S56" s="233"/>
      <c r="T56" s="233"/>
      <c r="U56" s="233"/>
      <c r="V56" s="233" t="s">
        <v>304</v>
      </c>
    </row>
    <row r="57" spans="1:22" x14ac:dyDescent="0.25">
      <c r="D57" s="233"/>
      <c r="E57" s="233"/>
      <c r="F57" s="233"/>
      <c r="G57" s="233"/>
      <c r="H57" s="233"/>
      <c r="I57" s="233"/>
      <c r="J57" s="233"/>
      <c r="K57" s="590"/>
      <c r="L57" s="590"/>
      <c r="M57" s="590"/>
      <c r="N57" s="590"/>
      <c r="O57" s="590"/>
      <c r="P57" s="233"/>
      <c r="Q57" s="233"/>
      <c r="R57" s="233"/>
      <c r="S57" s="233"/>
      <c r="T57" s="233"/>
      <c r="U57" s="233"/>
      <c r="V57" s="233"/>
    </row>
    <row r="58" spans="1:22" ht="15.75" thickBot="1" x14ac:dyDescent="0.3">
      <c r="D58" s="306" t="s">
        <v>305</v>
      </c>
      <c r="E58" s="306"/>
      <c r="F58" s="306"/>
      <c r="G58" s="306"/>
      <c r="H58" s="306"/>
      <c r="I58" s="306"/>
      <c r="J58" s="306"/>
      <c r="K58" s="591" t="s">
        <v>306</v>
      </c>
      <c r="L58" s="591"/>
      <c r="M58" s="591"/>
      <c r="N58" s="591"/>
      <c r="O58" s="591"/>
      <c r="P58" s="306"/>
      <c r="Q58" s="306"/>
      <c r="R58" s="306"/>
      <c r="S58" s="306"/>
      <c r="T58" s="306"/>
      <c r="U58" s="306"/>
      <c r="V58" s="326" t="s">
        <v>886</v>
      </c>
    </row>
    <row r="59" spans="1:22" x14ac:dyDescent="0.25">
      <c r="D59" s="233" t="s">
        <v>307</v>
      </c>
      <c r="E59" s="233"/>
      <c r="F59" s="233"/>
      <c r="G59" s="233"/>
      <c r="H59" s="233" t="s">
        <v>308</v>
      </c>
      <c r="I59" s="233"/>
      <c r="J59" s="233" t="s">
        <v>913</v>
      </c>
      <c r="K59" s="233"/>
      <c r="L59" s="233"/>
      <c r="M59" s="233"/>
      <c r="N59" s="316"/>
      <c r="O59" s="309"/>
      <c r="P59" s="233"/>
      <c r="Q59" s="309"/>
      <c r="R59" s="309"/>
      <c r="S59" s="309" t="s">
        <v>309</v>
      </c>
      <c r="T59" s="233"/>
      <c r="U59" s="233"/>
      <c r="V59" s="310"/>
    </row>
    <row r="60" spans="1:22" x14ac:dyDescent="0.25">
      <c r="D60" s="233"/>
      <c r="E60" s="233"/>
      <c r="F60" s="233"/>
      <c r="G60" s="233"/>
      <c r="H60" s="233"/>
      <c r="I60" s="233"/>
      <c r="J60" s="233" t="s">
        <v>914</v>
      </c>
      <c r="K60" s="233"/>
      <c r="L60" s="233"/>
      <c r="M60" s="233"/>
      <c r="N60" s="226"/>
      <c r="O60" s="310"/>
      <c r="P60" s="233"/>
      <c r="Q60" s="233"/>
      <c r="R60" s="311"/>
      <c r="S60" s="311"/>
      <c r="T60" s="311" t="s">
        <v>919</v>
      </c>
      <c r="U60" s="310" t="s">
        <v>920</v>
      </c>
      <c r="V60" s="311"/>
    </row>
    <row r="61" spans="1:22" x14ac:dyDescent="0.25">
      <c r="D61" s="233" t="s">
        <v>310</v>
      </c>
      <c r="E61" s="233"/>
      <c r="F61" s="233"/>
      <c r="G61" s="233"/>
      <c r="H61" s="233"/>
      <c r="I61" s="233"/>
      <c r="J61" s="233" t="s">
        <v>915</v>
      </c>
      <c r="K61" s="233"/>
      <c r="L61" s="233"/>
      <c r="M61" s="233"/>
      <c r="N61" s="226"/>
      <c r="O61" s="310"/>
      <c r="P61" s="311"/>
      <c r="Q61" s="233"/>
      <c r="R61" s="233"/>
      <c r="S61" s="311"/>
      <c r="T61" s="311"/>
      <c r="U61" s="310" t="s">
        <v>937</v>
      </c>
      <c r="V61" s="311"/>
    </row>
    <row r="62" spans="1:22" x14ac:dyDescent="0.25">
      <c r="D62" s="233"/>
      <c r="E62" s="233"/>
      <c r="F62" s="233"/>
      <c r="G62" s="233"/>
      <c r="H62" s="233"/>
      <c r="I62" s="233"/>
      <c r="J62" s="233" t="s">
        <v>916</v>
      </c>
      <c r="K62" s="233"/>
      <c r="L62" s="233"/>
      <c r="M62" s="233"/>
      <c r="N62" s="226"/>
      <c r="O62" s="310"/>
      <c r="P62" s="311"/>
      <c r="Q62" s="233"/>
      <c r="R62" s="233"/>
      <c r="S62" s="311"/>
      <c r="T62" s="311"/>
      <c r="U62" s="310" t="s">
        <v>938</v>
      </c>
      <c r="V62" s="311"/>
    </row>
    <row r="63" spans="1:22" x14ac:dyDescent="0.25">
      <c r="D63" s="233"/>
      <c r="E63" s="233"/>
      <c r="F63" s="311"/>
      <c r="G63" s="233"/>
      <c r="H63" s="233"/>
      <c r="I63" s="233"/>
      <c r="J63" s="233" t="s">
        <v>917</v>
      </c>
      <c r="K63" s="317"/>
      <c r="L63" s="317"/>
      <c r="M63" s="317"/>
      <c r="N63" s="226"/>
      <c r="O63" s="233"/>
      <c r="P63" s="233"/>
      <c r="Q63" s="233"/>
      <c r="R63" s="233"/>
      <c r="S63" s="233"/>
      <c r="T63" s="233"/>
      <c r="U63" s="233" t="s">
        <v>311</v>
      </c>
      <c r="V63" s="233"/>
    </row>
    <row r="64" spans="1:22" ht="15.75" thickBot="1" x14ac:dyDescent="0.3">
      <c r="D64" s="306" t="s">
        <v>1642</v>
      </c>
      <c r="E64" s="306"/>
      <c r="F64" s="326"/>
      <c r="G64" s="319"/>
      <c r="H64" s="319"/>
      <c r="I64" s="319"/>
      <c r="J64" s="361" t="s">
        <v>918</v>
      </c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</row>
    <row r="65" spans="1:22" x14ac:dyDescent="0.25">
      <c r="D65" s="233"/>
      <c r="E65" s="233"/>
      <c r="F65" s="233"/>
      <c r="G65" s="233"/>
      <c r="H65" s="317"/>
      <c r="I65" s="233"/>
      <c r="J65" s="317"/>
      <c r="K65" s="362"/>
      <c r="L65" s="317"/>
      <c r="M65" s="233"/>
      <c r="N65" s="317"/>
      <c r="O65" s="233"/>
      <c r="P65" s="362"/>
      <c r="Q65" s="233"/>
      <c r="R65" s="233"/>
      <c r="S65" s="233"/>
      <c r="T65" s="233"/>
      <c r="U65" s="233"/>
      <c r="V65" s="233"/>
    </row>
    <row r="66" spans="1:22" x14ac:dyDescent="0.25">
      <c r="D66" s="233"/>
      <c r="E66" s="233"/>
      <c r="F66" s="233"/>
      <c r="G66" s="233"/>
      <c r="H66" s="362"/>
      <c r="I66" s="233"/>
      <c r="J66" s="233"/>
      <c r="K66" s="362"/>
      <c r="L66" s="233"/>
      <c r="M66" s="233"/>
      <c r="N66" s="317"/>
      <c r="O66" s="233"/>
      <c r="P66" s="362"/>
      <c r="Q66" s="233"/>
      <c r="R66" s="233"/>
      <c r="S66" s="233"/>
      <c r="T66" s="233"/>
      <c r="U66" s="233"/>
      <c r="V66" s="233"/>
    </row>
    <row r="67" spans="1:22" x14ac:dyDescent="0.25">
      <c r="D67" s="233"/>
      <c r="E67" s="233"/>
      <c r="F67" s="233"/>
      <c r="G67" s="233"/>
      <c r="H67" s="233"/>
      <c r="I67" s="362"/>
      <c r="J67" s="362"/>
      <c r="K67" s="363"/>
      <c r="L67" s="363" t="s">
        <v>312</v>
      </c>
      <c r="M67" s="317"/>
      <c r="N67" s="364" t="s">
        <v>745</v>
      </c>
      <c r="O67" s="362"/>
      <c r="P67" s="233"/>
      <c r="Q67" s="362"/>
      <c r="R67" s="362"/>
      <c r="S67" s="362"/>
      <c r="T67" s="362"/>
      <c r="U67" s="362"/>
      <c r="V67" s="233"/>
    </row>
    <row r="68" spans="1:22" x14ac:dyDescent="0.25">
      <c r="D68" s="233"/>
      <c r="E68" s="233"/>
      <c r="F68" s="233"/>
      <c r="G68" s="233"/>
      <c r="H68" s="233"/>
      <c r="I68" s="362"/>
      <c r="J68" s="362"/>
      <c r="K68" s="362"/>
      <c r="L68" s="362"/>
      <c r="M68" s="362"/>
      <c r="N68" s="317"/>
      <c r="O68" s="362"/>
      <c r="P68" s="362"/>
      <c r="Q68" s="362"/>
      <c r="R68" s="362"/>
      <c r="S68" s="362"/>
      <c r="T68" s="362"/>
      <c r="U68" s="362"/>
      <c r="V68" s="362"/>
    </row>
    <row r="69" spans="1:22" x14ac:dyDescent="0.25">
      <c r="D69" s="226" t="s">
        <v>314</v>
      </c>
      <c r="E69" s="371" t="s">
        <v>315</v>
      </c>
      <c r="F69" s="2"/>
      <c r="G69" s="3"/>
      <c r="H69" s="4"/>
      <c r="I69" s="4"/>
      <c r="J69" s="5" t="s">
        <v>316</v>
      </c>
      <c r="K69" s="4"/>
      <c r="L69" s="4"/>
      <c r="M69" s="2"/>
      <c r="N69" s="6"/>
      <c r="O69" s="4"/>
      <c r="P69" s="5"/>
      <c r="Q69" s="5" t="s">
        <v>317</v>
      </c>
      <c r="R69" s="4"/>
      <c r="S69" s="4"/>
      <c r="T69" s="2"/>
      <c r="U69" s="7" t="s">
        <v>318</v>
      </c>
      <c r="V69" s="7" t="s">
        <v>319</v>
      </c>
    </row>
    <row r="70" spans="1:22" ht="15.75" thickBot="1" x14ac:dyDescent="0.3">
      <c r="A70" s="216" t="s">
        <v>552</v>
      </c>
      <c r="B70" s="216" t="s">
        <v>553</v>
      </c>
      <c r="D70" s="314" t="s">
        <v>320</v>
      </c>
      <c r="E70" s="367" t="s">
        <v>321</v>
      </c>
      <c r="F70" s="8"/>
      <c r="G70" s="306"/>
      <c r="H70" s="314" t="s">
        <v>322</v>
      </c>
      <c r="I70" s="9"/>
      <c r="J70" s="9" t="s">
        <v>323</v>
      </c>
      <c r="K70" s="9"/>
      <c r="L70" s="9" t="s">
        <v>324</v>
      </c>
      <c r="M70" s="9"/>
      <c r="N70" s="9"/>
      <c r="O70" s="9" t="s">
        <v>322</v>
      </c>
      <c r="P70" s="9"/>
      <c r="Q70" s="9" t="s">
        <v>323</v>
      </c>
      <c r="R70" s="9"/>
      <c r="S70" s="9" t="s">
        <v>324</v>
      </c>
      <c r="T70" s="8"/>
      <c r="U70" s="10" t="s">
        <v>325</v>
      </c>
      <c r="V70" s="10" t="s">
        <v>326</v>
      </c>
    </row>
    <row r="71" spans="1:22" x14ac:dyDescent="0.25">
      <c r="B71" s="368"/>
      <c r="D71" s="233">
        <v>1</v>
      </c>
      <c r="E71" s="353"/>
      <c r="F71" s="11"/>
      <c r="G71" s="233"/>
      <c r="H71" s="233"/>
      <c r="I71" s="15"/>
      <c r="J71" s="15"/>
      <c r="K71" s="15"/>
      <c r="L71" s="15"/>
      <c r="M71" s="11"/>
      <c r="N71" s="6"/>
      <c r="O71" s="11"/>
      <c r="P71" s="15"/>
      <c r="Q71" s="15"/>
      <c r="R71" s="15"/>
      <c r="S71" s="15"/>
      <c r="T71" s="15"/>
      <c r="U71" s="15"/>
      <c r="V71" s="15"/>
    </row>
    <row r="72" spans="1:22" x14ac:dyDescent="0.25">
      <c r="A72" s="368"/>
      <c r="B72" s="368"/>
      <c r="D72" s="233">
        <v>2</v>
      </c>
      <c r="E72" s="11" t="s">
        <v>327</v>
      </c>
      <c r="F72" s="233"/>
      <c r="G72" s="233"/>
      <c r="H72" s="233"/>
      <c r="I72" s="233"/>
      <c r="J72" s="233"/>
      <c r="K72" s="233"/>
      <c r="L72" s="233"/>
      <c r="M72" s="233"/>
      <c r="N72" s="226"/>
      <c r="O72" s="233"/>
      <c r="P72" s="233"/>
      <c r="Q72" s="233"/>
      <c r="R72" s="233"/>
      <c r="S72" s="233"/>
      <c r="T72" s="233"/>
      <c r="U72" s="233"/>
      <c r="V72" s="233"/>
    </row>
    <row r="73" spans="1:22" x14ac:dyDescent="0.25">
      <c r="A73" s="368" t="s">
        <v>236</v>
      </c>
      <c r="B73" s="368" t="s">
        <v>621</v>
      </c>
      <c r="D73" s="233">
        <v>3</v>
      </c>
      <c r="E73" s="359" t="s">
        <v>746</v>
      </c>
      <c r="F73" s="233"/>
      <c r="G73" s="233"/>
      <c r="H73" s="233">
        <f>+INDEX('2025 Org Base Case BDs'!B:B,MATCH('2025 GSLDPR Rate Class E-13c'!A73,'2025 Org Base Case BDs'!A:A,0))</f>
        <v>0</v>
      </c>
      <c r="I73" s="12" t="s">
        <v>329</v>
      </c>
      <c r="J73" s="27">
        <f>+INDEX('2024 Base Rates'!E:E,MATCH('2025 GSLDPR Rate Class E-13c'!B73,'2024 Base Rates'!D:D,0))</f>
        <v>20.350000000000001</v>
      </c>
      <c r="K73" s="233"/>
      <c r="L73" s="12">
        <f>+H73*J73</f>
        <v>0</v>
      </c>
      <c r="M73" s="233"/>
      <c r="N73" s="226"/>
      <c r="O73" s="233">
        <f>+INDEX('2025 Billing Determinants'!B:B,MATCH('2025 GSLDPR Rate Class E-13c'!A73,'2025 Billing Determinants'!A:A,0))</f>
        <v>0</v>
      </c>
      <c r="P73" s="12" t="s">
        <v>329</v>
      </c>
      <c r="Q73" s="19">
        <f>+INDEX('Unit Cost Rate Design Input'!D:D,MATCH('2025 GSLDPR Rate Class E-13c'!B73,'Unit Cost Rate Design Input'!B:B,0))</f>
        <v>22.24</v>
      </c>
      <c r="R73" s="233"/>
      <c r="S73" s="12">
        <f>+O73*Q73</f>
        <v>0</v>
      </c>
      <c r="T73" s="233"/>
      <c r="U73" s="12">
        <f t="shared" ref="U73:U75" si="15">+S73-L73</f>
        <v>0</v>
      </c>
      <c r="V73" s="21">
        <f t="shared" ref="V73:V75" si="16">+IF(U73=0,0,(S73-L73)/L73)</f>
        <v>0</v>
      </c>
    </row>
    <row r="74" spans="1:22" ht="16.5" x14ac:dyDescent="0.35">
      <c r="A74" s="368" t="s">
        <v>260</v>
      </c>
      <c r="B74" s="368" t="s">
        <v>622</v>
      </c>
      <c r="D74" s="233">
        <v>4</v>
      </c>
      <c r="E74" s="233" t="s">
        <v>747</v>
      </c>
      <c r="F74" s="11"/>
      <c r="G74" s="233"/>
      <c r="H74" s="57">
        <f>+INDEX('2025 Org Base Case BDs'!B:B,MATCH('2025 GSLDPR Rate Class E-13c'!A74,'2025 Org Base Case BDs'!A:A,0))</f>
        <v>358</v>
      </c>
      <c r="I74" s="12" t="s">
        <v>329</v>
      </c>
      <c r="J74" s="27">
        <f>+INDEX('2024 Base Rates'!E:E,MATCH('2025 GSLDPR Rate Class E-13c'!B74,'2024 Base Rates'!D:D,0))</f>
        <v>20.350000000000001</v>
      </c>
      <c r="K74" s="12"/>
      <c r="L74" s="58">
        <f>+H74*J74</f>
        <v>7285.3</v>
      </c>
      <c r="M74" s="13"/>
      <c r="N74" s="22"/>
      <c r="O74" s="57">
        <f>+INDEX('2025 Billing Determinants'!B:B,MATCH('2025 GSLDPR Rate Class E-13c'!A74,'2025 Billing Determinants'!A:A,0))</f>
        <v>358</v>
      </c>
      <c r="P74" s="12" t="s">
        <v>329</v>
      </c>
      <c r="Q74" s="19">
        <f>+INDEX('Unit Cost Rate Design Input'!D:D,MATCH('2025 GSLDPR Rate Class E-13c'!B74,'Unit Cost Rate Design Input'!B:B,0))</f>
        <v>22.24</v>
      </c>
      <c r="R74" s="12"/>
      <c r="S74" s="58">
        <f>+O74*Q74</f>
        <v>7961.9199999999992</v>
      </c>
      <c r="T74" s="233"/>
      <c r="U74" s="12">
        <f t="shared" si="15"/>
        <v>676.61999999999898</v>
      </c>
      <c r="V74" s="21">
        <f t="shared" si="16"/>
        <v>9.287469287469273E-2</v>
      </c>
    </row>
    <row r="75" spans="1:22" x14ac:dyDescent="0.25">
      <c r="A75" s="368"/>
      <c r="B75" s="368"/>
      <c r="D75" s="233">
        <v>5</v>
      </c>
      <c r="E75" s="11" t="s">
        <v>748</v>
      </c>
      <c r="F75" s="11"/>
      <c r="G75" s="233"/>
      <c r="H75" s="352">
        <f>+SUM(H73:H74)</f>
        <v>358</v>
      </c>
      <c r="I75" s="12" t="s">
        <v>342</v>
      </c>
      <c r="J75" s="27"/>
      <c r="K75" s="12"/>
      <c r="L75" s="53">
        <f>+SUM(L73:L74)</f>
        <v>7285.3</v>
      </c>
      <c r="M75" s="12"/>
      <c r="N75" s="22"/>
      <c r="O75" s="352">
        <f>+SUM(O73:O74)</f>
        <v>358</v>
      </c>
      <c r="P75" s="12" t="s">
        <v>342</v>
      </c>
      <c r="Q75" s="27"/>
      <c r="R75" s="12"/>
      <c r="S75" s="53">
        <f>+SUM(S73:S74)</f>
        <v>7961.9199999999992</v>
      </c>
      <c r="T75" s="233"/>
      <c r="U75" s="12">
        <f t="shared" si="15"/>
        <v>676.61999999999898</v>
      </c>
      <c r="V75" s="21">
        <f t="shared" si="16"/>
        <v>9.287469287469273E-2</v>
      </c>
    </row>
    <row r="76" spans="1:22" x14ac:dyDescent="0.25">
      <c r="A76" s="368"/>
      <c r="B76" s="368"/>
      <c r="D76" s="233">
        <v>6</v>
      </c>
      <c r="E76" s="233"/>
      <c r="F76" s="233"/>
      <c r="G76" s="233"/>
      <c r="H76" s="233"/>
      <c r="I76" s="233"/>
      <c r="J76" s="233"/>
      <c r="K76" s="233"/>
      <c r="L76" s="13"/>
      <c r="M76" s="233"/>
      <c r="N76" s="226"/>
      <c r="O76" s="233"/>
      <c r="P76" s="233"/>
      <c r="Q76" s="233"/>
      <c r="R76" s="233"/>
      <c r="S76" s="13"/>
      <c r="T76" s="233"/>
      <c r="U76" s="233"/>
      <c r="V76" s="233"/>
    </row>
    <row r="77" spans="1:22" x14ac:dyDescent="0.25">
      <c r="A77" s="368"/>
      <c r="B77" s="368"/>
      <c r="D77" s="233">
        <v>7</v>
      </c>
      <c r="E77" s="11" t="s">
        <v>401</v>
      </c>
      <c r="F77" s="233"/>
      <c r="G77" s="233"/>
      <c r="H77" s="233"/>
      <c r="I77" s="233"/>
      <c r="J77" s="233"/>
      <c r="K77" s="233"/>
      <c r="L77" s="13"/>
      <c r="M77" s="233"/>
      <c r="N77" s="226"/>
      <c r="O77" s="233"/>
      <c r="P77" s="233"/>
      <c r="Q77" s="233"/>
      <c r="R77" s="233"/>
      <c r="S77" s="13"/>
      <c r="T77" s="233"/>
      <c r="U77" s="233"/>
      <c r="V77" s="233"/>
    </row>
    <row r="78" spans="1:22" x14ac:dyDescent="0.25">
      <c r="A78" s="368" t="s">
        <v>242</v>
      </c>
      <c r="B78" s="368" t="s">
        <v>612</v>
      </c>
      <c r="D78" s="233">
        <v>8</v>
      </c>
      <c r="E78" s="359" t="s">
        <v>746</v>
      </c>
      <c r="F78" s="233"/>
      <c r="G78" s="233"/>
      <c r="H78" s="233">
        <f>+INDEX('2025 Org Base Case BDs'!B:B,MATCH('2025 GSLDPR Rate Class E-13c'!A78,'2025 Org Base Case BDs'!A:A,0))</f>
        <v>0</v>
      </c>
      <c r="I78" s="12" t="s">
        <v>711</v>
      </c>
      <c r="J78" s="60">
        <f>+INDEX('2024 Base Rates'!E:E,MATCH('2025 GSLDPR Rate Class E-13c'!B78,'2024 Base Rates'!D:D,0))</f>
        <v>1.042E-2</v>
      </c>
      <c r="K78" s="233"/>
      <c r="L78" s="12">
        <f>+H78*J78</f>
        <v>0</v>
      </c>
      <c r="M78" s="233"/>
      <c r="N78" s="226"/>
      <c r="O78" s="233">
        <f>+INDEX('2025 Billing Determinants'!B:B,MATCH('2025 GSLDPR Rate Class E-13c'!A78,'2025 Billing Determinants'!A:A,0))</f>
        <v>0</v>
      </c>
      <c r="P78" s="12" t="s">
        <v>711</v>
      </c>
      <c r="Q78" s="28">
        <f>+J78*(1.02)</f>
        <v>1.0628400000000001E-2</v>
      </c>
      <c r="R78" s="233"/>
      <c r="S78" s="12">
        <f>+O78*Q78</f>
        <v>0</v>
      </c>
      <c r="T78" s="233"/>
      <c r="U78" s="12">
        <f t="shared" ref="U78:U82" si="17">+S78-L78</f>
        <v>0</v>
      </c>
      <c r="V78" s="21">
        <f t="shared" ref="V78:V82" si="18">+IF(U78=0,0,(S78-L78)/L78)</f>
        <v>0</v>
      </c>
    </row>
    <row r="79" spans="1:22" x14ac:dyDescent="0.25">
      <c r="A79" s="368" t="s">
        <v>267</v>
      </c>
      <c r="B79" s="368" t="s">
        <v>623</v>
      </c>
      <c r="D79" s="233">
        <v>9</v>
      </c>
      <c r="E79" s="233" t="s">
        <v>749</v>
      </c>
      <c r="F79" s="233"/>
      <c r="G79" s="233"/>
      <c r="H79" s="13">
        <f>+INDEX('2025 Org Base Case BDs'!B:B,MATCH('2025 GSLDPR Rate Class E-13c'!A79,'2025 Org Base Case BDs'!A:A,0))</f>
        <v>2966666</v>
      </c>
      <c r="I79" s="12" t="s">
        <v>711</v>
      </c>
      <c r="J79" s="60">
        <f>+INDEX('2024 Base Rates'!E:E,MATCH('2025 GSLDPR Rate Class E-13c'!B79,'2024 Base Rates'!D:D,0))</f>
        <v>1.584E-2</v>
      </c>
      <c r="K79" s="233"/>
      <c r="L79" s="12">
        <f>+H79*J79</f>
        <v>46991.989439999998</v>
      </c>
      <c r="M79" s="233"/>
      <c r="N79" s="226"/>
      <c r="O79" s="13">
        <f>+INDEX('2025 Billing Determinants'!B:B,MATCH('2025 GSLDPR Rate Class E-13c'!A79,'2025 Billing Determinants'!A:A,0))</f>
        <v>2809721</v>
      </c>
      <c r="P79" s="12" t="s">
        <v>711</v>
      </c>
      <c r="Q79" s="60">
        <f>+Q78*'Time of Day Inputs'!E6</f>
        <v>1.7248200000000002E-2</v>
      </c>
      <c r="R79" s="12"/>
      <c r="S79" s="12">
        <f>+O79*Q79</f>
        <v>48462.629752200002</v>
      </c>
      <c r="T79" s="233"/>
      <c r="U79" s="12">
        <f t="shared" si="17"/>
        <v>1470.6403122000047</v>
      </c>
      <c r="V79" s="21">
        <f t="shared" si="18"/>
        <v>3.1295553342718933E-2</v>
      </c>
    </row>
    <row r="80" spans="1:22" x14ac:dyDescent="0.25">
      <c r="A80" s="368" t="s">
        <v>268</v>
      </c>
      <c r="B80" s="368" t="s">
        <v>624</v>
      </c>
      <c r="D80" s="233">
        <v>10</v>
      </c>
      <c r="E80" s="233" t="s">
        <v>750</v>
      </c>
      <c r="F80" s="15"/>
      <c r="G80" s="233"/>
      <c r="H80" s="13">
        <f>+INDEX('2025 Org Base Case BDs'!B:B,MATCH('2025 GSLDPR Rate Class E-13c'!A80,'2025 Org Base Case BDs'!A:A,0))</f>
        <v>8529736</v>
      </c>
      <c r="I80" s="12" t="s">
        <v>711</v>
      </c>
      <c r="J80" s="60">
        <f>+INDEX('2024 Base Rates'!E:E,MATCH('2025 GSLDPR Rate Class E-13c'!B80,'2024 Base Rates'!D:D,0))</f>
        <v>8.4700000000000001E-3</v>
      </c>
      <c r="K80" s="233"/>
      <c r="L80" s="12">
        <f>+H80*J80</f>
        <v>72246.863920000003</v>
      </c>
      <c r="M80" s="233"/>
      <c r="N80" s="226"/>
      <c r="O80" s="13">
        <f>+INDEX('2025 Billing Determinants'!B:B,MATCH('2025 GSLDPR Rate Class E-13c'!A80,'2025 Billing Determinants'!A:A,0))</f>
        <v>4768707</v>
      </c>
      <c r="P80" s="12" t="s">
        <v>711</v>
      </c>
      <c r="Q80" s="60">
        <f>+Q79+'Time of Day Inputs'!F6</f>
        <v>1.0478200000000002E-2</v>
      </c>
      <c r="R80" s="12"/>
      <c r="S80" s="12">
        <f>+O80*Q80</f>
        <v>49967.465687400007</v>
      </c>
      <c r="T80" s="233"/>
      <c r="U80" s="12">
        <f t="shared" si="17"/>
        <v>-22279.398232599997</v>
      </c>
      <c r="V80" s="21">
        <f t="shared" si="18"/>
        <v>-0.30837875893506322</v>
      </c>
    </row>
    <row r="81" spans="1:22" ht="16.5" x14ac:dyDescent="0.35">
      <c r="A81" s="368" t="s">
        <v>908</v>
      </c>
      <c r="B81" s="368" t="s">
        <v>1507</v>
      </c>
      <c r="D81" s="233"/>
      <c r="E81" s="233" t="s">
        <v>1614</v>
      </c>
      <c r="F81" s="15"/>
      <c r="G81" s="233"/>
      <c r="H81" s="57">
        <v>0</v>
      </c>
      <c r="I81" s="12" t="s">
        <v>711</v>
      </c>
      <c r="J81" s="60">
        <v>0</v>
      </c>
      <c r="K81" s="12"/>
      <c r="L81" s="58">
        <f>+H81*J81</f>
        <v>0</v>
      </c>
      <c r="M81" s="12"/>
      <c r="N81" s="22"/>
      <c r="O81" s="57">
        <f>+INDEX('2025 Billing Determinants'!B:B,MATCH('2025 GSLDPR Rate Class E-13c'!A81,'2025 Billing Determinants'!A:A,0))</f>
        <v>3917974</v>
      </c>
      <c r="P81" s="12" t="s">
        <v>711</v>
      </c>
      <c r="Q81" s="60">
        <f>+Q80+'Time of Day Inputs'!G6</f>
        <v>6.2982000000000021E-3</v>
      </c>
      <c r="R81" s="233"/>
      <c r="S81" s="58">
        <f>+O81*Q81</f>
        <v>24676.18384680001</v>
      </c>
      <c r="T81" s="233"/>
      <c r="U81" s="12">
        <f t="shared" ref="U81" si="19">+S81-L81</f>
        <v>24676.18384680001</v>
      </c>
      <c r="V81" s="78" t="str">
        <f>IFERROR(+IF(U81=0,0,(S81-L81)/L81),"New Rate")</f>
        <v>New Rate</v>
      </c>
    </row>
    <row r="82" spans="1:22" x14ac:dyDescent="0.25">
      <c r="A82" s="368"/>
      <c r="B82" s="368"/>
      <c r="D82" s="233">
        <v>11</v>
      </c>
      <c r="E82" s="233" t="s">
        <v>751</v>
      </c>
      <c r="F82" s="15"/>
      <c r="G82" s="233"/>
      <c r="H82" s="13">
        <f>+SUM(H78:H80)</f>
        <v>11496402</v>
      </c>
      <c r="I82" s="12"/>
      <c r="J82" s="27"/>
      <c r="K82" s="12"/>
      <c r="L82" s="53">
        <f>+SUM(L78:L80)</f>
        <v>119238.85336000001</v>
      </c>
      <c r="M82" s="12"/>
      <c r="N82" s="22"/>
      <c r="O82" s="13">
        <f>+SUM(O78:O81)</f>
        <v>11496402</v>
      </c>
      <c r="P82" s="12"/>
      <c r="Q82" s="27"/>
      <c r="R82" s="233"/>
      <c r="S82" s="53">
        <f>+SUM(S78:S81)</f>
        <v>123106.27928640001</v>
      </c>
      <c r="T82" s="233"/>
      <c r="U82" s="12">
        <f t="shared" si="17"/>
        <v>3867.4259263999993</v>
      </c>
      <c r="V82" s="21">
        <f t="shared" si="18"/>
        <v>3.2434276390797379E-2</v>
      </c>
    </row>
    <row r="83" spans="1:22" x14ac:dyDescent="0.25">
      <c r="A83" s="368"/>
      <c r="B83" s="368"/>
      <c r="D83" s="233">
        <v>12</v>
      </c>
      <c r="E83" s="233"/>
      <c r="F83" s="15"/>
      <c r="G83" s="233"/>
      <c r="H83" s="13"/>
      <c r="I83" s="12"/>
      <c r="J83" s="27"/>
      <c r="K83" s="12"/>
      <c r="L83" s="13"/>
      <c r="M83" s="12"/>
      <c r="N83" s="22"/>
      <c r="O83" s="13"/>
      <c r="P83" s="12"/>
      <c r="Q83" s="27"/>
      <c r="R83" s="233"/>
      <c r="S83" s="13"/>
      <c r="T83" s="233"/>
      <c r="U83" s="233"/>
      <c r="V83" s="23"/>
    </row>
    <row r="84" spans="1:22" x14ac:dyDescent="0.25">
      <c r="A84" s="368"/>
      <c r="B84" s="368"/>
      <c r="D84" s="233">
        <v>13</v>
      </c>
      <c r="E84" s="11" t="s">
        <v>408</v>
      </c>
      <c r="F84" s="233"/>
      <c r="G84" s="233"/>
      <c r="H84" s="233"/>
      <c r="I84" s="233"/>
      <c r="J84" s="27"/>
      <c r="K84" s="233"/>
      <c r="L84" s="13"/>
      <c r="M84" s="233"/>
      <c r="N84" s="226"/>
      <c r="O84" s="233"/>
      <c r="P84" s="233"/>
      <c r="Q84" s="27"/>
      <c r="R84" s="233"/>
      <c r="S84" s="13"/>
      <c r="T84" s="233"/>
      <c r="U84" s="233"/>
      <c r="V84" s="233"/>
    </row>
    <row r="85" spans="1:22" x14ac:dyDescent="0.25">
      <c r="A85" s="368" t="s">
        <v>244</v>
      </c>
      <c r="B85" s="368" t="s">
        <v>613</v>
      </c>
      <c r="D85" s="233">
        <v>14</v>
      </c>
      <c r="E85" s="11" t="s">
        <v>746</v>
      </c>
      <c r="F85" s="233"/>
      <c r="G85" s="233"/>
      <c r="H85" s="233">
        <f>+INDEX('2025 Org Base Case BDs'!B:B,MATCH('2025 GSLDPR Rate Class E-13c'!A85,'2025 Org Base Case BDs'!A:A,0))</f>
        <v>0</v>
      </c>
      <c r="I85" s="12" t="s">
        <v>711</v>
      </c>
      <c r="J85" s="60">
        <f>+INDEX('2024 Base Rates'!E:E,MATCH('2025 GSLDPR Rate Class E-13c'!B85,'2024 Base Rates'!D:D,0))</f>
        <v>8.5699999999999995E-3</v>
      </c>
      <c r="K85" s="233"/>
      <c r="L85" s="13">
        <f>+H85*J85</f>
        <v>0</v>
      </c>
      <c r="M85" s="233"/>
      <c r="N85" s="226"/>
      <c r="O85" s="233">
        <f>+INDEX('2025 Billing Determinants'!B:B,MATCH('2025 GSLDPR Rate Class E-13c'!A85,'2025 Billing Determinants'!A:A,0))</f>
        <v>0</v>
      </c>
      <c r="P85" s="12" t="s">
        <v>711</v>
      </c>
      <c r="Q85" s="28">
        <f>+J85*(1.02)</f>
        <v>8.7413999999999999E-3</v>
      </c>
      <c r="R85" s="233"/>
      <c r="S85" s="13">
        <f>+O85*Q85</f>
        <v>0</v>
      </c>
      <c r="T85" s="233"/>
      <c r="U85" s="12">
        <f t="shared" ref="U85:U87" si="20">+S85-L85</f>
        <v>0</v>
      </c>
      <c r="V85" s="21">
        <f t="shared" ref="V85:V87" si="21">+IF(U85=0,0,(S85-L85)/L85)</f>
        <v>0</v>
      </c>
    </row>
    <row r="86" spans="1:22" x14ac:dyDescent="0.25">
      <c r="A86" s="368" t="s">
        <v>272</v>
      </c>
      <c r="B86" s="368" t="s">
        <v>625</v>
      </c>
      <c r="D86" s="233">
        <v>15</v>
      </c>
      <c r="E86" s="233" t="s">
        <v>749</v>
      </c>
      <c r="F86" s="233"/>
      <c r="G86" s="233"/>
      <c r="H86" s="13">
        <f>+INDEX('2025 Org Base Case BDs'!B:B,MATCH('2025 GSLDPR Rate Class E-13c'!A86,'2025 Org Base Case BDs'!A:A,0))</f>
        <v>1452314</v>
      </c>
      <c r="I86" s="12" t="s">
        <v>711</v>
      </c>
      <c r="J86" s="60">
        <f>+INDEX('2024 Base Rates'!E:E,MATCH('2025 GSLDPR Rate Class E-13c'!B86,'2024 Base Rates'!D:D,0))</f>
        <v>8.5699999999999995E-3</v>
      </c>
      <c r="K86" s="233"/>
      <c r="L86" s="12">
        <f t="shared" ref="L86:L87" si="22">+H86*J86</f>
        <v>12446.330979999999</v>
      </c>
      <c r="M86" s="233"/>
      <c r="N86" s="226"/>
      <c r="O86" s="13">
        <f>+INDEX('2025 Billing Determinants'!B:B,MATCH('2025 GSLDPR Rate Class E-13c'!A86,'2025 Billing Determinants'!A:A,0))</f>
        <v>1283037</v>
      </c>
      <c r="P86" s="12" t="s">
        <v>711</v>
      </c>
      <c r="Q86" s="60">
        <f>+Q85</f>
        <v>8.7413999999999999E-3</v>
      </c>
      <c r="R86" s="233"/>
      <c r="S86" s="12">
        <f t="shared" ref="S86:S87" si="23">+O86*Q86</f>
        <v>11215.5396318</v>
      </c>
      <c r="T86" s="12"/>
      <c r="U86" s="12">
        <f t="shared" si="20"/>
        <v>-1230.7913481999985</v>
      </c>
      <c r="V86" s="21">
        <f t="shared" si="21"/>
        <v>-9.8887885126769992E-2</v>
      </c>
    </row>
    <row r="87" spans="1:22" x14ac:dyDescent="0.25">
      <c r="A87" s="368" t="s">
        <v>273</v>
      </c>
      <c r="B87" s="368" t="s">
        <v>626</v>
      </c>
      <c r="D87" s="233">
        <v>16</v>
      </c>
      <c r="E87" s="233" t="s">
        <v>750</v>
      </c>
      <c r="F87" s="233"/>
      <c r="G87" s="233"/>
      <c r="H87" s="13">
        <f>+INDEX('2025 Org Base Case BDs'!B:B,MATCH('2025 GSLDPR Rate Class E-13c'!A87,'2025 Org Base Case BDs'!A:A,0))</f>
        <v>3797430</v>
      </c>
      <c r="I87" s="12" t="s">
        <v>711</v>
      </c>
      <c r="J87" s="60">
        <f>+INDEX('2024 Base Rates'!E:E,MATCH('2025 GSLDPR Rate Class E-13c'!B87,'2024 Base Rates'!D:D,0))</f>
        <v>8.5699999999999995E-3</v>
      </c>
      <c r="K87" s="233"/>
      <c r="L87" s="12">
        <f t="shared" si="22"/>
        <v>32543.9751</v>
      </c>
      <c r="M87" s="233"/>
      <c r="N87" s="226"/>
      <c r="O87" s="13">
        <f>+INDEX('2025 Billing Determinants'!B:B,MATCH('2025 GSLDPR Rate Class E-13c'!A87,'2025 Billing Determinants'!A:A,0))</f>
        <v>2177593</v>
      </c>
      <c r="P87" s="12" t="s">
        <v>711</v>
      </c>
      <c r="Q87" s="60">
        <f t="shared" ref="Q87:Q88" si="24">+Q86</f>
        <v>8.7413999999999999E-3</v>
      </c>
      <c r="R87" s="233"/>
      <c r="S87" s="12">
        <f t="shared" si="23"/>
        <v>19035.2114502</v>
      </c>
      <c r="T87" s="233"/>
      <c r="U87" s="12">
        <f t="shared" si="20"/>
        <v>-13508.763649799999</v>
      </c>
      <c r="V87" s="21">
        <f t="shared" si="21"/>
        <v>-0.4150926126353876</v>
      </c>
    </row>
    <row r="88" spans="1:22" ht="16.5" x14ac:dyDescent="0.35">
      <c r="A88" s="368" t="s">
        <v>907</v>
      </c>
      <c r="B88" s="368" t="s">
        <v>1508</v>
      </c>
      <c r="E88" s="233" t="s">
        <v>1614</v>
      </c>
      <c r="F88" s="233"/>
      <c r="G88" s="233"/>
      <c r="H88" s="57">
        <v>0</v>
      </c>
      <c r="I88" s="12" t="s">
        <v>711</v>
      </c>
      <c r="J88" s="60">
        <v>0</v>
      </c>
      <c r="K88" s="233"/>
      <c r="L88" s="12">
        <f t="shared" ref="L88" si="25">+H88*J88</f>
        <v>0</v>
      </c>
      <c r="M88" s="233"/>
      <c r="N88" s="226"/>
      <c r="O88" s="57">
        <f>+INDEX('2025 Billing Determinants'!B:B,MATCH('2025 GSLDPR Rate Class E-13c'!A88,'2025 Billing Determinants'!A:A,0))</f>
        <v>1789114</v>
      </c>
      <c r="P88" s="12" t="s">
        <v>711</v>
      </c>
      <c r="Q88" s="60">
        <f t="shared" si="24"/>
        <v>8.7413999999999999E-3</v>
      </c>
      <c r="R88" s="233"/>
      <c r="S88" s="12">
        <f t="shared" ref="S88" si="26">+O88*Q88</f>
        <v>15639.3611196</v>
      </c>
    </row>
    <row r="89" spans="1:22" x14ac:dyDescent="0.25">
      <c r="A89" s="368"/>
      <c r="B89" s="368"/>
      <c r="D89" s="233">
        <v>17</v>
      </c>
      <c r="E89" s="11" t="s">
        <v>748</v>
      </c>
      <c r="F89" s="15"/>
      <c r="G89" s="233"/>
      <c r="H89" s="13">
        <f>+SUM(H85:H87)</f>
        <v>5249744</v>
      </c>
      <c r="I89" s="12" t="s">
        <v>711</v>
      </c>
      <c r="J89" s="27"/>
      <c r="K89" s="12"/>
      <c r="L89" s="54">
        <f>+SUM(L85:L87)</f>
        <v>44990.306079999995</v>
      </c>
      <c r="M89" s="12"/>
      <c r="N89" s="22"/>
      <c r="O89" s="13">
        <f>+SUM(O85:O88)</f>
        <v>5249744</v>
      </c>
      <c r="P89" s="12" t="s">
        <v>711</v>
      </c>
      <c r="Q89" s="19"/>
      <c r="R89" s="233"/>
      <c r="S89" s="54">
        <f>+SUM(S85:S88)</f>
        <v>45890.112201600001</v>
      </c>
      <c r="T89" s="233"/>
      <c r="U89" s="12">
        <f>+S89-L89</f>
        <v>899.80612160000601</v>
      </c>
      <c r="V89" s="21">
        <f>+IF(U89=0,0,(S89-L89)/L89)</f>
        <v>2.0000000000000136E-2</v>
      </c>
    </row>
    <row r="90" spans="1:22" x14ac:dyDescent="0.25">
      <c r="A90" s="368"/>
      <c r="B90" s="368"/>
      <c r="D90" s="233">
        <v>18</v>
      </c>
      <c r="E90" s="233"/>
      <c r="F90" s="233"/>
      <c r="G90" s="233"/>
      <c r="H90" s="233"/>
      <c r="I90" s="233"/>
      <c r="J90" s="233"/>
      <c r="K90" s="233"/>
      <c r="L90" s="233"/>
      <c r="M90" s="233"/>
      <c r="N90" s="226"/>
      <c r="O90" s="233"/>
      <c r="P90" s="233"/>
      <c r="Q90" s="233"/>
      <c r="R90" s="233"/>
      <c r="S90" s="233"/>
      <c r="T90" s="233"/>
      <c r="U90" s="233"/>
      <c r="V90" s="233"/>
    </row>
    <row r="91" spans="1:22" x14ac:dyDescent="0.25">
      <c r="A91" s="368"/>
      <c r="B91" s="368"/>
      <c r="D91" s="233">
        <v>19</v>
      </c>
      <c r="E91" s="11" t="s">
        <v>412</v>
      </c>
      <c r="F91" s="233"/>
      <c r="G91" s="233"/>
      <c r="H91" s="233"/>
      <c r="I91" s="233"/>
      <c r="J91" s="233"/>
      <c r="K91" s="233"/>
      <c r="L91" s="233"/>
      <c r="M91" s="233"/>
      <c r="N91" s="226"/>
      <c r="O91" s="233"/>
      <c r="P91" s="233"/>
      <c r="Q91" s="233"/>
      <c r="R91" s="233"/>
      <c r="S91" s="233"/>
      <c r="T91" s="233"/>
      <c r="U91" s="233"/>
      <c r="V91" s="233"/>
    </row>
    <row r="92" spans="1:22" x14ac:dyDescent="0.25">
      <c r="A92" s="368" t="s">
        <v>243</v>
      </c>
      <c r="B92" s="368" t="s">
        <v>614</v>
      </c>
      <c r="D92" s="233">
        <v>20</v>
      </c>
      <c r="E92" s="359" t="s">
        <v>746</v>
      </c>
      <c r="F92" s="233"/>
      <c r="G92" s="233"/>
      <c r="H92" s="233">
        <f>+INDEX('2025 Org Base Case BDs'!B:B,MATCH('2025 GSLDPR Rate Class E-13c'!A92,'2025 Org Base Case BDs'!A:A,0))</f>
        <v>0</v>
      </c>
      <c r="I92" s="12" t="s">
        <v>730</v>
      </c>
      <c r="J92" s="27">
        <f>+INDEX('2024 Base Rates'!E:E,MATCH('2025 GSLDPR Rate Class E-13c'!B92,'2024 Base Rates'!D:D,0))</f>
        <v>11.88</v>
      </c>
      <c r="K92" s="44"/>
      <c r="L92" s="12">
        <f>+H92*J92</f>
        <v>0</v>
      </c>
      <c r="M92" s="233"/>
      <c r="N92" s="226"/>
      <c r="O92" s="233">
        <f>+INDEX('2025 Billing Determinants'!B:B,MATCH('2025 GSLDPR Rate Class E-13c'!A92,'2025 Billing Determinants'!A:A,0))</f>
        <v>0</v>
      </c>
      <c r="P92" s="12" t="s">
        <v>730</v>
      </c>
      <c r="Q92" s="19">
        <f>+INDEX('Unit Cost Rate Design Input'!D:D,MATCH('2025 GSLDPR Rate Class E-13c'!B92,'Unit Cost Rate Design Input'!B:B,0))*(1+$B$7)+0.005</f>
        <v>12.998543718400001</v>
      </c>
      <c r="R92" s="233"/>
      <c r="S92" s="12">
        <f>+O92*Q92</f>
        <v>0</v>
      </c>
      <c r="T92" s="233"/>
      <c r="U92" s="12">
        <f t="shared" ref="U92:U95" si="27">+S92-L92</f>
        <v>0</v>
      </c>
      <c r="V92" s="21">
        <f t="shared" ref="V92:V95" si="28">+IF(U92=0,0,(S92-L92)/L92)</f>
        <v>0</v>
      </c>
    </row>
    <row r="93" spans="1:22" x14ac:dyDescent="0.25">
      <c r="A93" s="368" t="s">
        <v>269</v>
      </c>
      <c r="B93" s="368" t="s">
        <v>627</v>
      </c>
      <c r="D93" s="233">
        <v>21</v>
      </c>
      <c r="E93" s="233" t="s">
        <v>752</v>
      </c>
      <c r="F93" s="233"/>
      <c r="G93" s="233"/>
      <c r="H93" s="13">
        <f>+INDEX('2025 Org Base Case BDs'!B:B,MATCH('2025 GSLDPR Rate Class E-13c'!A93,'2025 Org Base Case BDs'!A:A,0))</f>
        <v>30267</v>
      </c>
      <c r="I93" s="12" t="s">
        <v>730</v>
      </c>
      <c r="J93" s="27">
        <f>+INDEX('2024 Base Rates'!E:E,MATCH('2025 GSLDPR Rate Class E-13c'!B93,'2024 Base Rates'!D:D,0))</f>
        <v>3.77</v>
      </c>
      <c r="K93" s="44"/>
      <c r="L93" s="12">
        <f t="shared" ref="L93:L94" si="29">+H93*J93</f>
        <v>114106.59</v>
      </c>
      <c r="M93" s="12"/>
      <c r="N93" s="22"/>
      <c r="O93" s="12">
        <f>+INDEX('2025 Billing Determinants'!B:B,MATCH('2025 GSLDPR Rate Class E-13c'!A93,'2025 Billing Determinants'!A:A,0))</f>
        <v>30267</v>
      </c>
      <c r="P93" s="12" t="s">
        <v>730</v>
      </c>
      <c r="Q93" s="19">
        <f>+INDEX('Unit Cost Rate Design Input'!D:D,MATCH('2025 GSLDPR Rate Class E-13c'!B93,'Unit Cost Rate Design Input'!B:B,0))*(1+$B$7)</f>
        <v>2.9252046763999999</v>
      </c>
      <c r="R93" s="233"/>
      <c r="S93" s="12">
        <f t="shared" ref="S93:S94" si="30">+O93*Q93</f>
        <v>88537.169940598804</v>
      </c>
      <c r="T93" s="12"/>
      <c r="U93" s="12">
        <f t="shared" si="27"/>
        <v>-25569.420059401193</v>
      </c>
      <c r="V93" s="21">
        <f t="shared" si="28"/>
        <v>-0.22408364021220153</v>
      </c>
    </row>
    <row r="94" spans="1:22" ht="16.5" x14ac:dyDescent="0.35">
      <c r="A94" s="368" t="s">
        <v>270</v>
      </c>
      <c r="B94" s="368" t="s">
        <v>628</v>
      </c>
      <c r="D94" s="233">
        <v>22</v>
      </c>
      <c r="E94" s="233" t="s">
        <v>753</v>
      </c>
      <c r="F94" s="233"/>
      <c r="G94" s="233"/>
      <c r="H94" s="57">
        <f>+INDEX('2025 Org Base Case BDs'!B:B,MATCH('2025 GSLDPR Rate Class E-13c'!A94,'2025 Org Base Case BDs'!A:A,0))</f>
        <v>37120</v>
      </c>
      <c r="I94" s="12" t="s">
        <v>732</v>
      </c>
      <c r="J94" s="27">
        <f>+INDEX('2024 Base Rates'!E:E,MATCH('2025 GSLDPR Rate Class E-13c'!B94,'2024 Base Rates'!D:D,0))</f>
        <v>8.08</v>
      </c>
      <c r="K94" s="44"/>
      <c r="L94" s="12">
        <f t="shared" si="29"/>
        <v>299929.59999999998</v>
      </c>
      <c r="M94" s="233"/>
      <c r="N94" s="226"/>
      <c r="O94" s="58">
        <f>+INDEX('2025 Billing Determinants'!B:B,MATCH('2025 GSLDPR Rate Class E-13c'!A94,'2025 Billing Determinants'!A:A,0))</f>
        <v>37120</v>
      </c>
      <c r="P94" s="12" t="s">
        <v>732</v>
      </c>
      <c r="Q94" s="19">
        <f>+INDEX('Unit Cost Rate Design Input'!D:D,MATCH('2025 GSLDPR Rate Class E-13c'!B94,'Unit Cost Rate Design Input'!B:B,0))*(1+$B$7)</f>
        <v>10.068339042</v>
      </c>
      <c r="R94" s="233"/>
      <c r="S94" s="12">
        <f t="shared" si="30"/>
        <v>373736.74523904</v>
      </c>
      <c r="T94" s="233"/>
      <c r="U94" s="12">
        <f t="shared" si="27"/>
        <v>73807.145239040023</v>
      </c>
      <c r="V94" s="21">
        <f t="shared" si="28"/>
        <v>0.2460815646039605</v>
      </c>
    </row>
    <row r="95" spans="1:22" x14ac:dyDescent="0.25">
      <c r="A95" s="368"/>
      <c r="B95" s="368"/>
      <c r="D95" s="233">
        <v>23</v>
      </c>
      <c r="E95" s="233" t="s">
        <v>336</v>
      </c>
      <c r="F95" s="233"/>
      <c r="G95" s="233"/>
      <c r="H95" s="13">
        <f>+SUM(H92:H93)</f>
        <v>30267</v>
      </c>
      <c r="I95" s="12"/>
      <c r="J95" s="19"/>
      <c r="K95" s="44"/>
      <c r="L95" s="54">
        <f>+SUM(L92:L94)</f>
        <v>414036.18999999994</v>
      </c>
      <c r="M95" s="233"/>
      <c r="N95" s="226"/>
      <c r="O95" s="13">
        <f>+SUM(O92:O93)</f>
        <v>30267</v>
      </c>
      <c r="P95" s="12"/>
      <c r="Q95" s="19"/>
      <c r="R95" s="233"/>
      <c r="S95" s="54">
        <f>+SUM(S92:S94)</f>
        <v>462273.91517963877</v>
      </c>
      <c r="T95" s="233"/>
      <c r="U95" s="12">
        <f t="shared" si="27"/>
        <v>48237.72517963883</v>
      </c>
      <c r="V95" s="21">
        <f t="shared" si="28"/>
        <v>0.11650605996456212</v>
      </c>
    </row>
    <row r="96" spans="1:22" x14ac:dyDescent="0.25">
      <c r="A96" s="368"/>
      <c r="B96" s="368"/>
      <c r="D96" s="233">
        <v>24</v>
      </c>
      <c r="E96" s="233"/>
      <c r="F96" s="233"/>
      <c r="G96" s="233"/>
      <c r="H96" s="12"/>
      <c r="I96" s="12"/>
      <c r="J96" s="19"/>
      <c r="K96" s="44"/>
      <c r="L96" s="12"/>
      <c r="M96" s="233"/>
      <c r="N96" s="226"/>
      <c r="O96" s="12"/>
      <c r="P96" s="12"/>
      <c r="Q96" s="19"/>
      <c r="R96" s="233"/>
      <c r="S96" s="12"/>
      <c r="T96" s="233"/>
      <c r="U96" s="233"/>
      <c r="V96" s="23"/>
    </row>
    <row r="97" spans="1:23" x14ac:dyDescent="0.25">
      <c r="A97" s="368"/>
      <c r="B97" s="368"/>
      <c r="D97" s="233">
        <v>25</v>
      </c>
      <c r="E97" s="38" t="s">
        <v>419</v>
      </c>
      <c r="F97" s="233"/>
      <c r="G97" s="233"/>
      <c r="H97" s="233"/>
      <c r="I97" s="233"/>
      <c r="J97" s="233"/>
      <c r="K97" s="233"/>
      <c r="L97" s="13"/>
      <c r="M97" s="233"/>
      <c r="N97" s="226"/>
      <c r="O97" s="233"/>
      <c r="P97" s="233"/>
      <c r="Q97" s="233"/>
      <c r="R97" s="233"/>
      <c r="S97" s="13"/>
      <c r="T97" s="233"/>
      <c r="U97" s="233"/>
      <c r="V97" s="233"/>
    </row>
    <row r="98" spans="1:23" x14ac:dyDescent="0.25">
      <c r="A98" s="368" t="s">
        <v>245</v>
      </c>
      <c r="B98" s="368" t="s">
        <v>615</v>
      </c>
      <c r="D98" s="233">
        <v>26</v>
      </c>
      <c r="E98" s="38" t="s">
        <v>754</v>
      </c>
      <c r="F98" s="233"/>
      <c r="G98" s="233"/>
      <c r="H98" s="233">
        <f>+INDEX('2025 Org Base Case BDs'!B:B,MATCH('2025 GSLDPR Rate Class E-13c'!A98,'2025 Org Base Case BDs'!A:A,0))</f>
        <v>0</v>
      </c>
      <c r="I98" s="233" t="s">
        <v>730</v>
      </c>
      <c r="J98" s="27">
        <f>+INDEX('2024 Base Rates'!E:E,MATCH('2025 GSLDPR Rate Class E-13c'!B98,'2024 Base Rates'!D:D,0))</f>
        <v>1.33</v>
      </c>
      <c r="K98" s="233"/>
      <c r="L98" s="13">
        <f>+H98*J98</f>
        <v>0</v>
      </c>
      <c r="M98" s="233"/>
      <c r="N98" s="226"/>
      <c r="O98" s="233">
        <f>+INDEX('2025 Billing Determinants'!B:B,MATCH('2025 GSLDPR Rate Class E-13c'!A98,'2025 Billing Determinants'!A:A,0))</f>
        <v>0</v>
      </c>
      <c r="P98" s="233" t="s">
        <v>730</v>
      </c>
      <c r="Q98" s="19">
        <f>+INDEX('Unit Cost Rate Design Input'!D:D,MATCH('2025 GSLDPR Rate Class E-13c'!B98,'Unit Cost Rate Design Input'!B:B,0))*(1+$B$7)</f>
        <v>1.7070599527999999</v>
      </c>
      <c r="R98" s="233"/>
      <c r="S98" s="13">
        <f>+O98*Q98</f>
        <v>0</v>
      </c>
      <c r="T98" s="233"/>
      <c r="U98" s="12">
        <f t="shared" ref="U98:U104" si="31">+S98-L98</f>
        <v>0</v>
      </c>
      <c r="V98" s="21">
        <f t="shared" ref="V98:V104" si="32">+IF(U98=0,0,(S98-L98)/L98)</f>
        <v>0</v>
      </c>
    </row>
    <row r="99" spans="1:23" x14ac:dyDescent="0.25">
      <c r="A99" s="368" t="s">
        <v>246</v>
      </c>
      <c r="B99" s="368" t="s">
        <v>616</v>
      </c>
      <c r="D99" s="233">
        <v>27</v>
      </c>
      <c r="E99" s="38" t="s">
        <v>755</v>
      </c>
      <c r="F99" s="233"/>
      <c r="G99" s="233"/>
      <c r="H99" s="233">
        <f>+INDEX('2025 Org Base Case BDs'!B:B,MATCH('2025 GSLDPR Rate Class E-13c'!A99,'2025 Org Base Case BDs'!A:A,0))</f>
        <v>0</v>
      </c>
      <c r="I99" s="233" t="s">
        <v>756</v>
      </c>
      <c r="J99" s="27">
        <f>+INDEX('2024 Base Rates'!E:E,MATCH('2025 GSLDPR Rate Class E-13c'!B99,'2024 Base Rates'!D:D,0))</f>
        <v>1.43</v>
      </c>
      <c r="K99" s="233" t="s">
        <v>757</v>
      </c>
      <c r="L99" s="13">
        <f t="shared" ref="L99:L103" si="33">+H99*J99</f>
        <v>0</v>
      </c>
      <c r="M99" s="233"/>
      <c r="N99" s="226"/>
      <c r="O99" s="233">
        <f>+INDEX('2025 Billing Determinants'!B:B,MATCH('2025 GSLDPR Rate Class E-13c'!A99,'2025 Billing Determinants'!A:A,0))</f>
        <v>0</v>
      </c>
      <c r="P99" s="233" t="s">
        <v>756</v>
      </c>
      <c r="Q99" s="19">
        <f>+INDEX('Unit Cost Rate Design Input'!D:D,MATCH('2025 GSLDPR Rate Class E-13c'!B99,'Unit Cost Rate Design Input'!B:B,0))*(1+$B$7)</f>
        <v>1.5578993743999998</v>
      </c>
      <c r="R99" s="233"/>
      <c r="S99" s="13">
        <f t="shared" ref="S99:S103" si="34">+O99*Q99</f>
        <v>0</v>
      </c>
      <c r="T99" s="233"/>
      <c r="U99" s="12">
        <f t="shared" si="31"/>
        <v>0</v>
      </c>
      <c r="V99" s="21">
        <f t="shared" si="32"/>
        <v>0</v>
      </c>
    </row>
    <row r="100" spans="1:23" x14ac:dyDescent="0.25">
      <c r="A100" s="368" t="s">
        <v>247</v>
      </c>
      <c r="B100" s="368" t="s">
        <v>617</v>
      </c>
      <c r="D100" s="233">
        <v>28</v>
      </c>
      <c r="E100" s="38" t="s">
        <v>758</v>
      </c>
      <c r="F100" s="233"/>
      <c r="G100" s="233"/>
      <c r="H100" s="233">
        <f>+INDEX('2025 Org Base Case BDs'!B:B,MATCH('2025 GSLDPR Rate Class E-13c'!A100,'2025 Org Base Case BDs'!A:A,0))</f>
        <v>0</v>
      </c>
      <c r="I100" s="233" t="s">
        <v>756</v>
      </c>
      <c r="J100" s="27">
        <f>+INDEX('2024 Base Rates'!E:E,MATCH('2025 GSLDPR Rate Class E-13c'!B100,'2024 Base Rates'!D:D,0))</f>
        <v>0.56000000000000005</v>
      </c>
      <c r="K100" s="233" t="s">
        <v>759</v>
      </c>
      <c r="L100" s="13">
        <f t="shared" si="33"/>
        <v>0</v>
      </c>
      <c r="M100" s="233"/>
      <c r="N100" s="226"/>
      <c r="O100" s="233">
        <f>+INDEX('2025 Billing Determinants'!B:B,MATCH('2025 GSLDPR Rate Class E-13c'!A100,'2025 Billing Determinants'!A:A,0))</f>
        <v>0</v>
      </c>
      <c r="P100" s="233" t="s">
        <v>756</v>
      </c>
      <c r="Q100" s="19">
        <f>+INDEX('Unit Cost Rate Design Input'!D:D,MATCH('2025 GSLDPR Rate Class E-13c'!B100,'Unit Cost Rate Design Input'!B:B,0))*(1+$B$7)</f>
        <v>0.62150240999999995</v>
      </c>
      <c r="R100" s="233"/>
      <c r="S100" s="13">
        <f t="shared" si="34"/>
        <v>0</v>
      </c>
      <c r="T100" s="233"/>
      <c r="U100" s="12">
        <f t="shared" si="31"/>
        <v>0</v>
      </c>
      <c r="V100" s="21">
        <f t="shared" si="32"/>
        <v>0</v>
      </c>
    </row>
    <row r="101" spans="1:23" x14ac:dyDescent="0.25">
      <c r="A101" s="368" t="s">
        <v>274</v>
      </c>
      <c r="B101" s="368" t="s">
        <v>629</v>
      </c>
      <c r="D101" s="233">
        <v>29</v>
      </c>
      <c r="E101" s="359" t="s">
        <v>760</v>
      </c>
      <c r="F101" s="233"/>
      <c r="G101" s="233"/>
      <c r="H101" s="13">
        <f>+INDEX('2025 Org Base Case BDs'!B:B,MATCH('2025 GSLDPR Rate Class E-13c'!A101,'2025 Org Base Case BDs'!A:A,0))</f>
        <v>86588.24</v>
      </c>
      <c r="I101" s="12" t="s">
        <v>730</v>
      </c>
      <c r="J101" s="27">
        <f>+INDEX('2024 Base Rates'!E:E,MATCH('2025 GSLDPR Rate Class E-13c'!B101,'2024 Base Rates'!D:D,0))</f>
        <v>1.33</v>
      </c>
      <c r="K101" s="44"/>
      <c r="L101" s="12">
        <f t="shared" si="33"/>
        <v>115162.35920000001</v>
      </c>
      <c r="M101" s="233"/>
      <c r="N101" s="226"/>
      <c r="O101" s="13">
        <f>+INDEX('2025 Billing Determinants'!B:B,MATCH('2025 GSLDPR Rate Class E-13c'!A101,'2025 Billing Determinants'!A:A,0))</f>
        <v>86588.24</v>
      </c>
      <c r="P101" s="12" t="s">
        <v>730</v>
      </c>
      <c r="Q101" s="19">
        <f>+INDEX('Unit Cost Rate Design Input'!D:D,MATCH('2025 GSLDPR Rate Class E-13c'!B101,'Unit Cost Rate Design Input'!B:B,0))*(1+$B$7)</f>
        <v>1.7070599527999999</v>
      </c>
      <c r="R101" s="44"/>
      <c r="S101" s="12">
        <f t="shared" si="34"/>
        <v>147811.31688743507</v>
      </c>
      <c r="T101" s="12"/>
      <c r="U101" s="12">
        <f t="shared" si="31"/>
        <v>32648.957687435061</v>
      </c>
      <c r="V101" s="21">
        <f t="shared" si="32"/>
        <v>0.2835037239097743</v>
      </c>
    </row>
    <row r="102" spans="1:23" x14ac:dyDescent="0.25">
      <c r="A102" s="368" t="s">
        <v>275</v>
      </c>
      <c r="B102" s="368" t="s">
        <v>630</v>
      </c>
      <c r="D102" s="233">
        <v>30</v>
      </c>
      <c r="E102" s="359" t="s">
        <v>761</v>
      </c>
      <c r="F102" s="15"/>
      <c r="G102" s="233"/>
      <c r="H102" s="13">
        <f>+INDEX('2025 Org Base Case BDs'!B:B,MATCH('2025 GSLDPR Rate Class E-13c'!A102,'2025 Org Base Case BDs'!A:A,0))</f>
        <v>38043.1</v>
      </c>
      <c r="I102" s="12" t="s">
        <v>756</v>
      </c>
      <c r="J102" s="27">
        <f>+INDEX('2024 Base Rates'!E:E,MATCH('2025 GSLDPR Rate Class E-13c'!B102,'2024 Base Rates'!D:D,0))</f>
        <v>1.43</v>
      </c>
      <c r="K102" s="44" t="s">
        <v>757</v>
      </c>
      <c r="L102" s="12">
        <f t="shared" si="33"/>
        <v>54401.632999999994</v>
      </c>
      <c r="M102" s="12"/>
      <c r="N102" s="22"/>
      <c r="O102" s="13">
        <f>+INDEX('2025 Billing Determinants'!B:B,MATCH('2025 GSLDPR Rate Class E-13c'!A102,'2025 Billing Determinants'!A:A,0))</f>
        <v>38043.1</v>
      </c>
      <c r="P102" s="12" t="s">
        <v>756</v>
      </c>
      <c r="Q102" s="19">
        <f>+INDEX('Unit Cost Rate Design Input'!D:D,MATCH('2025 GSLDPR Rate Class E-13c'!B102,'Unit Cost Rate Design Input'!B:B,0))*(1+$B$7)</f>
        <v>1.5578993743999998</v>
      </c>
      <c r="R102" s="44" t="s">
        <v>762</v>
      </c>
      <c r="S102" s="12">
        <f t="shared" si="34"/>
        <v>59267.321690236633</v>
      </c>
      <c r="T102" s="12"/>
      <c r="U102" s="12">
        <f t="shared" si="31"/>
        <v>4865.6886902366386</v>
      </c>
      <c r="V102" s="21">
        <f t="shared" si="32"/>
        <v>8.9440121958041949E-2</v>
      </c>
    </row>
    <row r="103" spans="1:23" x14ac:dyDescent="0.25">
      <c r="A103" s="368" t="s">
        <v>276</v>
      </c>
      <c r="B103" s="368" t="s">
        <v>631</v>
      </c>
      <c r="D103" s="233">
        <v>31</v>
      </c>
      <c r="E103" s="359" t="s">
        <v>763</v>
      </c>
      <c r="F103" s="233"/>
      <c r="G103" s="233"/>
      <c r="H103" s="53">
        <f>+INDEX('2025 Org Base Case BDs'!B:B,MATCH('2025 GSLDPR Rate Class E-13c'!A103,'2025 Org Base Case BDs'!A:A,0))</f>
        <v>171208.81</v>
      </c>
      <c r="I103" s="12" t="s">
        <v>756</v>
      </c>
      <c r="J103" s="27">
        <f>+INDEX('2024 Base Rates'!E:E,MATCH('2025 GSLDPR Rate Class E-13c'!B103,'2024 Base Rates'!D:D,0))</f>
        <v>0.56000000000000005</v>
      </c>
      <c r="K103" s="44" t="s">
        <v>759</v>
      </c>
      <c r="L103" s="12">
        <f t="shared" si="33"/>
        <v>95876.933600000004</v>
      </c>
      <c r="M103" s="233"/>
      <c r="N103" s="226"/>
      <c r="O103" s="53">
        <f>+INDEX('2025 Billing Determinants'!B:B,MATCH('2025 GSLDPR Rate Class E-13c'!A103,'2025 Billing Determinants'!A:A,0))</f>
        <v>171208.81</v>
      </c>
      <c r="P103" s="12" t="s">
        <v>756</v>
      </c>
      <c r="Q103" s="19">
        <f>+INDEX('Unit Cost Rate Design Input'!D:D,MATCH('2025 GSLDPR Rate Class E-13c'!B103,'Unit Cost Rate Design Input'!B:B,0))*(1+$B$7)</f>
        <v>0.62150240999999995</v>
      </c>
      <c r="R103" s="44" t="s">
        <v>764</v>
      </c>
      <c r="S103" s="12">
        <f t="shared" si="34"/>
        <v>106406.68802823209</v>
      </c>
      <c r="T103" s="233"/>
      <c r="U103" s="12">
        <f t="shared" si="31"/>
        <v>10529.754428232089</v>
      </c>
      <c r="V103" s="21">
        <f t="shared" si="32"/>
        <v>0.10982573214285703</v>
      </c>
    </row>
    <row r="104" spans="1:23" x14ac:dyDescent="0.25">
      <c r="A104" s="368"/>
      <c r="B104" s="368"/>
      <c r="D104" s="233">
        <v>32</v>
      </c>
      <c r="E104" s="11" t="s">
        <v>748</v>
      </c>
      <c r="F104" s="15"/>
      <c r="G104" s="233"/>
      <c r="H104" s="12">
        <f>+SUM(H98,H101)</f>
        <v>86588.24</v>
      </c>
      <c r="I104" s="12" t="s">
        <v>730</v>
      </c>
      <c r="J104" s="19"/>
      <c r="K104" s="12"/>
      <c r="L104" s="54">
        <f>+SUM(L98:L103)</f>
        <v>265440.92580000003</v>
      </c>
      <c r="M104" s="12"/>
      <c r="N104" s="22"/>
      <c r="O104" s="12">
        <f>+SUM(O98,O101)</f>
        <v>86588.24</v>
      </c>
      <c r="P104" s="12" t="s">
        <v>730</v>
      </c>
      <c r="Q104" s="19"/>
      <c r="R104" s="12"/>
      <c r="S104" s="54">
        <f>+SUM(S98:S103)</f>
        <v>313485.3266059038</v>
      </c>
      <c r="T104" s="233"/>
      <c r="U104" s="12">
        <f t="shared" si="31"/>
        <v>48044.400805903773</v>
      </c>
      <c r="V104" s="21">
        <f t="shared" si="32"/>
        <v>0.18099846759163077</v>
      </c>
    </row>
    <row r="105" spans="1:23" x14ac:dyDescent="0.25">
      <c r="A105" s="368"/>
      <c r="B105" s="368"/>
      <c r="D105" s="233">
        <v>34</v>
      </c>
      <c r="E105" s="233"/>
      <c r="F105" s="233"/>
      <c r="G105" s="233"/>
      <c r="H105" s="233"/>
      <c r="I105" s="233"/>
      <c r="J105" s="233"/>
      <c r="K105" s="233"/>
      <c r="L105" s="13"/>
      <c r="M105" s="233"/>
      <c r="N105" s="226"/>
      <c r="O105" s="233"/>
      <c r="P105" s="233"/>
      <c r="Q105" s="233"/>
      <c r="R105" s="233"/>
      <c r="S105" s="13"/>
      <c r="T105" s="233"/>
      <c r="U105" s="233"/>
      <c r="V105" s="233"/>
    </row>
    <row r="106" spans="1:23" x14ac:dyDescent="0.25">
      <c r="A106" s="368"/>
      <c r="B106" s="368"/>
      <c r="D106" s="233">
        <v>35</v>
      </c>
      <c r="E106" s="11" t="s">
        <v>765</v>
      </c>
      <c r="F106" s="233"/>
      <c r="G106" s="233"/>
      <c r="H106" s="233"/>
      <c r="I106" s="233"/>
      <c r="J106" s="233"/>
      <c r="K106" s="233"/>
      <c r="L106" s="13"/>
      <c r="M106" s="233"/>
      <c r="N106" s="226"/>
      <c r="O106" s="233"/>
      <c r="P106" s="233"/>
      <c r="Q106" s="233"/>
      <c r="R106" s="233"/>
      <c r="S106" s="13"/>
      <c r="T106" s="233"/>
      <c r="U106" s="233"/>
      <c r="V106" s="233"/>
    </row>
    <row r="107" spans="1:23" x14ac:dyDescent="0.25">
      <c r="A107" s="368" t="s">
        <v>240</v>
      </c>
      <c r="B107" s="368" t="s">
        <v>618</v>
      </c>
      <c r="D107" s="233">
        <v>36</v>
      </c>
      <c r="E107" s="359" t="s">
        <v>746</v>
      </c>
      <c r="F107" s="233"/>
      <c r="G107" s="233"/>
      <c r="H107" s="233">
        <f>+INDEX('2025 Org Base Case BDs'!B:B,MATCH('2025 GSLDPR Rate Class E-13c'!A107,'2025 Org Base Case BDs'!A:A,0))</f>
        <v>0</v>
      </c>
      <c r="I107" s="233" t="s">
        <v>840</v>
      </c>
      <c r="J107" s="60">
        <f>+INDEX('2024 Base Rates'!E:E,MATCH('2025 GSLDPR Rate Class E-13c'!B107,'2024 Base Rates'!D:D,0))</f>
        <v>2.0300000000000001E-3</v>
      </c>
      <c r="K107" s="233"/>
      <c r="L107" s="13">
        <f>+H107*J107</f>
        <v>0</v>
      </c>
      <c r="M107" s="233"/>
      <c r="N107" s="226"/>
      <c r="O107" s="233">
        <f>+INDEX('2025 Billing Determinants'!B:B,MATCH('2025 GSLDPR Rate Class E-13c'!A107,'2025 Billing Determinants'!A:A,0))</f>
        <v>0</v>
      </c>
      <c r="P107" s="233" t="s">
        <v>840</v>
      </c>
      <c r="Q107" s="28">
        <f>+INDEX('Unit Cost Rate Design Input'!D:D,MATCH('2025 GSLDPR Rate Class E-13c'!B107,'Unit Cost Rate Design Input'!B:B,0))</f>
        <v>2.0300000000000001E-3</v>
      </c>
      <c r="R107" s="233"/>
      <c r="S107" s="13">
        <f>+O107*Q107</f>
        <v>0</v>
      </c>
      <c r="T107" s="233"/>
      <c r="U107" s="12">
        <f t="shared" ref="U107:U109" si="35">+S107-L107</f>
        <v>0</v>
      </c>
      <c r="V107" s="21">
        <f t="shared" ref="V107:V109" si="36">+IF(U107=0,0,(S107-L107)/L107)</f>
        <v>0</v>
      </c>
    </row>
    <row r="108" spans="1:23" ht="16.5" x14ac:dyDescent="0.35">
      <c r="A108" s="368" t="s">
        <v>264</v>
      </c>
      <c r="B108" s="368" t="s">
        <v>922</v>
      </c>
      <c r="D108" s="233">
        <v>37</v>
      </c>
      <c r="E108" s="233" t="s">
        <v>747</v>
      </c>
      <c r="F108" s="233"/>
      <c r="G108" s="233"/>
      <c r="H108" s="57">
        <f>+INDEX('2025 Org Base Case BDs'!B:B,MATCH('2025 GSLDPR Rate Class E-13c'!A108,'2025 Org Base Case BDs'!A:A,0))</f>
        <v>13506304</v>
      </c>
      <c r="I108" s="233" t="s">
        <v>840</v>
      </c>
      <c r="J108" s="60">
        <f>+INDEX('2024 Base Rates'!E:E,MATCH('2025 GSLDPR Rate Class E-13c'!B108,'2024 Base Rates'!D:D,0))</f>
        <v>2.0300000000000001E-3</v>
      </c>
      <c r="K108" s="233"/>
      <c r="L108" s="53">
        <f>+H108*J108</f>
        <v>27417.797120000003</v>
      </c>
      <c r="M108" s="233"/>
      <c r="N108" s="226"/>
      <c r="O108" s="57">
        <f>+INDEX('2025 Billing Determinants'!B:B,MATCH('2025 GSLDPR Rate Class E-13c'!A108,'2025 Billing Determinants'!A:A,0))</f>
        <v>13506304</v>
      </c>
      <c r="P108" s="233" t="s">
        <v>840</v>
      </c>
      <c r="Q108" s="28">
        <f>+INDEX('Unit Cost Rate Design Input'!D:D,MATCH('2025 GSLDPR Rate Class E-13c'!B108,'Unit Cost Rate Design Input'!B:B,0))</f>
        <v>2.0300000000000001E-3</v>
      </c>
      <c r="R108" s="233"/>
      <c r="S108" s="53">
        <f>+O108*Q108</f>
        <v>27417.797120000003</v>
      </c>
      <c r="T108" s="233"/>
      <c r="U108" s="12">
        <f t="shared" si="35"/>
        <v>0</v>
      </c>
      <c r="V108" s="21">
        <f t="shared" si="36"/>
        <v>0</v>
      </c>
    </row>
    <row r="109" spans="1:23" ht="15.75" thickBot="1" x14ac:dyDescent="0.3">
      <c r="A109" s="368"/>
      <c r="D109" s="306">
        <v>38</v>
      </c>
      <c r="E109" s="306"/>
      <c r="F109" s="380" t="s">
        <v>336</v>
      </c>
      <c r="G109" s="306"/>
      <c r="H109" s="355">
        <f>+SUM(H107:H108)</f>
        <v>13506304</v>
      </c>
      <c r="I109" s="355"/>
      <c r="J109" s="355"/>
      <c r="K109" s="355"/>
      <c r="L109" s="355">
        <f>+SUM(L107:L108)</f>
        <v>27417.797120000003</v>
      </c>
      <c r="M109" s="355"/>
      <c r="N109" s="355"/>
      <c r="O109" s="381">
        <f>+SUM(O107:O108)</f>
        <v>13506304</v>
      </c>
      <c r="P109" s="355"/>
      <c r="Q109" s="355"/>
      <c r="R109" s="355"/>
      <c r="S109" s="355">
        <f>+SUM(S107:S108)</f>
        <v>27417.797120000003</v>
      </c>
      <c r="T109" s="306"/>
      <c r="U109" s="79">
        <f t="shared" si="35"/>
        <v>0</v>
      </c>
      <c r="V109" s="189">
        <f t="shared" si="36"/>
        <v>0</v>
      </c>
      <c r="W109" s="306"/>
    </row>
    <row r="110" spans="1:23" x14ac:dyDescent="0.25">
      <c r="A110" s="368"/>
      <c r="B110" s="368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26"/>
      <c r="O110" s="233"/>
      <c r="P110" s="233"/>
      <c r="Q110" s="233"/>
      <c r="R110" s="233"/>
      <c r="S110" s="233"/>
      <c r="T110" s="233"/>
      <c r="U110" s="233"/>
      <c r="V110" s="233" t="s">
        <v>304</v>
      </c>
    </row>
    <row r="111" spans="1:23" x14ac:dyDescent="0.25">
      <c r="A111" s="368"/>
      <c r="B111" s="368"/>
      <c r="D111" s="233"/>
      <c r="E111" s="233"/>
      <c r="F111" s="233"/>
      <c r="G111" s="233"/>
      <c r="H111" s="233"/>
      <c r="I111" s="233"/>
      <c r="J111" s="233"/>
      <c r="K111" s="590"/>
      <c r="L111" s="590"/>
      <c r="M111" s="590"/>
      <c r="N111" s="590"/>
      <c r="O111" s="590"/>
      <c r="P111" s="233"/>
      <c r="Q111" s="233"/>
      <c r="R111" s="233"/>
      <c r="S111" s="233"/>
      <c r="T111" s="233"/>
      <c r="U111" s="233"/>
      <c r="V111" s="233"/>
    </row>
    <row r="112" spans="1:23" ht="15.75" thickBot="1" x14ac:dyDescent="0.3">
      <c r="A112" s="368"/>
      <c r="B112" s="368"/>
      <c r="D112" s="306" t="s">
        <v>305</v>
      </c>
      <c r="E112" s="306"/>
      <c r="F112" s="306"/>
      <c r="G112" s="306"/>
      <c r="H112" s="306"/>
      <c r="I112" s="306"/>
      <c r="J112" s="306"/>
      <c r="K112" s="591" t="s">
        <v>306</v>
      </c>
      <c r="L112" s="591"/>
      <c r="M112" s="591"/>
      <c r="N112" s="591"/>
      <c r="O112" s="591"/>
      <c r="P112" s="306"/>
      <c r="Q112" s="306"/>
      <c r="R112" s="306"/>
      <c r="S112" s="306"/>
      <c r="T112" s="306"/>
      <c r="U112" s="306"/>
      <c r="V112" s="326" t="s">
        <v>887</v>
      </c>
    </row>
    <row r="113" spans="1:22" x14ac:dyDescent="0.25">
      <c r="A113" s="368"/>
      <c r="B113" s="368"/>
      <c r="D113" s="233" t="s">
        <v>307</v>
      </c>
      <c r="E113" s="233"/>
      <c r="F113" s="233"/>
      <c r="G113" s="233"/>
      <c r="H113" s="233" t="s">
        <v>308</v>
      </c>
      <c r="I113" s="233"/>
      <c r="J113" s="233" t="s">
        <v>913</v>
      </c>
      <c r="K113" s="233"/>
      <c r="L113" s="233"/>
      <c r="M113" s="233"/>
      <c r="N113" s="316"/>
      <c r="O113" s="309"/>
      <c r="P113" s="233"/>
      <c r="Q113" s="309"/>
      <c r="R113" s="309"/>
      <c r="S113" s="309" t="s">
        <v>309</v>
      </c>
      <c r="T113" s="233"/>
      <c r="U113" s="233"/>
      <c r="V113" s="310"/>
    </row>
    <row r="114" spans="1:22" x14ac:dyDescent="0.25">
      <c r="A114" s="368"/>
      <c r="B114" s="368"/>
      <c r="D114" s="233"/>
      <c r="E114" s="233"/>
      <c r="F114" s="233"/>
      <c r="G114" s="233"/>
      <c r="H114" s="233"/>
      <c r="I114" s="233"/>
      <c r="J114" s="233" t="s">
        <v>914</v>
      </c>
      <c r="K114" s="233"/>
      <c r="L114" s="233"/>
      <c r="M114" s="233"/>
      <c r="N114" s="226"/>
      <c r="O114" s="310"/>
      <c r="P114" s="233"/>
      <c r="Q114" s="233"/>
      <c r="R114" s="311"/>
      <c r="S114" s="311"/>
      <c r="T114" s="311" t="s">
        <v>919</v>
      </c>
      <c r="U114" s="310" t="s">
        <v>920</v>
      </c>
      <c r="V114" s="311"/>
    </row>
    <row r="115" spans="1:22" x14ac:dyDescent="0.25">
      <c r="A115" s="368"/>
      <c r="B115" s="368"/>
      <c r="D115" s="233" t="s">
        <v>310</v>
      </c>
      <c r="E115" s="233"/>
      <c r="F115" s="233"/>
      <c r="G115" s="233"/>
      <c r="H115" s="233"/>
      <c r="I115" s="233"/>
      <c r="J115" s="233" t="s">
        <v>915</v>
      </c>
      <c r="K115" s="233"/>
      <c r="L115" s="233"/>
      <c r="M115" s="233"/>
      <c r="N115" s="226"/>
      <c r="O115" s="310"/>
      <c r="P115" s="311"/>
      <c r="Q115" s="233"/>
      <c r="R115" s="233"/>
      <c r="S115" s="311"/>
      <c r="T115" s="311"/>
      <c r="U115" s="310" t="s">
        <v>937</v>
      </c>
      <c r="V115" s="311"/>
    </row>
    <row r="116" spans="1:22" x14ac:dyDescent="0.25">
      <c r="A116" s="368"/>
      <c r="B116" s="368"/>
      <c r="D116" s="233"/>
      <c r="E116" s="233"/>
      <c r="F116" s="233"/>
      <c r="G116" s="233"/>
      <c r="H116" s="233"/>
      <c r="I116" s="233"/>
      <c r="J116" s="233" t="s">
        <v>916</v>
      </c>
      <c r="K116" s="233"/>
      <c r="L116" s="233"/>
      <c r="M116" s="233"/>
      <c r="N116" s="226"/>
      <c r="O116" s="310"/>
      <c r="P116" s="311"/>
      <c r="Q116" s="233"/>
      <c r="R116" s="233"/>
      <c r="S116" s="311"/>
      <c r="T116" s="311"/>
      <c r="U116" s="310" t="s">
        <v>938</v>
      </c>
      <c r="V116" s="311"/>
    </row>
    <row r="117" spans="1:22" x14ac:dyDescent="0.25">
      <c r="A117" s="368"/>
      <c r="B117" s="368"/>
      <c r="D117" s="233"/>
      <c r="E117" s="233"/>
      <c r="F117" s="311"/>
      <c r="G117" s="233"/>
      <c r="H117" s="233"/>
      <c r="I117" s="233"/>
      <c r="J117" s="233" t="s">
        <v>917</v>
      </c>
      <c r="K117" s="317"/>
      <c r="L117" s="317"/>
      <c r="M117" s="317"/>
      <c r="N117" s="226"/>
      <c r="O117" s="233"/>
      <c r="P117" s="233"/>
      <c r="Q117" s="233"/>
      <c r="R117" s="233"/>
      <c r="S117" s="233"/>
      <c r="T117" s="233"/>
      <c r="U117" s="233" t="s">
        <v>311</v>
      </c>
      <c r="V117" s="233"/>
    </row>
    <row r="118" spans="1:22" ht="15.75" thickBot="1" x14ac:dyDescent="0.3">
      <c r="A118" s="368"/>
      <c r="B118" s="368"/>
      <c r="D118" s="306" t="s">
        <v>1642</v>
      </c>
      <c r="E118" s="306"/>
      <c r="F118" s="326"/>
      <c r="G118" s="319"/>
      <c r="H118" s="319"/>
      <c r="I118" s="319"/>
      <c r="J118" s="361" t="s">
        <v>918</v>
      </c>
      <c r="K118" s="319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19"/>
    </row>
    <row r="119" spans="1:22" x14ac:dyDescent="0.25">
      <c r="A119" s="368"/>
      <c r="B119" s="368"/>
      <c r="D119" s="233"/>
      <c r="E119" s="233"/>
      <c r="F119" s="233"/>
      <c r="G119" s="233"/>
      <c r="H119" s="317"/>
      <c r="I119" s="233"/>
      <c r="J119" s="317"/>
      <c r="K119" s="362"/>
      <c r="L119" s="317"/>
      <c r="M119" s="233"/>
      <c r="N119" s="317"/>
      <c r="O119" s="233"/>
      <c r="P119" s="362"/>
      <c r="Q119" s="233"/>
      <c r="R119" s="233"/>
      <c r="S119" s="233"/>
      <c r="T119" s="233"/>
      <c r="U119" s="233"/>
      <c r="V119" s="233"/>
    </row>
    <row r="120" spans="1:22" x14ac:dyDescent="0.25">
      <c r="A120" s="368"/>
      <c r="B120" s="368"/>
      <c r="D120" s="233"/>
      <c r="E120" s="233"/>
      <c r="F120" s="233"/>
      <c r="G120" s="233"/>
      <c r="H120" s="362"/>
      <c r="I120" s="233"/>
      <c r="J120" s="233"/>
      <c r="K120" s="362"/>
      <c r="L120" s="233"/>
      <c r="M120" s="233"/>
      <c r="N120" s="317"/>
      <c r="O120" s="233"/>
      <c r="P120" s="362"/>
      <c r="Q120" s="233"/>
      <c r="R120" s="233"/>
      <c r="S120" s="233"/>
      <c r="T120" s="233"/>
      <c r="U120" s="233"/>
      <c r="V120" s="233"/>
    </row>
    <row r="121" spans="1:22" x14ac:dyDescent="0.25">
      <c r="A121" s="368"/>
      <c r="B121" s="368"/>
      <c r="D121" s="233"/>
      <c r="E121" s="233"/>
      <c r="F121" s="233"/>
      <c r="G121" s="233"/>
      <c r="H121" s="233"/>
      <c r="I121" s="362"/>
      <c r="J121" s="362"/>
      <c r="K121" s="363"/>
      <c r="L121" s="363" t="s">
        <v>312</v>
      </c>
      <c r="M121" s="317"/>
      <c r="N121" s="364" t="s">
        <v>745</v>
      </c>
      <c r="O121" s="362"/>
      <c r="P121" s="233"/>
      <c r="Q121" s="362"/>
      <c r="R121" s="362"/>
      <c r="S121" s="362"/>
      <c r="T121" s="362"/>
      <c r="U121" s="362"/>
      <c r="V121" s="233"/>
    </row>
    <row r="122" spans="1:22" x14ac:dyDescent="0.25">
      <c r="A122" s="368"/>
      <c r="B122" s="368"/>
      <c r="D122" s="233"/>
      <c r="E122" s="233"/>
      <c r="F122" s="233"/>
      <c r="G122" s="233"/>
      <c r="H122" s="233"/>
      <c r="I122" s="362"/>
      <c r="J122" s="362"/>
      <c r="K122" s="362"/>
      <c r="L122" s="362"/>
      <c r="M122" s="362"/>
      <c r="N122" s="317"/>
      <c r="O122" s="362"/>
      <c r="P122" s="362"/>
      <c r="Q122" s="362"/>
      <c r="R122" s="362"/>
      <c r="S122" s="362"/>
      <c r="T122" s="362"/>
      <c r="U122" s="362"/>
      <c r="V122" s="362"/>
    </row>
    <row r="123" spans="1:22" x14ac:dyDescent="0.25">
      <c r="A123" s="368"/>
      <c r="B123" s="368"/>
      <c r="D123" s="226" t="s">
        <v>314</v>
      </c>
      <c r="E123" s="371" t="s">
        <v>315</v>
      </c>
      <c r="F123" s="2"/>
      <c r="G123" s="3"/>
      <c r="H123" s="4"/>
      <c r="I123" s="4"/>
      <c r="J123" s="5" t="s">
        <v>316</v>
      </c>
      <c r="K123" s="4"/>
      <c r="L123" s="4"/>
      <c r="M123" s="2"/>
      <c r="N123" s="6"/>
      <c r="O123" s="4"/>
      <c r="P123" s="5"/>
      <c r="Q123" s="5" t="s">
        <v>317</v>
      </c>
      <c r="R123" s="4"/>
      <c r="S123" s="4"/>
      <c r="T123" s="2"/>
      <c r="U123" s="7" t="s">
        <v>318</v>
      </c>
      <c r="V123" s="7" t="s">
        <v>319</v>
      </c>
    </row>
    <row r="124" spans="1:22" ht="15.75" thickBot="1" x14ac:dyDescent="0.3">
      <c r="A124" s="368"/>
      <c r="B124" s="368"/>
      <c r="D124" s="314" t="s">
        <v>320</v>
      </c>
      <c r="E124" s="367" t="s">
        <v>321</v>
      </c>
      <c r="F124" s="8"/>
      <c r="G124" s="306"/>
      <c r="H124" s="314" t="s">
        <v>322</v>
      </c>
      <c r="I124" s="9"/>
      <c r="J124" s="9" t="s">
        <v>323</v>
      </c>
      <c r="K124" s="9"/>
      <c r="L124" s="9" t="s">
        <v>324</v>
      </c>
      <c r="M124" s="9"/>
      <c r="N124" s="9"/>
      <c r="O124" s="9" t="s">
        <v>322</v>
      </c>
      <c r="P124" s="9"/>
      <c r="Q124" s="9" t="s">
        <v>323</v>
      </c>
      <c r="R124" s="9"/>
      <c r="S124" s="9" t="s">
        <v>324</v>
      </c>
      <c r="T124" s="8"/>
      <c r="U124" s="10" t="s">
        <v>325</v>
      </c>
      <c r="V124" s="10" t="s">
        <v>326</v>
      </c>
    </row>
    <row r="125" spans="1:22" x14ac:dyDescent="0.25">
      <c r="A125" s="368"/>
      <c r="B125" s="368"/>
      <c r="D125" s="233">
        <v>1</v>
      </c>
      <c r="E125" s="592" t="s">
        <v>843</v>
      </c>
      <c r="F125" s="592"/>
      <c r="G125" s="592"/>
      <c r="H125" s="233"/>
      <c r="I125" s="15"/>
      <c r="J125" s="15"/>
      <c r="K125" s="15"/>
      <c r="L125" s="15"/>
      <c r="M125" s="11"/>
      <c r="N125" s="6"/>
      <c r="O125" s="11"/>
      <c r="P125" s="15"/>
      <c r="Q125" s="15"/>
      <c r="R125" s="15"/>
      <c r="S125" s="15"/>
      <c r="T125" s="15"/>
      <c r="U125" s="15"/>
      <c r="V125" s="15"/>
    </row>
    <row r="126" spans="1:22" x14ac:dyDescent="0.25">
      <c r="A126" s="368"/>
      <c r="B126" s="368"/>
      <c r="D126" s="233">
        <v>2</v>
      </c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</row>
    <row r="127" spans="1:22" x14ac:dyDescent="0.25">
      <c r="A127" s="368"/>
      <c r="B127" s="368"/>
      <c r="D127" s="233">
        <v>3</v>
      </c>
      <c r="E127" s="11" t="s">
        <v>766</v>
      </c>
      <c r="F127" s="233"/>
      <c r="G127" s="233"/>
      <c r="H127" s="233"/>
      <c r="I127" s="233"/>
      <c r="J127" s="233"/>
      <c r="K127" s="233"/>
      <c r="L127" s="13"/>
      <c r="M127" s="233"/>
      <c r="N127" s="226"/>
      <c r="O127" s="233"/>
      <c r="P127" s="233"/>
      <c r="Q127" s="233"/>
      <c r="R127" s="233"/>
      <c r="S127" s="13"/>
      <c r="T127" s="233"/>
      <c r="U127" s="233"/>
      <c r="V127" s="233"/>
    </row>
    <row r="128" spans="1:22" x14ac:dyDescent="0.25">
      <c r="A128" s="368" t="s">
        <v>241</v>
      </c>
      <c r="B128" s="368" t="s">
        <v>619</v>
      </c>
      <c r="D128" s="233">
        <v>4</v>
      </c>
      <c r="E128" s="359" t="s">
        <v>746</v>
      </c>
      <c r="F128" s="233"/>
      <c r="G128" s="233"/>
      <c r="H128" s="233">
        <f>+INDEX('2025 Org Base Case BDs'!B:B,MATCH('2025 GSLDPR Rate Class E-13c'!A128,'2025 Org Base Case BDs'!A:A,0))</f>
        <v>0</v>
      </c>
      <c r="I128" s="233" t="s">
        <v>840</v>
      </c>
      <c r="J128" s="60">
        <f>+INDEX('2024 Base Rates'!E:E,MATCH('2025 GSLDPR Rate Class E-13c'!B128,'2024 Base Rates'!D:D,0))</f>
        <v>-1.0200000000000001E-3</v>
      </c>
      <c r="K128" s="233"/>
      <c r="L128" s="13">
        <f>+H128*J128</f>
        <v>0</v>
      </c>
      <c r="M128" s="233"/>
      <c r="N128" s="226"/>
      <c r="O128" s="233">
        <f>+INDEX('2025 Billing Determinants'!B:B,MATCH('2025 GSLDPR Rate Class E-13c'!A128,'2025 Billing Determinants'!A:A,0))</f>
        <v>0</v>
      </c>
      <c r="P128" s="233" t="s">
        <v>840</v>
      </c>
      <c r="Q128" s="28">
        <f>+INDEX('Unit Cost Rate Design Input'!D:D,MATCH('2025 GSLDPR Rate Class E-13c'!B128,'Unit Cost Rate Design Input'!B:B,0))</f>
        <v>-1.0200000000000001E-3</v>
      </c>
      <c r="R128" s="233"/>
      <c r="S128" s="13">
        <f>+O128*Q128</f>
        <v>0</v>
      </c>
      <c r="T128" s="233"/>
      <c r="U128" s="12">
        <f t="shared" ref="U128:U130" si="37">+S128-L128</f>
        <v>0</v>
      </c>
      <c r="V128" s="21">
        <f t="shared" ref="V128:V130" si="38">+IF(U128=0,0,(S128-L128)/L128)</f>
        <v>0</v>
      </c>
    </row>
    <row r="129" spans="1:22" x14ac:dyDescent="0.25">
      <c r="A129" s="368" t="s">
        <v>265</v>
      </c>
      <c r="B129" s="368" t="s">
        <v>921</v>
      </c>
      <c r="D129" s="233">
        <v>5</v>
      </c>
      <c r="E129" s="233" t="s">
        <v>747</v>
      </c>
      <c r="F129" s="233"/>
      <c r="G129" s="233"/>
      <c r="H129" s="376">
        <f>+INDEX('2025 Org Base Case BDs'!B:B,MATCH('2025 GSLDPR Rate Class E-13c'!A129,'2025 Org Base Case BDs'!A:A,0))</f>
        <v>0</v>
      </c>
      <c r="I129" s="233" t="s">
        <v>840</v>
      </c>
      <c r="J129" s="60">
        <f>+INDEX('2024 Base Rates'!E:E,MATCH('2025 GSLDPR Rate Class E-13c'!B129,'2024 Base Rates'!D:D,0))</f>
        <v>-1.0200000000000001E-3</v>
      </c>
      <c r="K129" s="233"/>
      <c r="L129" s="13">
        <f>+H129*J129</f>
        <v>0</v>
      </c>
      <c r="M129" s="233"/>
      <c r="N129" s="226"/>
      <c r="O129" s="376">
        <f>+INDEX('2025 Billing Determinants'!B:B,MATCH('2025 GSLDPR Rate Class E-13c'!A129,'2025 Billing Determinants'!A:A,0))</f>
        <v>0</v>
      </c>
      <c r="P129" s="233" t="s">
        <v>840</v>
      </c>
      <c r="Q129" s="28">
        <f>+INDEX('Unit Cost Rate Design Input'!D:D,MATCH('2025 GSLDPR Rate Class E-13c'!B129,'Unit Cost Rate Design Input'!B:B,0))</f>
        <v>-1.0200000000000001E-3</v>
      </c>
      <c r="R129" s="233"/>
      <c r="S129" s="13">
        <f>+O129*Q129</f>
        <v>0</v>
      </c>
      <c r="T129" s="233"/>
      <c r="U129" s="12">
        <f t="shared" si="37"/>
        <v>0</v>
      </c>
      <c r="V129" s="21">
        <f t="shared" si="38"/>
        <v>0</v>
      </c>
    </row>
    <row r="130" spans="1:22" x14ac:dyDescent="0.25">
      <c r="A130" s="368"/>
      <c r="B130" s="368"/>
      <c r="D130" s="233">
        <v>6</v>
      </c>
      <c r="E130" s="11" t="s">
        <v>748</v>
      </c>
      <c r="F130" s="11"/>
      <c r="G130" s="233"/>
      <c r="H130" s="233">
        <f>+SUM(H128:H129)</f>
        <v>0</v>
      </c>
      <c r="I130" s="233" t="s">
        <v>840</v>
      </c>
      <c r="J130" s="233"/>
      <c r="K130" s="233"/>
      <c r="L130" s="54">
        <f>+SUM(L128:L129)</f>
        <v>0</v>
      </c>
      <c r="M130" s="233"/>
      <c r="N130" s="226"/>
      <c r="O130" s="233">
        <f>+SUM(O128:O129)</f>
        <v>0</v>
      </c>
      <c r="P130" s="233" t="s">
        <v>840</v>
      </c>
      <c r="Q130" s="233"/>
      <c r="R130" s="233"/>
      <c r="S130" s="54">
        <f>+SUM(S128:S129)</f>
        <v>0</v>
      </c>
      <c r="T130" s="233"/>
      <c r="U130" s="12">
        <f t="shared" si="37"/>
        <v>0</v>
      </c>
      <c r="V130" s="21">
        <f t="shared" si="38"/>
        <v>0</v>
      </c>
    </row>
    <row r="131" spans="1:22" x14ac:dyDescent="0.25">
      <c r="A131" s="368"/>
      <c r="B131" s="368"/>
      <c r="D131" s="233">
        <v>7</v>
      </c>
      <c r="E131" s="233"/>
      <c r="F131" s="233"/>
      <c r="G131" s="233"/>
      <c r="H131" s="233"/>
      <c r="I131" s="233"/>
      <c r="J131" s="233"/>
      <c r="K131" s="233"/>
      <c r="L131" s="13"/>
      <c r="M131" s="233"/>
      <c r="N131" s="226"/>
      <c r="O131" s="233"/>
      <c r="P131" s="233"/>
      <c r="Q131" s="233"/>
      <c r="R131" s="233"/>
      <c r="S131" s="13"/>
      <c r="T131" s="233"/>
      <c r="U131" s="233"/>
      <c r="V131" s="233"/>
    </row>
    <row r="132" spans="1:22" x14ac:dyDescent="0.25">
      <c r="A132" s="368"/>
      <c r="B132" s="368"/>
      <c r="D132" s="233">
        <v>8</v>
      </c>
      <c r="E132" s="11" t="s">
        <v>767</v>
      </c>
      <c r="F132" s="233"/>
      <c r="G132" s="233"/>
      <c r="H132" s="354"/>
      <c r="I132" s="12"/>
      <c r="J132" s="12"/>
      <c r="K132" s="12"/>
      <c r="L132" s="12"/>
      <c r="M132" s="12"/>
      <c r="N132" s="22"/>
      <c r="O132" s="354"/>
      <c r="P132" s="12"/>
      <c r="Q132" s="12"/>
      <c r="R132" s="12"/>
      <c r="S132" s="12"/>
      <c r="T132" s="233"/>
      <c r="U132" s="233"/>
      <c r="V132" s="23"/>
    </row>
    <row r="133" spans="1:22" x14ac:dyDescent="0.25">
      <c r="A133" s="368" t="s">
        <v>238</v>
      </c>
      <c r="B133" s="368" t="s">
        <v>620</v>
      </c>
      <c r="D133" s="233">
        <v>9</v>
      </c>
      <c r="E133" s="359" t="s">
        <v>746</v>
      </c>
      <c r="F133" s="11"/>
      <c r="G133" s="233"/>
      <c r="H133" s="233">
        <f>+INDEX('2025 Org Base Case BDs'!B:B,MATCH('2025 GSLDPR Rate Class E-13c'!A133,'2025 Org Base Case BDs'!A:A,0))</f>
        <v>0</v>
      </c>
      <c r="I133" s="12" t="s">
        <v>730</v>
      </c>
      <c r="J133" s="27">
        <f>+INDEX('2024 Base Rates'!E:E,MATCH('2025 GSLDPR Rate Class E-13c'!B133,'2024 Base Rates'!D:D,0))</f>
        <v>0.68</v>
      </c>
      <c r="K133" s="12"/>
      <c r="L133" s="12">
        <f>+H133*J133</f>
        <v>0</v>
      </c>
      <c r="M133" s="12"/>
      <c r="N133" s="22"/>
      <c r="O133" s="233">
        <f>+INDEX('2025 Billing Determinants'!B:B,MATCH('2025 GSLDPR Rate Class E-13c'!A133,'2025 Billing Determinants'!A:A,0))</f>
        <v>0</v>
      </c>
      <c r="P133" s="12" t="s">
        <v>730</v>
      </c>
      <c r="Q133" s="19">
        <f>+INDEX('Unit Cost Rate Design Input'!D:D,MATCH('2025 GSLDPR Rate Class E-13c'!B133,'Unit Cost Rate Design Input'!B:B,0))</f>
        <v>1.02</v>
      </c>
      <c r="R133" s="12"/>
      <c r="S133" s="12">
        <f>+O133*Q133</f>
        <v>0</v>
      </c>
      <c r="T133" s="233"/>
      <c r="U133" s="12">
        <f t="shared" ref="U133:U135" si="39">+S133-L133</f>
        <v>0</v>
      </c>
      <c r="V133" s="21">
        <f t="shared" ref="V133:V135" si="40">+IF(U133=0,0,(S133-L133)/L133)</f>
        <v>0</v>
      </c>
    </row>
    <row r="134" spans="1:22" ht="16.5" x14ac:dyDescent="0.35">
      <c r="A134" s="368" t="s">
        <v>262</v>
      </c>
      <c r="B134" s="368" t="s">
        <v>632</v>
      </c>
      <c r="D134" s="233">
        <v>10</v>
      </c>
      <c r="E134" s="233" t="s">
        <v>747</v>
      </c>
      <c r="F134" s="233"/>
      <c r="G134" s="233"/>
      <c r="H134" s="376">
        <f>+INDEX('2025 Org Base Case BDs'!B:B,MATCH('2025 GSLDPR Rate Class E-13c'!A134,'2025 Org Base Case BDs'!A:A,0))</f>
        <v>0</v>
      </c>
      <c r="I134" s="12" t="s">
        <v>730</v>
      </c>
      <c r="J134" s="27">
        <f>+INDEX('2024 Base Rates'!E:E,MATCH('2025 GSLDPR Rate Class E-13c'!B134,'2024 Base Rates'!D:D,0))</f>
        <v>0.68</v>
      </c>
      <c r="K134" s="12"/>
      <c r="L134" s="58">
        <f>+H134*J134</f>
        <v>0</v>
      </c>
      <c r="M134" s="12"/>
      <c r="N134" s="22"/>
      <c r="O134" s="376">
        <f>+INDEX('2025 Billing Determinants'!B:B,MATCH('2025 GSLDPR Rate Class E-13c'!A134,'2025 Billing Determinants'!A:A,0))</f>
        <v>0</v>
      </c>
      <c r="P134" s="12" t="s">
        <v>730</v>
      </c>
      <c r="Q134" s="19">
        <f>+INDEX('Unit Cost Rate Design Input'!D:D,MATCH('2025 GSLDPR Rate Class E-13c'!B134,'Unit Cost Rate Design Input'!B:B,0))</f>
        <v>1.02</v>
      </c>
      <c r="R134" s="12"/>
      <c r="S134" s="58">
        <f>+O134*Q134</f>
        <v>0</v>
      </c>
      <c r="T134" s="233"/>
      <c r="U134" s="12">
        <f t="shared" si="39"/>
        <v>0</v>
      </c>
      <c r="V134" s="21">
        <f t="shared" si="40"/>
        <v>0</v>
      </c>
    </row>
    <row r="135" spans="1:22" x14ac:dyDescent="0.25">
      <c r="A135" s="368"/>
      <c r="B135" s="368"/>
      <c r="D135" s="233">
        <v>11</v>
      </c>
      <c r="E135" s="233" t="s">
        <v>336</v>
      </c>
      <c r="F135" s="233"/>
      <c r="G135" s="233"/>
      <c r="H135" s="233">
        <f>+SUM(H133:H134)</f>
        <v>0</v>
      </c>
      <c r="I135" s="233"/>
      <c r="J135" s="233"/>
      <c r="K135" s="233"/>
      <c r="L135" s="377">
        <f>+SUM(L133:L134)</f>
        <v>0</v>
      </c>
      <c r="M135" s="233"/>
      <c r="N135" s="226"/>
      <c r="O135" s="233">
        <f>+SUM(O133:O134)</f>
        <v>0</v>
      </c>
      <c r="P135" s="233"/>
      <c r="Q135" s="233"/>
      <c r="R135" s="233"/>
      <c r="S135" s="377">
        <f>+SUM(S133:S134)</f>
        <v>0</v>
      </c>
      <c r="T135" s="233"/>
      <c r="U135" s="12">
        <f t="shared" si="39"/>
        <v>0</v>
      </c>
      <c r="V135" s="21">
        <f t="shared" si="40"/>
        <v>0</v>
      </c>
    </row>
    <row r="136" spans="1:22" x14ac:dyDescent="0.25">
      <c r="A136" s="368"/>
      <c r="B136" s="368"/>
      <c r="D136" s="233">
        <v>12</v>
      </c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"/>
    </row>
    <row r="137" spans="1:22" x14ac:dyDescent="0.25">
      <c r="A137" s="368"/>
      <c r="B137" s="368"/>
      <c r="D137" s="233">
        <v>13</v>
      </c>
      <c r="E137" s="11"/>
      <c r="F137" s="11"/>
      <c r="G137" s="11"/>
      <c r="H137" s="233"/>
      <c r="I137" s="233"/>
      <c r="J137" s="233"/>
      <c r="K137" s="233"/>
      <c r="L137" s="13"/>
      <c r="M137" s="233"/>
      <c r="N137" s="226"/>
      <c r="O137" s="233"/>
      <c r="P137" s="233"/>
      <c r="Q137" s="233"/>
      <c r="R137" s="233"/>
      <c r="S137" s="13"/>
      <c r="T137" s="233"/>
      <c r="U137" s="233"/>
      <c r="V137" s="233"/>
    </row>
    <row r="138" spans="1:22" x14ac:dyDescent="0.25">
      <c r="A138" s="368"/>
      <c r="B138" s="368"/>
      <c r="D138" s="233">
        <v>14</v>
      </c>
      <c r="E138" s="233" t="s">
        <v>812</v>
      </c>
      <c r="F138" s="233"/>
      <c r="G138" s="233"/>
      <c r="H138" s="233"/>
      <c r="I138" s="233"/>
      <c r="J138" s="233"/>
      <c r="K138" s="233"/>
      <c r="L138" s="233"/>
      <c r="M138" s="233"/>
      <c r="N138" s="226"/>
      <c r="O138" s="233"/>
      <c r="P138" s="233"/>
      <c r="Q138" s="233"/>
      <c r="R138" s="233"/>
      <c r="S138" s="233"/>
      <c r="T138" s="233"/>
      <c r="U138" s="233"/>
      <c r="V138" s="233"/>
    </row>
    <row r="139" spans="1:22" x14ac:dyDescent="0.25">
      <c r="A139" s="368"/>
      <c r="B139" s="368" t="s">
        <v>610</v>
      </c>
      <c r="D139" s="233">
        <v>15</v>
      </c>
      <c r="E139" s="11" t="s">
        <v>388</v>
      </c>
      <c r="F139" s="233"/>
      <c r="G139" s="233"/>
      <c r="H139" s="372">
        <v>0</v>
      </c>
      <c r="I139" s="233" t="s">
        <v>807</v>
      </c>
      <c r="J139" s="61">
        <f>+INDEX('2024 Base Rates'!E:E,MATCH('2025 GSLDPR Rate Class E-13c'!B139,'2024 Base Rates'!D:D,0))</f>
        <v>-0.01</v>
      </c>
      <c r="K139" s="233"/>
      <c r="L139" s="12">
        <f>+H139*J139</f>
        <v>0</v>
      </c>
      <c r="M139" s="233"/>
      <c r="N139" s="226"/>
      <c r="O139" s="372">
        <v>0</v>
      </c>
      <c r="P139" s="233" t="s">
        <v>807</v>
      </c>
      <c r="Q139" s="39">
        <f>+J139</f>
        <v>-0.01</v>
      </c>
      <c r="R139" s="233"/>
      <c r="S139" s="12">
        <f>+O139*Q139</f>
        <v>0</v>
      </c>
      <c r="T139" s="233"/>
      <c r="U139" s="12">
        <f t="shared" ref="U139:U141" si="41">+S139-L139</f>
        <v>0</v>
      </c>
      <c r="V139" s="21">
        <f t="shared" ref="V139:V141" si="42">+IF(U139=0,0,(S139-L139)/L139)</f>
        <v>0</v>
      </c>
    </row>
    <row r="140" spans="1:22" x14ac:dyDescent="0.25">
      <c r="A140" s="368"/>
      <c r="B140" s="368" t="s">
        <v>611</v>
      </c>
      <c r="D140" s="233">
        <v>16</v>
      </c>
      <c r="E140" s="233" t="s">
        <v>735</v>
      </c>
      <c r="F140" s="233"/>
      <c r="G140" s="233"/>
      <c r="H140" s="373">
        <v>0</v>
      </c>
      <c r="I140" s="233" t="s">
        <v>807</v>
      </c>
      <c r="J140" s="61">
        <f>+INDEX('2024 Base Rates'!E:E,MATCH('2025 GSLDPR Rate Class E-13c'!B140,'2024 Base Rates'!D:D,0))</f>
        <v>-0.01</v>
      </c>
      <c r="K140" s="233"/>
      <c r="L140" s="373">
        <f>+H140*J140</f>
        <v>0</v>
      </c>
      <c r="M140" s="233"/>
      <c r="N140" s="226"/>
      <c r="O140" s="373">
        <v>0</v>
      </c>
      <c r="P140" s="233" t="s">
        <v>807</v>
      </c>
      <c r="Q140" s="39">
        <f>+J140</f>
        <v>-0.01</v>
      </c>
      <c r="R140" s="233"/>
      <c r="S140" s="373">
        <f>+O140*Q140</f>
        <v>0</v>
      </c>
      <c r="T140" s="233"/>
      <c r="U140" s="12">
        <f t="shared" si="41"/>
        <v>0</v>
      </c>
      <c r="V140" s="21">
        <f t="shared" si="42"/>
        <v>0</v>
      </c>
    </row>
    <row r="141" spans="1:22" x14ac:dyDescent="0.25">
      <c r="A141" s="368"/>
      <c r="B141" s="368"/>
      <c r="D141" s="233">
        <v>17</v>
      </c>
      <c r="E141" s="233" t="s">
        <v>331</v>
      </c>
      <c r="F141" s="233"/>
      <c r="G141" s="233"/>
      <c r="H141" s="372">
        <f>+SUM(H139:H140)</f>
        <v>0</v>
      </c>
      <c r="I141" s="233" t="s">
        <v>807</v>
      </c>
      <c r="J141" s="233"/>
      <c r="K141" s="233"/>
      <c r="L141" s="354">
        <f>+SUM(L139:L140)</f>
        <v>0</v>
      </c>
      <c r="M141" s="233"/>
      <c r="N141" s="226"/>
      <c r="O141" s="372">
        <f>+SUM(O139:O140)</f>
        <v>0</v>
      </c>
      <c r="P141" s="233" t="s">
        <v>807</v>
      </c>
      <c r="Q141" s="233"/>
      <c r="R141" s="233"/>
      <c r="S141" s="354">
        <f>+SUM(S139:S140)</f>
        <v>0</v>
      </c>
      <c r="T141" s="233"/>
      <c r="U141" s="12">
        <f t="shared" si="41"/>
        <v>0</v>
      </c>
      <c r="V141" s="21">
        <f t="shared" si="42"/>
        <v>0</v>
      </c>
    </row>
    <row r="142" spans="1:22" x14ac:dyDescent="0.25">
      <c r="A142" s="368"/>
      <c r="B142" s="368"/>
      <c r="D142" s="233">
        <v>18</v>
      </c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</row>
    <row r="143" spans="1:22" x14ac:dyDescent="0.25">
      <c r="A143" s="368"/>
      <c r="B143" s="368"/>
      <c r="D143" s="233">
        <v>19</v>
      </c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</row>
    <row r="144" spans="1:22" ht="15.75" thickBot="1" x14ac:dyDescent="0.3">
      <c r="A144" s="368"/>
      <c r="B144" s="368"/>
      <c r="D144" s="233">
        <v>20</v>
      </c>
      <c r="E144" s="11" t="s">
        <v>337</v>
      </c>
      <c r="F144" s="233"/>
      <c r="G144" s="233"/>
      <c r="H144" s="233"/>
      <c r="I144" s="233"/>
      <c r="J144" s="233"/>
      <c r="K144" s="233"/>
      <c r="L144" s="56">
        <f>+L75+L82+L89+L95+L104+L109+L130+L135+L141</f>
        <v>878409.37235999992</v>
      </c>
      <c r="M144" s="12"/>
      <c r="N144" s="22"/>
      <c r="O144" s="12"/>
      <c r="P144" s="233"/>
      <c r="Q144" s="233"/>
      <c r="R144" s="233"/>
      <c r="S144" s="56">
        <f>+S75+S82+S89+S95+S104+S109+S130+S135+S141</f>
        <v>980135.35039354255</v>
      </c>
      <c r="T144" s="233"/>
      <c r="U144" s="12">
        <f>+S144-L144</f>
        <v>101725.97803354263</v>
      </c>
      <c r="V144" s="21">
        <f>+IF(U144=0,0,(S144-L144)/L144)</f>
        <v>0.11580702714981064</v>
      </c>
    </row>
    <row r="145" spans="1:22" ht="15.75" thickTop="1" x14ac:dyDescent="0.25">
      <c r="A145" s="368"/>
      <c r="B145" s="368"/>
      <c r="D145" s="233">
        <v>21</v>
      </c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</row>
    <row r="146" spans="1:22" x14ac:dyDescent="0.25">
      <c r="A146" s="368"/>
      <c r="B146" s="368"/>
      <c r="D146" s="233">
        <v>22</v>
      </c>
      <c r="E146" s="233"/>
      <c r="F146" s="233"/>
      <c r="G146" s="233"/>
      <c r="H146" s="354"/>
      <c r="I146" s="233"/>
      <c r="J146" s="233"/>
      <c r="K146" s="233"/>
      <c r="L146" s="354"/>
      <c r="M146" s="233"/>
      <c r="N146" s="226"/>
      <c r="O146" s="354"/>
      <c r="P146" s="233"/>
      <c r="Q146" s="233"/>
      <c r="R146" s="233"/>
      <c r="S146" s="233"/>
      <c r="T146" s="233"/>
      <c r="U146" s="233"/>
      <c r="V146" s="23"/>
    </row>
    <row r="147" spans="1:22" x14ac:dyDescent="0.25">
      <c r="A147" s="368"/>
      <c r="B147" s="368"/>
      <c r="D147" s="233">
        <v>23</v>
      </c>
      <c r="E147" s="233"/>
      <c r="F147" s="233"/>
      <c r="G147" s="233"/>
      <c r="H147" s="354"/>
      <c r="I147" s="233"/>
      <c r="J147" s="233"/>
      <c r="K147" s="233"/>
      <c r="L147" s="354"/>
      <c r="M147" s="233"/>
      <c r="N147" s="226"/>
      <c r="O147" s="354"/>
      <c r="P147" s="233"/>
      <c r="Q147" s="233"/>
      <c r="R147" s="233"/>
      <c r="S147" s="233"/>
      <c r="T147" s="233"/>
      <c r="U147" s="233"/>
      <c r="V147" s="23"/>
    </row>
    <row r="148" spans="1:22" x14ac:dyDescent="0.25">
      <c r="A148" s="368"/>
      <c r="B148" s="368"/>
      <c r="D148" s="233">
        <v>24</v>
      </c>
      <c r="E148" s="233"/>
      <c r="F148" s="233"/>
      <c r="G148" s="233"/>
      <c r="H148" s="354"/>
      <c r="I148" s="233"/>
      <c r="J148" s="233"/>
      <c r="K148" s="233"/>
      <c r="L148" s="354"/>
      <c r="M148" s="233"/>
      <c r="N148" s="226"/>
      <c r="O148" s="354"/>
      <c r="P148" s="233"/>
      <c r="Q148" s="233"/>
      <c r="R148" s="233"/>
      <c r="S148" s="233"/>
      <c r="T148" s="233"/>
      <c r="U148" s="233"/>
      <c r="V148" s="23"/>
    </row>
    <row r="149" spans="1:22" x14ac:dyDescent="0.25">
      <c r="A149" s="368"/>
      <c r="B149" s="368"/>
      <c r="D149" s="233">
        <v>25</v>
      </c>
      <c r="E149" s="233"/>
      <c r="F149" s="233"/>
      <c r="G149" s="233"/>
      <c r="H149" s="354"/>
      <c r="I149" s="233"/>
      <c r="J149" s="233"/>
      <c r="K149" s="233"/>
      <c r="L149" s="354"/>
      <c r="M149" s="233"/>
      <c r="N149" s="226"/>
      <c r="O149" s="354"/>
      <c r="P149" s="233"/>
      <c r="Q149" s="233"/>
      <c r="R149" s="233"/>
      <c r="S149" s="233"/>
      <c r="T149" s="233"/>
      <c r="U149" s="233"/>
      <c r="V149" s="23"/>
    </row>
    <row r="150" spans="1:22" x14ac:dyDescent="0.25">
      <c r="A150" s="368"/>
      <c r="B150" s="368"/>
      <c r="D150" s="233">
        <v>26</v>
      </c>
      <c r="E150" s="233"/>
      <c r="F150" s="233"/>
      <c r="G150" s="233"/>
      <c r="H150" s="354"/>
      <c r="I150" s="233"/>
      <c r="J150" s="233"/>
      <c r="K150" s="233"/>
      <c r="L150" s="354"/>
      <c r="M150" s="233"/>
      <c r="N150" s="226"/>
      <c r="O150" s="354"/>
      <c r="P150" s="233"/>
      <c r="Q150" s="233"/>
      <c r="R150" s="233"/>
      <c r="S150" s="233"/>
      <c r="T150" s="233"/>
      <c r="U150" s="233"/>
      <c r="V150" s="23"/>
    </row>
    <row r="151" spans="1:22" x14ac:dyDescent="0.25">
      <c r="A151" s="368"/>
      <c r="B151" s="368"/>
      <c r="D151" s="233">
        <v>27</v>
      </c>
      <c r="E151" s="233"/>
      <c r="F151" s="233"/>
      <c r="G151" s="233"/>
      <c r="H151" s="354"/>
      <c r="I151" s="233"/>
      <c r="J151" s="233"/>
      <c r="K151" s="233"/>
      <c r="L151" s="354"/>
      <c r="M151" s="233"/>
      <c r="N151" s="226"/>
      <c r="O151" s="354"/>
      <c r="P151" s="233"/>
      <c r="Q151" s="233"/>
      <c r="R151" s="233"/>
      <c r="S151" s="233"/>
      <c r="T151" s="233"/>
      <c r="U151" s="233"/>
      <c r="V151" s="23"/>
    </row>
    <row r="152" spans="1:22" x14ac:dyDescent="0.25">
      <c r="A152" s="368"/>
      <c r="B152" s="368"/>
      <c r="D152" s="233">
        <v>28</v>
      </c>
      <c r="E152" s="233"/>
      <c r="F152" s="233"/>
      <c r="G152" s="233"/>
      <c r="H152" s="354"/>
      <c r="I152" s="233"/>
      <c r="J152" s="233"/>
      <c r="K152" s="233"/>
      <c r="L152" s="354"/>
      <c r="M152" s="233"/>
      <c r="N152" s="226"/>
      <c r="O152" s="354"/>
      <c r="P152" s="233"/>
      <c r="Q152" s="233"/>
      <c r="R152" s="233"/>
      <c r="S152" s="233"/>
      <c r="T152" s="233"/>
      <c r="U152" s="233"/>
      <c r="V152" s="23"/>
    </row>
    <row r="153" spans="1:22" x14ac:dyDescent="0.25">
      <c r="A153" s="368"/>
      <c r="B153" s="368"/>
      <c r="D153" s="233">
        <v>29</v>
      </c>
      <c r="E153" s="233"/>
      <c r="F153" s="233"/>
      <c r="G153" s="233"/>
      <c r="H153" s="354"/>
      <c r="I153" s="233"/>
      <c r="J153" s="233"/>
      <c r="K153" s="233"/>
      <c r="L153" s="354"/>
      <c r="M153" s="233"/>
      <c r="N153" s="226"/>
      <c r="O153" s="354"/>
      <c r="P153" s="233"/>
      <c r="Q153" s="233"/>
      <c r="R153" s="233"/>
      <c r="S153" s="233"/>
      <c r="T153" s="233"/>
      <c r="U153" s="233"/>
      <c r="V153" s="23"/>
    </row>
    <row r="154" spans="1:22" x14ac:dyDescent="0.25">
      <c r="A154" s="368"/>
      <c r="B154" s="368"/>
      <c r="D154" s="233">
        <v>30</v>
      </c>
      <c r="E154" s="233"/>
      <c r="F154" s="233"/>
      <c r="G154" s="233"/>
      <c r="H154" s="354"/>
      <c r="I154" s="233"/>
      <c r="J154" s="233"/>
      <c r="K154" s="233"/>
      <c r="L154" s="354"/>
      <c r="M154" s="233"/>
      <c r="N154" s="226"/>
      <c r="O154" s="354"/>
      <c r="P154" s="233"/>
      <c r="Q154" s="233"/>
      <c r="R154" s="233"/>
      <c r="S154" s="233"/>
      <c r="T154" s="233"/>
      <c r="U154" s="233"/>
      <c r="V154" s="23"/>
    </row>
    <row r="155" spans="1:22" x14ac:dyDescent="0.25">
      <c r="A155" s="368"/>
      <c r="B155" s="368"/>
      <c r="D155" s="233">
        <v>31</v>
      </c>
      <c r="E155" s="233"/>
      <c r="F155" s="233"/>
      <c r="G155" s="233"/>
      <c r="H155" s="354"/>
      <c r="I155" s="233"/>
      <c r="J155" s="233"/>
      <c r="K155" s="233"/>
      <c r="L155" s="354"/>
      <c r="M155" s="233"/>
      <c r="N155" s="226"/>
      <c r="O155" s="354"/>
      <c r="P155" s="233"/>
      <c r="Q155" s="233"/>
      <c r="R155" s="233"/>
      <c r="S155" s="233"/>
      <c r="T155" s="233"/>
      <c r="U155" s="233"/>
      <c r="V155" s="23"/>
    </row>
    <row r="156" spans="1:22" x14ac:dyDescent="0.25">
      <c r="A156" s="368"/>
      <c r="B156" s="368"/>
      <c r="D156" s="233">
        <v>32</v>
      </c>
      <c r="E156" s="233"/>
      <c r="F156" s="233"/>
      <c r="G156" s="233"/>
      <c r="H156" s="354"/>
      <c r="I156" s="233"/>
      <c r="J156" s="233"/>
      <c r="K156" s="233"/>
      <c r="L156" s="354"/>
      <c r="M156" s="233"/>
      <c r="N156" s="226"/>
      <c r="O156" s="354"/>
      <c r="P156" s="233"/>
      <c r="Q156" s="233"/>
      <c r="R156" s="233"/>
      <c r="S156" s="233"/>
      <c r="T156" s="233"/>
      <c r="U156" s="233"/>
      <c r="V156" s="23"/>
    </row>
    <row r="157" spans="1:22" x14ac:dyDescent="0.25">
      <c r="A157" s="368"/>
      <c r="B157" s="368"/>
      <c r="D157" s="233">
        <v>33</v>
      </c>
      <c r="E157" s="233"/>
      <c r="F157" s="233"/>
      <c r="G157" s="233"/>
      <c r="H157" s="354"/>
      <c r="I157" s="233"/>
      <c r="J157" s="233"/>
      <c r="K157" s="233"/>
      <c r="L157" s="354"/>
      <c r="M157" s="233"/>
      <c r="N157" s="226"/>
      <c r="O157" s="354"/>
      <c r="P157" s="233"/>
      <c r="Q157" s="233"/>
      <c r="R157" s="233"/>
      <c r="S157" s="233"/>
      <c r="T157" s="233"/>
      <c r="U157" s="233"/>
      <c r="V157" s="23"/>
    </row>
    <row r="158" spans="1:22" x14ac:dyDescent="0.25">
      <c r="A158" s="368"/>
      <c r="B158" s="368"/>
      <c r="D158" s="233">
        <v>34</v>
      </c>
      <c r="E158" s="233"/>
      <c r="F158" s="233"/>
      <c r="G158" s="233"/>
      <c r="H158" s="354"/>
      <c r="I158" s="233"/>
      <c r="J158" s="233"/>
      <c r="K158" s="233"/>
      <c r="L158" s="354"/>
      <c r="M158" s="233"/>
      <c r="N158" s="226"/>
      <c r="O158" s="354"/>
      <c r="P158" s="233"/>
      <c r="Q158" s="233"/>
      <c r="R158" s="233"/>
      <c r="S158" s="233"/>
      <c r="T158" s="233"/>
      <c r="U158" s="233"/>
      <c r="V158" s="23"/>
    </row>
    <row r="159" spans="1:22" x14ac:dyDescent="0.25">
      <c r="A159" s="368"/>
      <c r="B159" s="368"/>
      <c r="D159" s="233">
        <v>35</v>
      </c>
      <c r="E159" s="233"/>
      <c r="F159" s="233"/>
      <c r="G159" s="233"/>
      <c r="H159" s="233"/>
      <c r="I159" s="233"/>
      <c r="J159" s="233"/>
      <c r="K159" s="233"/>
      <c r="L159" s="233"/>
      <c r="M159" s="233"/>
      <c r="N159" s="226"/>
      <c r="O159" s="233"/>
      <c r="P159" s="233"/>
      <c r="Q159" s="233"/>
      <c r="R159" s="233"/>
      <c r="S159" s="233"/>
      <c r="T159" s="233"/>
      <c r="U159" s="233"/>
      <c r="V159" s="233"/>
    </row>
    <row r="160" spans="1:22" x14ac:dyDescent="0.25">
      <c r="A160" s="368"/>
      <c r="B160" s="368"/>
      <c r="D160" s="233">
        <v>36</v>
      </c>
      <c r="E160" s="233"/>
      <c r="F160" s="15"/>
      <c r="G160" s="233"/>
      <c r="H160" s="233"/>
      <c r="I160" s="12"/>
      <c r="J160" s="12"/>
      <c r="K160" s="12"/>
      <c r="L160" s="19"/>
      <c r="M160" s="12"/>
      <c r="N160" s="22"/>
      <c r="O160" s="12"/>
      <c r="P160" s="12"/>
      <c r="Q160" s="12"/>
      <c r="R160" s="12"/>
      <c r="S160" s="19"/>
      <c r="T160" s="12"/>
      <c r="U160" s="12"/>
      <c r="V160" s="31"/>
    </row>
    <row r="161" spans="1:22" x14ac:dyDescent="0.25">
      <c r="A161" s="368"/>
      <c r="B161" s="368"/>
      <c r="D161" s="233">
        <v>37</v>
      </c>
      <c r="E161" s="233"/>
      <c r="F161" s="15"/>
      <c r="G161" s="233"/>
      <c r="H161" s="233"/>
      <c r="I161" s="12"/>
      <c r="J161" s="12"/>
      <c r="K161" s="12"/>
      <c r="L161" s="19"/>
      <c r="M161" s="12"/>
      <c r="N161" s="22"/>
      <c r="O161" s="12"/>
      <c r="P161" s="12"/>
      <c r="Q161" s="12"/>
      <c r="R161" s="12"/>
      <c r="S161" s="19"/>
      <c r="T161" s="12"/>
      <c r="U161" s="12"/>
      <c r="V161" s="31"/>
    </row>
    <row r="162" spans="1:22" x14ac:dyDescent="0.25">
      <c r="A162" s="368"/>
      <c r="B162" s="368"/>
      <c r="D162" s="233">
        <v>38</v>
      </c>
      <c r="E162" s="233"/>
      <c r="F162" s="15"/>
      <c r="G162" s="233"/>
      <c r="H162" s="233"/>
      <c r="I162" s="12"/>
      <c r="J162" s="12"/>
      <c r="K162" s="12"/>
      <c r="L162" s="19"/>
      <c r="M162" s="12"/>
      <c r="N162" s="22"/>
      <c r="O162" s="12"/>
      <c r="P162" s="12"/>
      <c r="Q162" s="12"/>
      <c r="R162" s="12"/>
      <c r="S162" s="19"/>
      <c r="T162" s="12"/>
      <c r="U162" s="12"/>
      <c r="V162" s="31"/>
    </row>
    <row r="163" spans="1:22" ht="15.75" thickBot="1" x14ac:dyDescent="0.3">
      <c r="A163" s="368"/>
      <c r="B163" s="368"/>
      <c r="D163" s="306">
        <v>39</v>
      </c>
      <c r="E163" s="306"/>
      <c r="F163" s="306"/>
      <c r="G163" s="306"/>
      <c r="H163" s="306"/>
      <c r="I163" s="306"/>
      <c r="J163" s="306"/>
      <c r="K163" s="306"/>
      <c r="L163" s="306"/>
      <c r="M163" s="306"/>
      <c r="N163" s="314"/>
      <c r="O163" s="306"/>
      <c r="P163" s="306"/>
      <c r="Q163" s="306"/>
      <c r="R163" s="306"/>
      <c r="S163" s="306"/>
      <c r="T163" s="306"/>
      <c r="U163" s="306"/>
      <c r="V163" s="326"/>
    </row>
    <row r="164" spans="1:22" x14ac:dyDescent="0.25"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26"/>
      <c r="O164" s="233"/>
      <c r="P164" s="233"/>
      <c r="Q164" s="233"/>
      <c r="R164" s="233"/>
      <c r="S164" s="233"/>
      <c r="T164" s="233"/>
      <c r="U164" s="233"/>
      <c r="V164" s="233" t="s">
        <v>304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5091-EF1D-4BDD-AC2B-CE3F24DD0F47}">
  <sheetPr>
    <pageSetUpPr fitToPage="1"/>
  </sheetPr>
  <dimension ref="A3:V164"/>
  <sheetViews>
    <sheetView workbookViewId="0"/>
  </sheetViews>
  <sheetFormatPr defaultRowHeight="15" x14ac:dyDescent="0.25"/>
  <cols>
    <col min="1" max="1" width="36.28515625" bestFit="1" customWidth="1"/>
    <col min="2" max="2" width="38.28515625" bestFit="1" customWidth="1"/>
    <col min="5" max="5" width="10.7109375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9" max="19" width="13.140625" customWidth="1"/>
    <col min="21" max="21" width="10.7109375" customWidth="1"/>
    <col min="22" max="22" width="18.7109375" bestFit="1" customWidth="1"/>
  </cols>
  <sheetData>
    <row r="3" spans="1:22" x14ac:dyDescent="0.25">
      <c r="D3" s="233"/>
      <c r="E3" s="233"/>
      <c r="F3" s="233"/>
      <c r="G3" s="233"/>
      <c r="H3" s="233"/>
      <c r="I3" s="233"/>
      <c r="J3" s="233"/>
      <c r="K3" s="590"/>
      <c r="L3" s="590"/>
      <c r="M3" s="590"/>
      <c r="N3" s="590"/>
      <c r="O3" s="590"/>
      <c r="P3" s="233"/>
      <c r="Q3" s="233"/>
      <c r="R3" s="233"/>
      <c r="S3" s="233"/>
      <c r="T3" s="233"/>
      <c r="U3" s="233"/>
      <c r="V3" s="233"/>
    </row>
    <row r="4" spans="1:22" ht="15.75" thickBot="1" x14ac:dyDescent="0.3">
      <c r="D4" s="306" t="s">
        <v>305</v>
      </c>
      <c r="E4" s="306"/>
      <c r="F4" s="306"/>
      <c r="G4" s="306"/>
      <c r="H4" s="306"/>
      <c r="I4" s="306"/>
      <c r="J4" s="306"/>
      <c r="K4" s="591" t="s">
        <v>306</v>
      </c>
      <c r="L4" s="591"/>
      <c r="M4" s="591"/>
      <c r="N4" s="591"/>
      <c r="O4" s="591"/>
      <c r="P4" s="306"/>
      <c r="Q4" s="306"/>
      <c r="R4" s="306"/>
      <c r="S4" s="306"/>
      <c r="T4" s="306"/>
      <c r="U4" s="306"/>
      <c r="V4" s="326" t="s">
        <v>888</v>
      </c>
    </row>
    <row r="5" spans="1:22" x14ac:dyDescent="0.25">
      <c r="A5" t="s">
        <v>712</v>
      </c>
      <c r="B5" s="307">
        <f>+'Operating Revenue Requirement'!F8</f>
        <v>30000302.800000001</v>
      </c>
      <c r="D5" s="233" t="s">
        <v>307</v>
      </c>
      <c r="E5" s="233"/>
      <c r="F5" s="233"/>
      <c r="G5" s="233"/>
      <c r="H5" s="233" t="s">
        <v>308</v>
      </c>
      <c r="I5" s="233"/>
      <c r="J5" s="233" t="s">
        <v>913</v>
      </c>
      <c r="K5" s="233"/>
      <c r="L5" s="233"/>
      <c r="M5" s="233"/>
      <c r="N5" s="316"/>
      <c r="O5" s="309"/>
      <c r="P5" s="233"/>
      <c r="Q5" s="309"/>
      <c r="R5" s="309"/>
      <c r="S5" s="309" t="s">
        <v>309</v>
      </c>
      <c r="T5" s="233"/>
      <c r="U5" s="233"/>
      <c r="V5" s="310"/>
    </row>
    <row r="6" spans="1:22" x14ac:dyDescent="0.25">
      <c r="D6" s="233"/>
      <c r="E6" s="233"/>
      <c r="F6" s="233"/>
      <c r="G6" s="233"/>
      <c r="H6" s="233"/>
      <c r="I6" s="233"/>
      <c r="J6" s="233" t="s">
        <v>914</v>
      </c>
      <c r="K6" s="233"/>
      <c r="L6" s="233"/>
      <c r="M6" s="233"/>
      <c r="N6" s="226"/>
      <c r="O6" s="310"/>
      <c r="P6" s="233"/>
      <c r="Q6" s="233"/>
      <c r="R6" s="311"/>
      <c r="S6" s="311"/>
      <c r="T6" s="311" t="s">
        <v>919</v>
      </c>
      <c r="U6" s="310" t="s">
        <v>920</v>
      </c>
      <c r="V6" s="311"/>
    </row>
    <row r="7" spans="1:22" x14ac:dyDescent="0.25">
      <c r="A7" t="s">
        <v>714</v>
      </c>
      <c r="B7" s="313">
        <v>0.56706133973591544</v>
      </c>
      <c r="D7" s="233" t="s">
        <v>310</v>
      </c>
      <c r="E7" s="233"/>
      <c r="F7" s="233"/>
      <c r="G7" s="233"/>
      <c r="H7" s="233"/>
      <c r="I7" s="233"/>
      <c r="J7" s="233" t="s">
        <v>915</v>
      </c>
      <c r="K7" s="233"/>
      <c r="L7" s="233"/>
      <c r="M7" s="233"/>
      <c r="N7" s="226"/>
      <c r="O7" s="310"/>
      <c r="P7" s="311"/>
      <c r="Q7" s="233"/>
      <c r="R7" s="233"/>
      <c r="S7" s="311"/>
      <c r="T7" s="311"/>
      <c r="U7" s="310" t="s">
        <v>937</v>
      </c>
      <c r="V7" s="311"/>
    </row>
    <row r="8" spans="1:22" x14ac:dyDescent="0.25">
      <c r="A8" t="s">
        <v>713</v>
      </c>
      <c r="B8" s="307">
        <f>+(S50+S138)</f>
        <v>30000302.999998651</v>
      </c>
      <c r="D8" s="233"/>
      <c r="E8" s="233"/>
      <c r="F8" s="233"/>
      <c r="G8" s="233"/>
      <c r="H8" s="233"/>
      <c r="I8" s="233"/>
      <c r="J8" s="233" t="s">
        <v>916</v>
      </c>
      <c r="K8" s="233"/>
      <c r="L8" s="233"/>
      <c r="M8" s="233"/>
      <c r="N8" s="226"/>
      <c r="O8" s="310"/>
      <c r="P8" s="311"/>
      <c r="Q8" s="233"/>
      <c r="R8" s="233"/>
      <c r="S8" s="311"/>
      <c r="T8" s="311"/>
      <c r="U8" s="310" t="s">
        <v>938</v>
      </c>
      <c r="V8" s="311"/>
    </row>
    <row r="9" spans="1:22" x14ac:dyDescent="0.25">
      <c r="D9" s="233"/>
      <c r="E9" s="233"/>
      <c r="F9" s="311"/>
      <c r="G9" s="233"/>
      <c r="H9" s="233"/>
      <c r="I9" s="233"/>
      <c r="J9" s="233" t="s">
        <v>917</v>
      </c>
      <c r="K9" s="317"/>
      <c r="L9" s="317"/>
      <c r="M9" s="317"/>
      <c r="N9" s="226"/>
      <c r="O9" s="233"/>
      <c r="P9" s="233"/>
      <c r="Q9" s="233"/>
      <c r="R9" s="233"/>
      <c r="S9" s="233"/>
      <c r="T9" s="233"/>
      <c r="U9" s="233" t="s">
        <v>311</v>
      </c>
      <c r="V9" s="233"/>
    </row>
    <row r="10" spans="1:22" ht="15.75" thickBot="1" x14ac:dyDescent="0.3">
      <c r="D10" s="306" t="s">
        <v>1642</v>
      </c>
      <c r="E10" s="306"/>
      <c r="F10" s="326"/>
      <c r="G10" s="319"/>
      <c r="H10" s="319"/>
      <c r="I10" s="319"/>
      <c r="J10" s="361" t="s">
        <v>918</v>
      </c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x14ac:dyDescent="0.25">
      <c r="D11" s="233"/>
      <c r="E11" s="233"/>
      <c r="F11" s="233"/>
      <c r="G11" s="233"/>
      <c r="H11" s="317"/>
      <c r="I11" s="233"/>
      <c r="J11" s="317"/>
      <c r="K11" s="362"/>
      <c r="L11" s="317"/>
      <c r="M11" s="233"/>
      <c r="N11" s="317"/>
      <c r="O11" s="233"/>
      <c r="P11" s="362"/>
      <c r="Q11" s="233"/>
      <c r="R11" s="233"/>
      <c r="S11" s="233"/>
      <c r="T11" s="233"/>
      <c r="U11" s="233"/>
      <c r="V11" s="233"/>
    </row>
    <row r="12" spans="1:22" x14ac:dyDescent="0.25">
      <c r="D12" s="233"/>
      <c r="E12" s="233"/>
      <c r="F12" s="233"/>
      <c r="G12" s="233"/>
      <c r="H12" s="362"/>
      <c r="I12" s="233"/>
      <c r="J12" s="233"/>
      <c r="K12" s="362"/>
      <c r="L12" s="233"/>
      <c r="M12" s="233"/>
      <c r="N12" s="317"/>
      <c r="O12" s="233"/>
      <c r="P12" s="362"/>
      <c r="Q12" s="233"/>
      <c r="R12" s="233"/>
      <c r="S12" s="233"/>
      <c r="T12" s="233"/>
      <c r="U12" s="233"/>
      <c r="V12" s="233"/>
    </row>
    <row r="13" spans="1:22" x14ac:dyDescent="0.25">
      <c r="D13" s="233"/>
      <c r="E13" s="233"/>
      <c r="F13" s="233"/>
      <c r="G13" s="233"/>
      <c r="H13" s="233"/>
      <c r="I13" s="362"/>
      <c r="J13" s="362"/>
      <c r="K13" s="363"/>
      <c r="L13" s="363" t="s">
        <v>312</v>
      </c>
      <c r="M13" s="317"/>
      <c r="N13" s="364" t="s">
        <v>744</v>
      </c>
      <c r="O13" s="362"/>
      <c r="P13" s="233"/>
      <c r="Q13" s="362"/>
      <c r="R13" s="362"/>
      <c r="S13" s="362"/>
      <c r="T13" s="362"/>
      <c r="U13" s="362"/>
      <c r="V13" s="233"/>
    </row>
    <row r="14" spans="1:22" x14ac:dyDescent="0.25">
      <c r="D14" s="233"/>
      <c r="E14" s="233"/>
      <c r="F14" s="233"/>
      <c r="G14" s="233"/>
      <c r="H14" s="233"/>
      <c r="I14" s="362"/>
      <c r="J14" s="362"/>
      <c r="K14" s="362"/>
      <c r="L14" s="362"/>
      <c r="M14" s="362"/>
      <c r="N14" s="317"/>
      <c r="O14" s="362"/>
      <c r="P14" s="362"/>
      <c r="Q14" s="362"/>
      <c r="R14" s="362"/>
      <c r="S14" s="362"/>
      <c r="T14" s="362"/>
      <c r="U14" s="362"/>
      <c r="V14" s="362"/>
    </row>
    <row r="15" spans="1:22" x14ac:dyDescent="0.25">
      <c r="D15" s="226" t="s">
        <v>314</v>
      </c>
      <c r="E15" s="371" t="s">
        <v>315</v>
      </c>
      <c r="F15" s="2"/>
      <c r="G15" s="3"/>
      <c r="H15" s="4"/>
      <c r="I15" s="4"/>
      <c r="J15" s="5" t="s">
        <v>316</v>
      </c>
      <c r="K15" s="4"/>
      <c r="L15" s="4"/>
      <c r="M15" s="2"/>
      <c r="N15" s="6"/>
      <c r="O15" s="4"/>
      <c r="P15" s="5"/>
      <c r="Q15" s="5" t="s">
        <v>317</v>
      </c>
      <c r="R15" s="4"/>
      <c r="S15" s="4"/>
      <c r="T15" s="2"/>
      <c r="U15" s="7" t="s">
        <v>318</v>
      </c>
      <c r="V15" s="7" t="s">
        <v>319</v>
      </c>
    </row>
    <row r="16" spans="1:22" ht="15.75" thickBot="1" x14ac:dyDescent="0.3">
      <c r="A16" s="216" t="s">
        <v>552</v>
      </c>
      <c r="B16" s="216" t="s">
        <v>553</v>
      </c>
      <c r="D16" s="314" t="s">
        <v>320</v>
      </c>
      <c r="E16" s="367" t="s">
        <v>321</v>
      </c>
      <c r="F16" s="8"/>
      <c r="G16" s="306"/>
      <c r="H16" s="314" t="s">
        <v>322</v>
      </c>
      <c r="I16" s="9"/>
      <c r="J16" s="9" t="s">
        <v>323</v>
      </c>
      <c r="K16" s="9"/>
      <c r="L16" s="9" t="s">
        <v>324</v>
      </c>
      <c r="M16" s="9"/>
      <c r="N16" s="9"/>
      <c r="O16" s="9" t="s">
        <v>322</v>
      </c>
      <c r="P16" s="9"/>
      <c r="Q16" s="9" t="s">
        <v>323</v>
      </c>
      <c r="R16" s="9"/>
      <c r="S16" s="9" t="s">
        <v>324</v>
      </c>
      <c r="T16" s="8"/>
      <c r="U16" s="10" t="s">
        <v>325</v>
      </c>
      <c r="V16" s="10" t="s">
        <v>326</v>
      </c>
    </row>
    <row r="17" spans="1:22" x14ac:dyDescent="0.25">
      <c r="D17" s="233">
        <v>1</v>
      </c>
      <c r="E17" s="11" t="s">
        <v>327</v>
      </c>
      <c r="F17" s="11"/>
      <c r="G17" s="233"/>
      <c r="H17" s="233"/>
      <c r="I17" s="12"/>
      <c r="J17" s="12"/>
      <c r="K17" s="12"/>
      <c r="L17" s="12"/>
      <c r="M17" s="13"/>
      <c r="N17" s="22"/>
      <c r="O17" s="13"/>
      <c r="P17" s="12"/>
      <c r="Q17" s="12"/>
      <c r="R17" s="12"/>
      <c r="S17" s="12"/>
      <c r="T17" s="12"/>
      <c r="U17" s="12"/>
      <c r="V17" s="12"/>
    </row>
    <row r="18" spans="1:22" x14ac:dyDescent="0.25">
      <c r="A18" s="368" t="s">
        <v>208</v>
      </c>
      <c r="B18" s="368" t="s">
        <v>702</v>
      </c>
      <c r="D18" s="233">
        <v>2</v>
      </c>
      <c r="E18" s="11" t="s">
        <v>397</v>
      </c>
      <c r="F18" s="233"/>
      <c r="G18" s="233"/>
      <c r="H18" s="12">
        <f>+INDEX('2025 Org Base Case BDs'!B:B,MATCH('2025 GSLDSU Rate Class E-13c'!A18,'2025 Org Base Case BDs'!A:A,0))</f>
        <v>0</v>
      </c>
      <c r="I18" s="12" t="s">
        <v>329</v>
      </c>
      <c r="J18" s="19">
        <f>+INDEX('2024 Base Rates'!E:E,MATCH('2025 GSLDSU Rate Class E-13c'!B18,'2024 Base Rates'!D:D,0))</f>
        <v>83.9</v>
      </c>
      <c r="K18" s="12"/>
      <c r="L18" s="12">
        <f>+H18*J18</f>
        <v>0</v>
      </c>
      <c r="M18" s="233"/>
      <c r="N18" s="226"/>
      <c r="O18" s="12">
        <f>+INDEX('2025 Billing Determinants'!B:B,MATCH('2025 GSLDSU Rate Class E-13c'!A18,'2025 Billing Determinants'!A:A,0))</f>
        <v>0</v>
      </c>
      <c r="P18" s="12" t="s">
        <v>329</v>
      </c>
      <c r="Q18" s="19">
        <f>+INDEX('Unit Cost Rate Design Input'!D:D,MATCH('2025 GSLDSU Rate Class E-13c'!B18,'Unit Cost Rate Design Input'!B:B,0))</f>
        <v>127.62</v>
      </c>
      <c r="R18" s="12"/>
      <c r="S18" s="12">
        <f>+O18*Q18</f>
        <v>0</v>
      </c>
      <c r="T18" s="12"/>
      <c r="U18" s="12">
        <f>+S18-L18</f>
        <v>0</v>
      </c>
      <c r="V18" s="21">
        <f>+IF(U18=0,0,(S18-L18)/L18)</f>
        <v>0</v>
      </c>
    </row>
    <row r="19" spans="1:22" ht="16.5" x14ac:dyDescent="0.35">
      <c r="A19" s="368" t="s">
        <v>226</v>
      </c>
      <c r="B19" s="368" t="s">
        <v>703</v>
      </c>
      <c r="D19" s="233">
        <v>3</v>
      </c>
      <c r="E19" s="233" t="s">
        <v>1132</v>
      </c>
      <c r="F19" s="233"/>
      <c r="G19" s="233"/>
      <c r="H19" s="58">
        <f>+INDEX('2025 Org Base Case BDs'!B:B,MATCH('2025 GSLDSU Rate Class E-13c'!A19,'2025 Org Base Case BDs'!A:A,0))</f>
        <v>1453.37</v>
      </c>
      <c r="I19" s="12" t="s">
        <v>329</v>
      </c>
      <c r="J19" s="19">
        <f>+INDEX('2024 Base Rates'!E:E,MATCH('2025 GSLDSU Rate Class E-13c'!B19,'2024 Base Rates'!D:D,0))</f>
        <v>83.9</v>
      </c>
      <c r="K19" s="233"/>
      <c r="L19" s="58">
        <f>+H19*J19</f>
        <v>121937.743</v>
      </c>
      <c r="M19" s="233"/>
      <c r="N19" s="226"/>
      <c r="O19" s="58">
        <f>+INDEX('2025 Billing Determinants'!B:B,MATCH('2025 GSLDSU Rate Class E-13c'!A19,'2025 Billing Determinants'!A:A,0))</f>
        <v>1453.37</v>
      </c>
      <c r="P19" s="12" t="s">
        <v>329</v>
      </c>
      <c r="Q19" s="19">
        <f>+INDEX('Unit Cost Rate Design Input'!D:D,MATCH('2025 GSLDSU Rate Class E-13c'!B19,'Unit Cost Rate Design Input'!B:B,0))</f>
        <v>127.62</v>
      </c>
      <c r="R19" s="233"/>
      <c r="S19" s="58">
        <f>+O19*Q19</f>
        <v>185479.07939999999</v>
      </c>
      <c r="T19" s="12"/>
      <c r="U19" s="12">
        <f t="shared" ref="U19:U20" si="0">+S19-L19</f>
        <v>63541.336399999986</v>
      </c>
      <c r="V19" s="21">
        <f t="shared" ref="V19:V20" si="1">+IF(U19=0,0,(S19-L19)/L19)</f>
        <v>0.52109654350417145</v>
      </c>
    </row>
    <row r="20" spans="1:22" x14ac:dyDescent="0.25">
      <c r="A20" s="368"/>
      <c r="B20" s="368"/>
      <c r="D20" s="233">
        <v>4</v>
      </c>
      <c r="E20" s="38" t="s">
        <v>336</v>
      </c>
      <c r="F20" s="233"/>
      <c r="G20" s="233"/>
      <c r="H20" s="13">
        <f>+SUM(H18:H19)</f>
        <v>1453.37</v>
      </c>
      <c r="I20" s="12" t="s">
        <v>342</v>
      </c>
      <c r="J20" s="19"/>
      <c r="K20" s="12"/>
      <c r="L20" s="53">
        <f>+SUM(L18:L19)</f>
        <v>121937.743</v>
      </c>
      <c r="M20" s="12"/>
      <c r="N20" s="22"/>
      <c r="O20" s="13">
        <f>+SUM(O18:O19)</f>
        <v>1453.37</v>
      </c>
      <c r="P20" s="12" t="s">
        <v>342</v>
      </c>
      <c r="Q20" s="19"/>
      <c r="R20" s="12"/>
      <c r="S20" s="53">
        <f>+SUM(S18:S19)</f>
        <v>185479.07939999999</v>
      </c>
      <c r="T20" s="12"/>
      <c r="U20" s="12">
        <f t="shared" si="0"/>
        <v>63541.336399999986</v>
      </c>
      <c r="V20" s="21">
        <f t="shared" si="1"/>
        <v>0.52109654350417145</v>
      </c>
    </row>
    <row r="21" spans="1:22" x14ac:dyDescent="0.25">
      <c r="A21" s="368"/>
      <c r="B21" s="368"/>
      <c r="D21" s="233">
        <v>5</v>
      </c>
      <c r="E21" s="233"/>
      <c r="F21" s="233"/>
      <c r="G21" s="233"/>
      <c r="H21" s="233"/>
      <c r="I21" s="12"/>
      <c r="J21" s="19"/>
      <c r="K21" s="12"/>
      <c r="L21" s="19"/>
      <c r="M21" s="13"/>
      <c r="N21" s="22"/>
      <c r="O21" s="13"/>
      <c r="P21" s="12"/>
      <c r="Q21" s="19"/>
      <c r="R21" s="12"/>
      <c r="S21" s="19"/>
      <c r="T21" s="12"/>
      <c r="U21" s="12"/>
      <c r="V21" s="23"/>
    </row>
    <row r="22" spans="1:22" x14ac:dyDescent="0.25">
      <c r="A22" s="368"/>
      <c r="B22" s="368"/>
      <c r="D22" s="233">
        <v>6</v>
      </c>
      <c r="E22" s="11" t="s">
        <v>343</v>
      </c>
      <c r="F22" s="11"/>
      <c r="G22" s="233"/>
      <c r="H22" s="233"/>
      <c r="I22" s="12"/>
      <c r="J22" s="12"/>
      <c r="K22" s="12"/>
      <c r="L22" s="19"/>
      <c r="M22" s="12"/>
      <c r="N22" s="22"/>
      <c r="O22" s="12"/>
      <c r="P22" s="12"/>
      <c r="Q22" s="12"/>
      <c r="R22" s="12"/>
      <c r="S22" s="19"/>
      <c r="T22" s="12"/>
      <c r="U22" s="12"/>
      <c r="V22" s="12"/>
    </row>
    <row r="23" spans="1:22" x14ac:dyDescent="0.25">
      <c r="A23" s="368" t="s">
        <v>209</v>
      </c>
      <c r="B23" s="368" t="s">
        <v>697</v>
      </c>
      <c r="D23" s="233">
        <v>7</v>
      </c>
      <c r="E23" s="11" t="s">
        <v>397</v>
      </c>
      <c r="F23" s="233"/>
      <c r="G23" s="233"/>
      <c r="H23" s="13">
        <f>+INDEX('2025 Org Base Case BDs'!B:B,MATCH('2025 GSLDSU Rate Class E-13c'!A23,'2025 Org Base Case BDs'!A:A,0))</f>
        <v>0</v>
      </c>
      <c r="I23" s="12" t="s">
        <v>711</v>
      </c>
      <c r="J23" s="28">
        <f>+INDEX('2024 Base Rates'!E:E,MATCH('2025 GSLDSU Rate Class E-13c'!B23,'2024 Base Rates'!D:D,0))</f>
        <v>1.1509999999999999E-2</v>
      </c>
      <c r="K23" s="12"/>
      <c r="L23" s="12">
        <f>+H23*J23</f>
        <v>0</v>
      </c>
      <c r="M23" s="13"/>
      <c r="N23" s="22"/>
      <c r="O23" s="13">
        <f>+INDEX('2025 Billing Determinants'!B:B,MATCH('2025 GSLDSU Rate Class E-13c'!A23,'2025 Billing Determinants'!A:A,0))</f>
        <v>0</v>
      </c>
      <c r="P23" s="12" t="s">
        <v>711</v>
      </c>
      <c r="Q23" s="28">
        <f>+J23*(1.01)</f>
        <v>1.1625099999999999E-2</v>
      </c>
      <c r="R23" s="12"/>
      <c r="S23" s="12">
        <f>+O23*Q23</f>
        <v>0</v>
      </c>
      <c r="T23" s="12"/>
      <c r="U23" s="12">
        <f t="shared" ref="U23:U27" si="2">+S23-L23</f>
        <v>0</v>
      </c>
      <c r="V23" s="21">
        <f t="shared" ref="V23:V27" si="3">+IF(U23=0,0,(S23-L23)/L23)</f>
        <v>0</v>
      </c>
    </row>
    <row r="24" spans="1:22" x14ac:dyDescent="0.25">
      <c r="A24" s="368" t="s">
        <v>228</v>
      </c>
      <c r="B24" s="368" t="s">
        <v>704</v>
      </c>
      <c r="D24" s="233">
        <v>8</v>
      </c>
      <c r="E24" s="11" t="s">
        <v>1133</v>
      </c>
      <c r="F24" s="233"/>
      <c r="G24" s="233"/>
      <c r="H24" s="13">
        <f>+INDEX('2025 Org Base Case BDs'!B:B,MATCH('2025 GSLDSU Rate Class E-13c'!A24,'2025 Org Base Case BDs'!A:A,0))</f>
        <v>51076578.460000001</v>
      </c>
      <c r="I24" s="12" t="s">
        <v>711</v>
      </c>
      <c r="J24" s="28">
        <f>+INDEX('2024 Base Rates'!E:E,MATCH('2025 GSLDSU Rate Class E-13c'!B24,'2024 Base Rates'!D:D,0))</f>
        <v>1.3860000000000001E-2</v>
      </c>
      <c r="K24" s="233"/>
      <c r="L24" s="12">
        <f>+H24*J24</f>
        <v>707921.37745560007</v>
      </c>
      <c r="M24" s="233"/>
      <c r="N24" s="226"/>
      <c r="O24" s="13">
        <f>+INDEX('2025 Billing Determinants'!B:B,MATCH('2025 GSLDSU Rate Class E-13c'!A24,'2025 Billing Determinants'!A:A,0))</f>
        <v>48592993.530000001</v>
      </c>
      <c r="P24" s="12" t="s">
        <v>711</v>
      </c>
      <c r="Q24" s="60">
        <f>+Q23*'Time of Day Inputs'!E7</f>
        <v>2.0947400000000001E-2</v>
      </c>
      <c r="R24" s="233"/>
      <c r="S24" s="12">
        <f>+O24*Q24</f>
        <v>1017896.8726703221</v>
      </c>
      <c r="T24" s="12"/>
      <c r="U24" s="12">
        <f t="shared" si="2"/>
        <v>309975.495214722</v>
      </c>
      <c r="V24" s="21">
        <f t="shared" si="3"/>
        <v>0.4378671206805918</v>
      </c>
    </row>
    <row r="25" spans="1:22" x14ac:dyDescent="0.25">
      <c r="A25" s="368" t="s">
        <v>229</v>
      </c>
      <c r="B25" s="368" t="s">
        <v>705</v>
      </c>
      <c r="D25" s="233">
        <v>9</v>
      </c>
      <c r="E25" s="11" t="s">
        <v>1134</v>
      </c>
      <c r="F25" s="15"/>
      <c r="G25" s="11"/>
      <c r="H25" s="13">
        <f>+INDEX('2025 Org Base Case BDs'!B:B,MATCH('2025 GSLDSU Rate Class E-13c'!A25,'2025 Org Base Case BDs'!A:A,0))</f>
        <v>155234374.47999999</v>
      </c>
      <c r="I25" s="12" t="s">
        <v>711</v>
      </c>
      <c r="J25" s="28">
        <f>+INDEX('2024 Base Rates'!E:E,MATCH('2025 GSLDSU Rate Class E-13c'!B25,'2024 Base Rates'!D:D,0))</f>
        <v>1.078E-2</v>
      </c>
      <c r="K25" s="233"/>
      <c r="L25" s="12">
        <f>+H25*J25</f>
        <v>1673426.5568943999</v>
      </c>
      <c r="M25" s="233"/>
      <c r="N25" s="226"/>
      <c r="O25" s="13">
        <f>+INDEX('2025 Billing Determinants'!B:B,MATCH('2025 GSLDSU Rate Class E-13c'!A25,'2025 Billing Determinants'!A:A,0))</f>
        <v>90266980.709999993</v>
      </c>
      <c r="P25" s="12" t="s">
        <v>711</v>
      </c>
      <c r="Q25" s="28">
        <f>+Q24+'Time of Day Inputs'!F7</f>
        <v>1.0227400000000001E-2</v>
      </c>
      <c r="R25" s="233"/>
      <c r="S25" s="12">
        <f>+O25*Q25</f>
        <v>923196.51851345401</v>
      </c>
      <c r="T25" s="12"/>
      <c r="U25" s="12">
        <f t="shared" si="2"/>
        <v>-750230.03838094592</v>
      </c>
      <c r="V25" s="21">
        <f t="shared" si="3"/>
        <v>-0.44831966798306794</v>
      </c>
    </row>
    <row r="26" spans="1:22" ht="16.5" x14ac:dyDescent="0.35">
      <c r="A26" s="368" t="s">
        <v>906</v>
      </c>
      <c r="B26" s="368" t="s">
        <v>1509</v>
      </c>
      <c r="D26" s="233"/>
      <c r="E26" s="11" t="s">
        <v>1617</v>
      </c>
      <c r="F26" s="15"/>
      <c r="G26" s="11"/>
      <c r="H26" s="57">
        <v>0</v>
      </c>
      <c r="I26" s="12" t="s">
        <v>711</v>
      </c>
      <c r="J26" s="28">
        <v>0</v>
      </c>
      <c r="K26" s="12"/>
      <c r="L26" s="58">
        <f>+H26*J26</f>
        <v>0</v>
      </c>
      <c r="M26" s="12"/>
      <c r="N26" s="22"/>
      <c r="O26" s="57">
        <f>+INDEX('2025 Billing Determinants'!B:B,MATCH('2025 GSLDSU Rate Class E-13c'!A26,'2025 Billing Determinants'!A:A,0))</f>
        <v>67450978.700000003</v>
      </c>
      <c r="P26" s="12" t="s">
        <v>711</v>
      </c>
      <c r="Q26" s="28">
        <f>+Q25+'Time of Day Inputs'!G7</f>
        <v>7.1874000000000009E-3</v>
      </c>
      <c r="R26" s="12"/>
      <c r="S26" s="58">
        <f>+O26*Q26</f>
        <v>484797.1643083801</v>
      </c>
      <c r="T26" s="233"/>
      <c r="U26" s="12">
        <f t="shared" ref="U26" si="4">+S26-L26</f>
        <v>484797.1643083801</v>
      </c>
      <c r="V26" s="78" t="str">
        <f>IFERROR(+IF(U26=0,0,(S26-L26)/L26),"New Rate")</f>
        <v>New Rate</v>
      </c>
    </row>
    <row r="27" spans="1:22" x14ac:dyDescent="0.25">
      <c r="A27" s="368"/>
      <c r="B27" s="368"/>
      <c r="D27" s="233">
        <v>10</v>
      </c>
      <c r="E27" s="38" t="s">
        <v>336</v>
      </c>
      <c r="F27" s="15"/>
      <c r="G27" s="233"/>
      <c r="H27" s="12">
        <f>+SUM(H23:H25)</f>
        <v>206310952.94</v>
      </c>
      <c r="I27" s="12" t="s">
        <v>711</v>
      </c>
      <c r="J27" s="12"/>
      <c r="K27" s="12"/>
      <c r="L27" s="53">
        <f>+SUM(L23:L25)</f>
        <v>2381347.9343499998</v>
      </c>
      <c r="M27" s="12"/>
      <c r="N27" s="22"/>
      <c r="O27" s="12">
        <f>+SUM(O23:O26)</f>
        <v>206310952.94</v>
      </c>
      <c r="P27" s="12" t="s">
        <v>711</v>
      </c>
      <c r="Q27" s="12"/>
      <c r="R27" s="12"/>
      <c r="S27" s="53">
        <f>+SUM(S23:S26)</f>
        <v>2425890.5554921562</v>
      </c>
      <c r="T27" s="233"/>
      <c r="U27" s="12">
        <f t="shared" si="2"/>
        <v>44542.621142156422</v>
      </c>
      <c r="V27" s="21">
        <f t="shared" si="3"/>
        <v>1.8704793406980464E-2</v>
      </c>
    </row>
    <row r="28" spans="1:22" x14ac:dyDescent="0.25">
      <c r="A28" s="368"/>
      <c r="B28" s="368"/>
      <c r="D28" s="233">
        <v>11</v>
      </c>
      <c r="E28" s="233"/>
      <c r="F28" s="233"/>
      <c r="G28" s="233"/>
      <c r="H28" s="233"/>
      <c r="I28" s="233"/>
      <c r="J28" s="233"/>
      <c r="K28" s="233"/>
      <c r="L28" s="27"/>
      <c r="M28" s="233"/>
      <c r="N28" s="226"/>
      <c r="O28" s="233"/>
      <c r="P28" s="233"/>
      <c r="Q28" s="233"/>
      <c r="R28" s="233"/>
      <c r="S28" s="27"/>
      <c r="T28" s="233"/>
      <c r="U28" s="233"/>
      <c r="V28" s="233"/>
    </row>
    <row r="29" spans="1:22" x14ac:dyDescent="0.25">
      <c r="A29" s="368"/>
      <c r="B29" s="368"/>
      <c r="D29" s="233">
        <v>12</v>
      </c>
      <c r="E29" s="233" t="s">
        <v>380</v>
      </c>
      <c r="F29" s="15"/>
      <c r="G29" s="233"/>
      <c r="H29" s="233"/>
      <c r="I29" s="12"/>
      <c r="J29" s="12"/>
      <c r="K29" s="12"/>
      <c r="L29" s="19"/>
      <c r="M29" s="12"/>
      <c r="N29" s="22"/>
      <c r="O29" s="12"/>
      <c r="P29" s="12"/>
      <c r="Q29" s="12"/>
      <c r="R29" s="12"/>
      <c r="S29" s="19"/>
      <c r="T29" s="12"/>
      <c r="U29" s="12"/>
      <c r="V29" s="31"/>
    </row>
    <row r="30" spans="1:22" x14ac:dyDescent="0.25">
      <c r="A30" s="368" t="s">
        <v>844</v>
      </c>
      <c r="B30" s="368" t="s">
        <v>698</v>
      </c>
      <c r="D30" s="233">
        <v>13</v>
      </c>
      <c r="E30" s="11" t="s">
        <v>397</v>
      </c>
      <c r="F30" s="15"/>
      <c r="G30" s="11"/>
      <c r="H30" s="13">
        <f>+INDEX('2025 Org Base Case BDs'!B:B,MATCH('2025 GSLDSU Rate Class E-13c'!A30,'2025 Org Base Case BDs'!A:A,0))</f>
        <v>0</v>
      </c>
      <c r="I30" s="12" t="s">
        <v>730</v>
      </c>
      <c r="J30" s="19">
        <f>+INDEX('2024 Base Rates'!E:E,MATCH('2025 GSLDSU Rate Class E-13c'!B30,'2024 Base Rates'!D:D,0))</f>
        <v>9.2899999999999991</v>
      </c>
      <c r="K30" s="12"/>
      <c r="L30" s="12">
        <f>+H30*J30</f>
        <v>0</v>
      </c>
      <c r="M30" s="12"/>
      <c r="N30" s="22"/>
      <c r="O30" s="12">
        <f>+INDEX('2025 Billing Determinants'!B:B,MATCH('2025 GSLDSU Rate Class E-13c'!A30,'2025 Billing Determinants'!A:A,0))</f>
        <v>0</v>
      </c>
      <c r="P30" s="12" t="s">
        <v>730</v>
      </c>
      <c r="Q30" s="19">
        <f>+INDEX('Unit Cost Rate Design Input'!D:D,MATCH('2025 GSLDSU Rate Class E-13c'!B30,'Unit Cost Rate Design Input'!B:B,0))*(1+$B$7)</f>
        <v>12.771549918847711</v>
      </c>
      <c r="R30" s="12"/>
      <c r="S30" s="12">
        <f>+O30*Q30</f>
        <v>0</v>
      </c>
      <c r="T30" s="233"/>
      <c r="U30" s="12">
        <f t="shared" ref="U30:U33" si="5">+S30-L30</f>
        <v>0</v>
      </c>
      <c r="V30" s="21">
        <f t="shared" ref="V30:V33" si="6">+IF(U30=0,0,(S30-L30)/L30)</f>
        <v>0</v>
      </c>
    </row>
    <row r="31" spans="1:22" x14ac:dyDescent="0.25">
      <c r="A31" s="368" t="s">
        <v>230</v>
      </c>
      <c r="B31" s="368" t="s">
        <v>706</v>
      </c>
      <c r="D31" s="233">
        <v>14</v>
      </c>
      <c r="E31" s="11" t="s">
        <v>1135</v>
      </c>
      <c r="F31" s="233"/>
      <c r="G31" s="233"/>
      <c r="H31" s="13">
        <f>+INDEX('2025 Org Base Case BDs'!B:B,MATCH('2025 GSLDSU Rate Class E-13c'!A31,'2025 Org Base Case BDs'!A:A,0))</f>
        <v>592305.27</v>
      </c>
      <c r="I31" s="12" t="s">
        <v>730</v>
      </c>
      <c r="J31" s="19">
        <f>+INDEX('2024 Base Rates'!E:E,MATCH('2025 GSLDSU Rate Class E-13c'!B31,'2024 Base Rates'!D:D,0))</f>
        <v>2.95</v>
      </c>
      <c r="K31" s="12"/>
      <c r="L31" s="12">
        <f>+H31*J31</f>
        <v>1747300.5465000002</v>
      </c>
      <c r="M31" s="12"/>
      <c r="N31" s="22"/>
      <c r="O31" s="12">
        <f>+INDEX('2025 Billing Determinants'!B:B,MATCH('2025 GSLDSU Rate Class E-13c'!A31,'2025 Billing Determinants'!A:A,0))</f>
        <v>592305.27</v>
      </c>
      <c r="P31" s="12" t="s">
        <v>730</v>
      </c>
      <c r="Q31" s="19">
        <f>+INDEX('Unit Cost Rate Design Input'!D:D,MATCH('2025 GSLDSU Rate Class E-13c'!B31,'Unit Cost Rate Design Input'!B:B,0))*(1+$B$7)</f>
        <v>1.5513907263385562</v>
      </c>
      <c r="R31" s="12"/>
      <c r="S31" s="12">
        <f>+O31*Q31</f>
        <v>918896.90303945472</v>
      </c>
      <c r="T31" s="233"/>
      <c r="U31" s="12">
        <f t="shared" si="5"/>
        <v>-828403.64346054546</v>
      </c>
      <c r="V31" s="21">
        <f t="shared" si="6"/>
        <v>-0.47410483852930302</v>
      </c>
    </row>
    <row r="32" spans="1:22" ht="16.5" x14ac:dyDescent="0.35">
      <c r="A32" s="368" t="s">
        <v>231</v>
      </c>
      <c r="B32" s="368" t="s">
        <v>707</v>
      </c>
      <c r="D32" s="233">
        <v>15</v>
      </c>
      <c r="E32" s="11" t="s">
        <v>1136</v>
      </c>
      <c r="F32" s="15"/>
      <c r="G32" s="11"/>
      <c r="H32" s="57">
        <f>+INDEX('2025 Org Base Case BDs'!B:B,MATCH('2025 GSLDSU Rate Class E-13c'!A32,'2025 Org Base Case BDs'!A:A,0))</f>
        <v>544685.55000000005</v>
      </c>
      <c r="I32" s="12" t="s">
        <v>732</v>
      </c>
      <c r="J32" s="19">
        <f>+INDEX('2024 Base Rates'!E:E,MATCH('2025 GSLDSU Rate Class E-13c'!B32,'2024 Base Rates'!D:D,0))</f>
        <v>6.31</v>
      </c>
      <c r="K32" s="12"/>
      <c r="L32" s="58">
        <f>+H32*J32</f>
        <v>3436965.8204999999</v>
      </c>
      <c r="M32" s="12"/>
      <c r="N32" s="22"/>
      <c r="O32" s="58">
        <f>+INDEX('2025 Billing Determinants'!B:B,MATCH('2025 GSLDSU Rate Class E-13c'!A32,'2025 Billing Determinants'!A:A,0))</f>
        <v>544685.55000000005</v>
      </c>
      <c r="P32" s="12" t="s">
        <v>732</v>
      </c>
      <c r="Q32" s="19">
        <f>+INDEX('Unit Cost Rate Design Input'!D:D,MATCH('2025 GSLDSU Rate Class E-13c'!B32,'Unit Cost Rate Design Input'!B:B,0))*(1+$B$7)</f>
        <v>11.220159192509154</v>
      </c>
      <c r="R32" s="12"/>
      <c r="S32" s="58">
        <f>+O32*Q32</f>
        <v>6111458.580859405</v>
      </c>
      <c r="T32" s="233"/>
      <c r="U32" s="12">
        <f t="shared" si="5"/>
        <v>2674492.7603594051</v>
      </c>
      <c r="V32" s="21">
        <f t="shared" si="6"/>
        <v>0.77815518106325754</v>
      </c>
    </row>
    <row r="33" spans="1:22" x14ac:dyDescent="0.25">
      <c r="A33" s="368"/>
      <c r="B33" s="368"/>
      <c r="D33" s="233">
        <v>16</v>
      </c>
      <c r="E33" s="2" t="s">
        <v>331</v>
      </c>
      <c r="F33" s="15"/>
      <c r="G33" s="233"/>
      <c r="H33" s="12">
        <f>+SUM(H30:H31)</f>
        <v>592305.27</v>
      </c>
      <c r="I33" s="12" t="s">
        <v>730</v>
      </c>
      <c r="J33" s="19"/>
      <c r="K33" s="12"/>
      <c r="L33" s="53">
        <f>+SUM(L30:L32)</f>
        <v>5184266.3670000006</v>
      </c>
      <c r="M33" s="12"/>
      <c r="N33" s="22"/>
      <c r="O33" s="12">
        <f>+SUM(O30:O31)</f>
        <v>592305.27</v>
      </c>
      <c r="P33" s="12" t="s">
        <v>730</v>
      </c>
      <c r="Q33" s="30"/>
      <c r="R33" s="12"/>
      <c r="S33" s="53">
        <f>+SUM(S30:S32)</f>
        <v>7030355.4838988595</v>
      </c>
      <c r="T33" s="12"/>
      <c r="U33" s="12">
        <f t="shared" si="5"/>
        <v>1846089.1168988589</v>
      </c>
      <c r="V33" s="21">
        <f t="shared" si="6"/>
        <v>0.35609457273452993</v>
      </c>
    </row>
    <row r="34" spans="1:22" x14ac:dyDescent="0.25">
      <c r="A34" s="368"/>
      <c r="B34" s="368"/>
      <c r="D34" s="233">
        <v>17</v>
      </c>
      <c r="E34" s="2"/>
      <c r="F34" s="15"/>
      <c r="G34" s="233"/>
      <c r="H34" s="12"/>
      <c r="I34" s="12"/>
      <c r="J34" s="19"/>
      <c r="K34" s="12"/>
      <c r="L34" s="12"/>
      <c r="M34" s="12"/>
      <c r="N34" s="22"/>
      <c r="O34" s="12"/>
      <c r="P34" s="12"/>
      <c r="Q34" s="30"/>
      <c r="R34" s="12"/>
      <c r="S34" s="12"/>
      <c r="T34" s="12"/>
      <c r="U34" s="12"/>
      <c r="V34" s="23"/>
    </row>
    <row r="35" spans="1:22" x14ac:dyDescent="0.25">
      <c r="A35" s="368"/>
      <c r="B35" s="368"/>
      <c r="D35" s="233">
        <v>18</v>
      </c>
      <c r="E35" s="11" t="s">
        <v>346</v>
      </c>
      <c r="F35" s="11"/>
      <c r="G35" s="233"/>
      <c r="H35" s="354"/>
      <c r="I35" s="12"/>
      <c r="J35" s="12"/>
      <c r="K35" s="12"/>
      <c r="L35" s="19"/>
      <c r="M35" s="12"/>
      <c r="N35" s="22"/>
      <c r="O35" s="233"/>
      <c r="P35" s="12"/>
      <c r="Q35" s="12"/>
      <c r="R35" s="12"/>
      <c r="S35" s="19"/>
      <c r="T35" s="12"/>
      <c r="U35" s="12"/>
      <c r="V35" s="23"/>
    </row>
    <row r="36" spans="1:22" x14ac:dyDescent="0.25">
      <c r="A36" s="368" t="s">
        <v>211</v>
      </c>
      <c r="B36" s="368" t="s">
        <v>701</v>
      </c>
      <c r="D36" s="233">
        <v>19</v>
      </c>
      <c r="E36" s="11" t="s">
        <v>1137</v>
      </c>
      <c r="F36" s="233"/>
      <c r="G36" s="233"/>
      <c r="H36" s="12">
        <f>+INDEX('2025 Org Base Case BDs'!B:B,MATCH('2025 GSLDSU Rate Class E-13c'!A36,'2025 Org Base Case BDs'!A:A,0))</f>
        <v>0</v>
      </c>
      <c r="I36" s="12" t="s">
        <v>730</v>
      </c>
      <c r="J36" s="19">
        <f>+INDEX('2024 Base Rates'!E:E,MATCH('2025 GSLDSU Rate Class E-13c'!B36,'2024 Base Rates'!D:D,0))</f>
        <v>0.68</v>
      </c>
      <c r="K36" s="233"/>
      <c r="L36" s="12">
        <f>+H36*J36</f>
        <v>0</v>
      </c>
      <c r="M36" s="233"/>
      <c r="N36" s="226"/>
      <c r="O36" s="12">
        <f>+INDEX('2025 Billing Determinants'!B:B,MATCH('2025 GSLDSU Rate Class E-13c'!A36,'2025 Billing Determinants'!A:A,0))</f>
        <v>0</v>
      </c>
      <c r="P36" s="12" t="s">
        <v>730</v>
      </c>
      <c r="Q36" s="19">
        <f>+INDEX('Unit Cost Rate Design Input'!D:D,MATCH('2025 GSLDSU Rate Class E-13c'!B36,'Unit Cost Rate Design Input'!B:B,0))</f>
        <v>1.02</v>
      </c>
      <c r="R36" s="233"/>
      <c r="S36" s="12">
        <f>+O36*Q36</f>
        <v>0</v>
      </c>
      <c r="T36" s="233"/>
      <c r="U36" s="12">
        <f t="shared" ref="U36:U38" si="7">+S36-L36</f>
        <v>0</v>
      </c>
      <c r="V36" s="21">
        <f t="shared" ref="V36:V38" si="8">+IF(U36=0,0,(S36-L36)/L36)</f>
        <v>0</v>
      </c>
    </row>
    <row r="37" spans="1:22" ht="16.5" x14ac:dyDescent="0.35">
      <c r="A37" s="368" t="s">
        <v>232</v>
      </c>
      <c r="B37" s="368" t="s">
        <v>710</v>
      </c>
      <c r="D37" s="233">
        <v>20</v>
      </c>
      <c r="E37" s="11" t="s">
        <v>1138</v>
      </c>
      <c r="F37" s="233"/>
      <c r="G37" s="233"/>
      <c r="H37" s="58">
        <f>+INDEX('2025 Org Base Case BDs'!B:B,MATCH('2025 GSLDSU Rate Class E-13c'!A37,'2025 Org Base Case BDs'!A:A,0))</f>
        <v>0</v>
      </c>
      <c r="I37" s="12" t="s">
        <v>730</v>
      </c>
      <c r="J37" s="19">
        <f>+INDEX('2024 Base Rates'!E:E,MATCH('2025 GSLDSU Rate Class E-13c'!B37,'2024 Base Rates'!D:D,0))</f>
        <v>0.68</v>
      </c>
      <c r="K37" s="233"/>
      <c r="L37" s="58">
        <f>+H37*J37</f>
        <v>0</v>
      </c>
      <c r="M37" s="233"/>
      <c r="N37" s="226"/>
      <c r="O37" s="58">
        <f>+INDEX('2025 Billing Determinants'!B:B,MATCH('2025 GSLDSU Rate Class E-13c'!A37,'2025 Billing Determinants'!A:A,0))</f>
        <v>0</v>
      </c>
      <c r="P37" s="12" t="s">
        <v>730</v>
      </c>
      <c r="Q37" s="19">
        <f>+INDEX('Unit Cost Rate Design Input'!D:D,MATCH('2025 GSLDSU Rate Class E-13c'!B37,'Unit Cost Rate Design Input'!B:B,0))</f>
        <v>1.02</v>
      </c>
      <c r="R37" s="233"/>
      <c r="S37" s="58">
        <f>+O37*Q37</f>
        <v>0</v>
      </c>
      <c r="T37" s="233"/>
      <c r="U37" s="12">
        <f t="shared" si="7"/>
        <v>0</v>
      </c>
      <c r="V37" s="21">
        <f t="shared" si="8"/>
        <v>0</v>
      </c>
    </row>
    <row r="38" spans="1:22" x14ac:dyDescent="0.25">
      <c r="A38" s="368"/>
      <c r="B38" s="368"/>
      <c r="D38" s="233">
        <v>21</v>
      </c>
      <c r="E38" s="2" t="s">
        <v>331</v>
      </c>
      <c r="F38" s="15"/>
      <c r="G38" s="233"/>
      <c r="H38" s="13">
        <f>+SUM(H36:H37)</f>
        <v>0</v>
      </c>
      <c r="I38" s="12" t="s">
        <v>730</v>
      </c>
      <c r="J38" s="19"/>
      <c r="K38" s="12"/>
      <c r="L38" s="53">
        <f>+SUM(L36:L37)</f>
        <v>0</v>
      </c>
      <c r="M38" s="12"/>
      <c r="N38" s="22"/>
      <c r="O38" s="13">
        <f>+SUM(O36:O37)</f>
        <v>0</v>
      </c>
      <c r="P38" s="12" t="s">
        <v>730</v>
      </c>
      <c r="Q38" s="19"/>
      <c r="R38" s="12"/>
      <c r="S38" s="53">
        <f>+SUM(S36:S37)</f>
        <v>0</v>
      </c>
      <c r="T38" s="12"/>
      <c r="U38" s="12">
        <f t="shared" si="7"/>
        <v>0</v>
      </c>
      <c r="V38" s="21">
        <f t="shared" si="8"/>
        <v>0</v>
      </c>
    </row>
    <row r="39" spans="1:22" x14ac:dyDescent="0.25">
      <c r="A39" s="368"/>
      <c r="B39" s="368"/>
      <c r="D39" s="233">
        <v>22</v>
      </c>
      <c r="E39" s="2"/>
      <c r="F39" s="15"/>
      <c r="G39" s="233"/>
      <c r="H39" s="12"/>
      <c r="I39" s="12"/>
      <c r="J39" s="19"/>
      <c r="K39" s="12"/>
      <c r="L39" s="19"/>
      <c r="M39" s="12"/>
      <c r="N39" s="22"/>
      <c r="O39" s="12"/>
      <c r="P39" s="12"/>
      <c r="Q39" s="19"/>
      <c r="R39" s="12"/>
      <c r="S39" s="19"/>
      <c r="T39" s="12"/>
      <c r="U39" s="12"/>
      <c r="V39" s="23"/>
    </row>
    <row r="40" spans="1:22" x14ac:dyDescent="0.25">
      <c r="A40" s="368"/>
      <c r="B40" s="368"/>
      <c r="D40" s="233">
        <v>23</v>
      </c>
      <c r="E40" s="233" t="s">
        <v>445</v>
      </c>
      <c r="F40" s="233"/>
      <c r="G40" s="233"/>
      <c r="H40" s="233"/>
      <c r="I40" s="233"/>
      <c r="J40" s="233"/>
      <c r="K40" s="233"/>
      <c r="L40" s="27"/>
      <c r="M40" s="233"/>
      <c r="N40" s="226"/>
      <c r="O40" s="233"/>
      <c r="P40" s="233"/>
      <c r="Q40" s="233"/>
      <c r="R40" s="233"/>
      <c r="S40" s="27"/>
      <c r="T40" s="12"/>
      <c r="U40" s="12"/>
      <c r="V40" s="12"/>
    </row>
    <row r="41" spans="1:22" x14ac:dyDescent="0.25">
      <c r="A41" s="368" t="s">
        <v>213</v>
      </c>
      <c r="B41" s="368" t="s">
        <v>699</v>
      </c>
      <c r="D41" s="233">
        <v>24</v>
      </c>
      <c r="E41" s="11" t="s">
        <v>1137</v>
      </c>
      <c r="F41" s="233"/>
      <c r="G41" s="233"/>
      <c r="H41" s="12">
        <f>+INDEX('2025 Org Base Case BDs'!B:B,MATCH('2025 GSLDSU Rate Class E-13c'!A41,'2025 Org Base Case BDs'!A:A,0))</f>
        <v>0</v>
      </c>
      <c r="I41" s="233" t="s">
        <v>840</v>
      </c>
      <c r="J41" s="28">
        <f>+INDEX('2024 Base Rates'!E:E,MATCH('2025 GSLDSU Rate Class E-13c'!B41,'2024 Base Rates'!D:D,0))</f>
        <v>2.0300000000000001E-3</v>
      </c>
      <c r="K41" s="233"/>
      <c r="L41" s="12">
        <f>+H41*J41</f>
        <v>0</v>
      </c>
      <c r="M41" s="233"/>
      <c r="N41" s="226"/>
      <c r="O41" s="372">
        <f>+INDEX('2025 Billing Determinants'!B:B,MATCH('2025 GSLDSU Rate Class E-13c'!A41,'2025 Billing Determinants'!A:A,0))</f>
        <v>0</v>
      </c>
      <c r="P41" s="233" t="s">
        <v>840</v>
      </c>
      <c r="Q41" s="28">
        <f>+INDEX('Unit Cost Rate Design Input'!D:D,MATCH('2025 GSLDSU Rate Class E-13c'!B41,'Unit Cost Rate Design Input'!B:B,0))</f>
        <v>2.0300000000000001E-3</v>
      </c>
      <c r="R41" s="233"/>
      <c r="S41" s="12">
        <f>+O41*Q41</f>
        <v>0</v>
      </c>
      <c r="T41" s="233"/>
      <c r="U41" s="12">
        <f t="shared" ref="U41:U43" si="9">+S41-L41</f>
        <v>0</v>
      </c>
      <c r="V41" s="21">
        <f t="shared" ref="V41:V43" si="10">+IF(U41=0,0,(S41-L41)/L41)</f>
        <v>0</v>
      </c>
    </row>
    <row r="42" spans="1:22" ht="16.5" x14ac:dyDescent="0.35">
      <c r="A42" s="368" t="s">
        <v>234</v>
      </c>
      <c r="B42" s="368" t="s">
        <v>708</v>
      </c>
      <c r="D42" s="233">
        <v>25</v>
      </c>
      <c r="E42" s="11" t="s">
        <v>1138</v>
      </c>
      <c r="F42" s="233"/>
      <c r="G42" s="233"/>
      <c r="H42" s="58">
        <f>+INDEX('2025 Org Base Case BDs'!B:B,MATCH('2025 GSLDSU Rate Class E-13c'!A42,'2025 Org Base Case BDs'!A:A,0))</f>
        <v>21354005.66</v>
      </c>
      <c r="I42" s="233" t="s">
        <v>840</v>
      </c>
      <c r="J42" s="28">
        <f>+INDEX('2024 Base Rates'!E:E,MATCH('2025 GSLDSU Rate Class E-13c'!B42,'2024 Base Rates'!D:D,0))</f>
        <v>2.0300000000000001E-3</v>
      </c>
      <c r="K42" s="233"/>
      <c r="L42" s="58">
        <f>+H42*J42</f>
        <v>43348.631489800006</v>
      </c>
      <c r="M42" s="233"/>
      <c r="N42" s="226"/>
      <c r="O42" s="373">
        <f>+INDEX('2025 Billing Determinants'!B:B,MATCH('2025 GSLDSU Rate Class E-13c'!A42,'2025 Billing Determinants'!A:A,0))</f>
        <v>21354005.66</v>
      </c>
      <c r="P42" s="233" t="s">
        <v>840</v>
      </c>
      <c r="Q42" s="28">
        <f>+INDEX('Unit Cost Rate Design Input'!D:D,MATCH('2025 GSLDSU Rate Class E-13c'!B42,'Unit Cost Rate Design Input'!B:B,0))</f>
        <v>2.0300000000000001E-3</v>
      </c>
      <c r="R42" s="233"/>
      <c r="S42" s="58">
        <f>+O42*Q42</f>
        <v>43348.631489800006</v>
      </c>
      <c r="T42" s="12"/>
      <c r="U42" s="12">
        <f t="shared" si="9"/>
        <v>0</v>
      </c>
      <c r="V42" s="21">
        <f t="shared" si="10"/>
        <v>0</v>
      </c>
    </row>
    <row r="43" spans="1:22" x14ac:dyDescent="0.25">
      <c r="A43" s="368"/>
      <c r="B43" s="368"/>
      <c r="D43" s="233">
        <v>26</v>
      </c>
      <c r="E43" s="233"/>
      <c r="F43" s="233"/>
      <c r="G43" s="233"/>
      <c r="H43" s="13">
        <f>+SUM(H41:H42)</f>
        <v>21354005.66</v>
      </c>
      <c r="I43" s="233" t="s">
        <v>840</v>
      </c>
      <c r="J43" s="233"/>
      <c r="K43" s="233"/>
      <c r="L43" s="53">
        <f>+SUM(L41:L42)</f>
        <v>43348.631489800006</v>
      </c>
      <c r="M43" s="233"/>
      <c r="N43" s="226"/>
      <c r="O43" s="13">
        <f>+SUM(O41:O42)</f>
        <v>21354005.66</v>
      </c>
      <c r="P43" s="233" t="s">
        <v>840</v>
      </c>
      <c r="Q43" s="233"/>
      <c r="R43" s="233"/>
      <c r="S43" s="53">
        <f>+SUM(S41:S42)</f>
        <v>43348.631489800006</v>
      </c>
      <c r="T43" s="12"/>
      <c r="U43" s="12">
        <f t="shared" si="9"/>
        <v>0</v>
      </c>
      <c r="V43" s="21">
        <f t="shared" si="10"/>
        <v>0</v>
      </c>
    </row>
    <row r="44" spans="1:22" x14ac:dyDescent="0.25">
      <c r="A44" s="368"/>
      <c r="B44" s="368"/>
      <c r="D44" s="233">
        <v>27</v>
      </c>
      <c r="E44" s="233" t="s">
        <v>446</v>
      </c>
      <c r="F44" s="233"/>
      <c r="G44" s="233"/>
      <c r="H44" s="233"/>
      <c r="I44" s="233"/>
      <c r="J44" s="233"/>
      <c r="K44" s="233"/>
      <c r="L44" s="233"/>
      <c r="M44" s="233"/>
      <c r="N44" s="226"/>
      <c r="O44" s="233"/>
      <c r="P44" s="233"/>
      <c r="Q44" s="233"/>
      <c r="R44" s="233"/>
      <c r="S44" s="233"/>
      <c r="T44" s="233"/>
      <c r="U44" s="233"/>
      <c r="V44" s="233"/>
    </row>
    <row r="45" spans="1:22" x14ac:dyDescent="0.25">
      <c r="A45" s="368" t="s">
        <v>214</v>
      </c>
      <c r="B45" s="368" t="s">
        <v>700</v>
      </c>
      <c r="D45" s="233">
        <v>28</v>
      </c>
      <c r="E45" s="11" t="s">
        <v>1137</v>
      </c>
      <c r="F45" s="233"/>
      <c r="G45" s="233"/>
      <c r="H45" s="12">
        <f>+INDEX('2025 Org Base Case BDs'!B:B,MATCH('2025 GSLDSU Rate Class E-13c'!A45,'2025 Org Base Case BDs'!A:A,0))</f>
        <v>0</v>
      </c>
      <c r="I45" s="233" t="s">
        <v>840</v>
      </c>
      <c r="J45" s="28">
        <f>+INDEX('2024 Base Rates'!E:E,MATCH('2025 GSLDSU Rate Class E-13c'!B45,'2024 Base Rates'!D:D,0))</f>
        <v>-1.0200000000000001E-3</v>
      </c>
      <c r="K45" s="233"/>
      <c r="L45" s="12">
        <f>+H45*J45</f>
        <v>0</v>
      </c>
      <c r="M45" s="233"/>
      <c r="N45" s="226"/>
      <c r="O45" s="372">
        <f>+INDEX('2025 Billing Determinants'!B:B,MATCH('2025 GSLDSU Rate Class E-13c'!A45,'2025 Billing Determinants'!A:A,0))</f>
        <v>0</v>
      </c>
      <c r="P45" s="233" t="s">
        <v>840</v>
      </c>
      <c r="Q45" s="28">
        <f>+INDEX('Unit Cost Rate Design Input'!D:D,MATCH('2025 GSLDSU Rate Class E-13c'!B45,'Unit Cost Rate Design Input'!B:B,0))</f>
        <v>-1.0200000000000001E-3</v>
      </c>
      <c r="R45" s="233"/>
      <c r="S45" s="12">
        <f>+O45*Q45</f>
        <v>0</v>
      </c>
      <c r="T45" s="233"/>
      <c r="U45" s="12">
        <f t="shared" ref="U45:U47" si="11">+S45-L45</f>
        <v>0</v>
      </c>
      <c r="V45" s="21">
        <f t="shared" ref="V45:V47" si="12">+IF(U45=0,0,(S45-L45)/L45)</f>
        <v>0</v>
      </c>
    </row>
    <row r="46" spans="1:22" ht="16.5" x14ac:dyDescent="0.35">
      <c r="A46" s="368" t="s">
        <v>235</v>
      </c>
      <c r="B46" s="368" t="s">
        <v>709</v>
      </c>
      <c r="D46" s="233">
        <v>29</v>
      </c>
      <c r="E46" s="233" t="s">
        <v>1138</v>
      </c>
      <c r="F46" s="233"/>
      <c r="G46" s="233"/>
      <c r="H46" s="58">
        <f>+INDEX('2025 Org Base Case BDs'!B:B,MATCH('2025 GSLDSU Rate Class E-13c'!A46,'2025 Org Base Case BDs'!A:A,0))</f>
        <v>2680704.4</v>
      </c>
      <c r="I46" s="233" t="s">
        <v>840</v>
      </c>
      <c r="J46" s="28">
        <f>+INDEX('2024 Base Rates'!E:E,MATCH('2025 GSLDSU Rate Class E-13c'!B46,'2024 Base Rates'!D:D,0))</f>
        <v>-1.0200000000000001E-3</v>
      </c>
      <c r="K46" s="233"/>
      <c r="L46" s="373">
        <f>+H46*J46</f>
        <v>-2734.3184879999999</v>
      </c>
      <c r="M46" s="233"/>
      <c r="N46" s="226"/>
      <c r="O46" s="373">
        <f>+INDEX('2025 Billing Determinants'!B:B,MATCH('2025 GSLDSU Rate Class E-13c'!A46,'2025 Billing Determinants'!A:A,0))</f>
        <v>2680704.4</v>
      </c>
      <c r="P46" s="233" t="s">
        <v>840</v>
      </c>
      <c r="Q46" s="28">
        <f>+INDEX('Unit Cost Rate Design Input'!D:D,MATCH('2025 GSLDSU Rate Class E-13c'!B46,'Unit Cost Rate Design Input'!B:B,0))</f>
        <v>-1.0200000000000001E-3</v>
      </c>
      <c r="R46" s="233"/>
      <c r="S46" s="373">
        <f>+O46*Q46</f>
        <v>-2734.3184879999999</v>
      </c>
      <c r="T46" s="233"/>
      <c r="U46" s="12">
        <f t="shared" si="11"/>
        <v>0</v>
      </c>
      <c r="V46" s="21">
        <f t="shared" si="12"/>
        <v>0</v>
      </c>
    </row>
    <row r="47" spans="1:22" x14ac:dyDescent="0.25">
      <c r="A47" s="368"/>
      <c r="B47" s="368"/>
      <c r="D47" s="233">
        <v>30</v>
      </c>
      <c r="E47" s="233" t="s">
        <v>331</v>
      </c>
      <c r="F47" s="233"/>
      <c r="G47" s="233"/>
      <c r="H47" s="13">
        <f>+SUM(H45:H46)</f>
        <v>2680704.4</v>
      </c>
      <c r="I47" s="233"/>
      <c r="J47" s="233"/>
      <c r="K47" s="233"/>
      <c r="L47" s="354">
        <f>+SUM(L45:L46)</f>
        <v>-2734.3184879999999</v>
      </c>
      <c r="M47" s="233"/>
      <c r="N47" s="226"/>
      <c r="O47" s="13">
        <f>+SUM(O45:O46)</f>
        <v>2680704.4</v>
      </c>
      <c r="P47" s="233"/>
      <c r="Q47" s="233"/>
      <c r="R47" s="233"/>
      <c r="S47" s="354">
        <f>+SUM(S45:S46)</f>
        <v>-2734.3184879999999</v>
      </c>
      <c r="T47" s="233"/>
      <c r="U47" s="12">
        <f t="shared" si="11"/>
        <v>0</v>
      </c>
      <c r="V47" s="21">
        <f t="shared" si="12"/>
        <v>0</v>
      </c>
    </row>
    <row r="48" spans="1:22" x14ac:dyDescent="0.25">
      <c r="A48" s="368"/>
      <c r="B48" s="368"/>
      <c r="D48" s="233">
        <v>31</v>
      </c>
      <c r="E48" s="2"/>
      <c r="F48" s="15"/>
      <c r="G48" s="233"/>
      <c r="H48" s="12"/>
      <c r="I48" s="12"/>
      <c r="J48" s="19"/>
      <c r="K48" s="12"/>
      <c r="L48" s="12"/>
      <c r="M48" s="12"/>
      <c r="N48" s="22"/>
      <c r="O48" s="12"/>
      <c r="P48" s="12"/>
      <c r="Q48" s="30"/>
      <c r="R48" s="12"/>
      <c r="S48" s="12"/>
      <c r="T48" s="12"/>
      <c r="U48" s="12"/>
      <c r="V48" s="23"/>
    </row>
    <row r="49" spans="1:22" x14ac:dyDescent="0.25">
      <c r="A49" s="368"/>
      <c r="B49" s="368"/>
      <c r="D49" s="233">
        <v>32</v>
      </c>
      <c r="E49" s="233"/>
      <c r="F49" s="233"/>
      <c r="G49" s="233"/>
      <c r="H49" s="233"/>
      <c r="I49" s="233"/>
      <c r="J49" s="233"/>
      <c r="K49" s="233"/>
      <c r="L49" s="233"/>
      <c r="M49" s="233"/>
      <c r="N49" s="226"/>
      <c r="O49" s="233"/>
      <c r="P49" s="233"/>
      <c r="Q49" s="233"/>
      <c r="R49" s="233"/>
      <c r="S49" s="233"/>
      <c r="T49" s="233"/>
      <c r="U49" s="233"/>
      <c r="V49" s="233"/>
    </row>
    <row r="50" spans="1:22" ht="15.75" thickBot="1" x14ac:dyDescent="0.3">
      <c r="A50" s="368"/>
      <c r="B50" s="368"/>
      <c r="D50" s="233">
        <v>33</v>
      </c>
      <c r="E50" s="11" t="s">
        <v>337</v>
      </c>
      <c r="F50" s="11"/>
      <c r="G50" s="233"/>
      <c r="H50" s="233"/>
      <c r="I50" s="12"/>
      <c r="J50" s="12"/>
      <c r="K50" s="12"/>
      <c r="L50" s="56">
        <f>+L20+L27+L33+L38+L43+L47</f>
        <v>7728166.3573518004</v>
      </c>
      <c r="M50" s="12"/>
      <c r="N50" s="22"/>
      <c r="O50" s="12"/>
      <c r="P50" s="12"/>
      <c r="Q50" s="12"/>
      <c r="R50" s="12"/>
      <c r="S50" s="56">
        <f>+S20+S27+S33+S38+S43+S47</f>
        <v>9682339.4317928161</v>
      </c>
      <c r="T50" s="233"/>
      <c r="U50" s="12">
        <f>+S50-L50</f>
        <v>1954173.0744410157</v>
      </c>
      <c r="V50" s="21">
        <f>+IF(U50=0,0,(S50-L50)/L50)</f>
        <v>0.25286374336158174</v>
      </c>
    </row>
    <row r="51" spans="1:22" ht="15.75" thickTop="1" x14ac:dyDescent="0.25">
      <c r="A51" s="368"/>
      <c r="B51" s="368"/>
      <c r="D51" s="233">
        <v>34</v>
      </c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</row>
    <row r="52" spans="1:22" x14ac:dyDescent="0.25">
      <c r="D52" s="233">
        <v>35</v>
      </c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/>
      <c r="S52" s="233"/>
      <c r="T52" s="233"/>
      <c r="U52" s="233"/>
      <c r="V52" s="233"/>
    </row>
    <row r="53" spans="1:22" x14ac:dyDescent="0.25">
      <c r="D53" s="233">
        <v>36</v>
      </c>
    </row>
    <row r="54" spans="1:22" x14ac:dyDescent="0.25">
      <c r="D54" s="233">
        <v>37</v>
      </c>
    </row>
    <row r="55" spans="1:22" ht="15.75" thickBot="1" x14ac:dyDescent="0.3">
      <c r="D55" s="306">
        <v>39</v>
      </c>
      <c r="E55" s="306" t="s">
        <v>743</v>
      </c>
      <c r="F55" s="306"/>
      <c r="G55" s="306"/>
      <c r="H55" s="306"/>
      <c r="I55" s="306"/>
      <c r="J55" s="306"/>
      <c r="K55" s="306"/>
      <c r="L55" s="306"/>
      <c r="M55" s="306"/>
      <c r="N55" s="314"/>
      <c r="O55" s="306"/>
      <c r="P55" s="306"/>
      <c r="Q55" s="306"/>
      <c r="R55" s="306"/>
      <c r="S55" s="306"/>
      <c r="T55" s="306"/>
      <c r="U55" s="306"/>
      <c r="V55" s="326"/>
    </row>
    <row r="56" spans="1:22" x14ac:dyDescent="0.25"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26"/>
      <c r="O56" s="233"/>
      <c r="P56" s="233"/>
      <c r="Q56" s="233"/>
      <c r="R56" s="233"/>
      <c r="S56" s="233"/>
      <c r="T56" s="233"/>
      <c r="U56" s="233"/>
      <c r="V56" s="233" t="s">
        <v>304</v>
      </c>
    </row>
    <row r="57" spans="1:22" x14ac:dyDescent="0.25">
      <c r="D57" s="233"/>
      <c r="E57" s="233"/>
      <c r="F57" s="233"/>
      <c r="G57" s="233"/>
      <c r="H57" s="233"/>
      <c r="I57" s="233"/>
      <c r="J57" s="233"/>
      <c r="K57" s="590"/>
      <c r="L57" s="590"/>
      <c r="M57" s="590"/>
      <c r="N57" s="590"/>
      <c r="O57" s="590"/>
      <c r="P57" s="233"/>
      <c r="Q57" s="233"/>
      <c r="R57" s="233"/>
      <c r="S57" s="233"/>
      <c r="T57" s="233"/>
      <c r="U57" s="233"/>
      <c r="V57" s="233"/>
    </row>
    <row r="58" spans="1:22" ht="15.75" thickBot="1" x14ac:dyDescent="0.3">
      <c r="D58" s="306" t="s">
        <v>305</v>
      </c>
      <c r="E58" s="306"/>
      <c r="F58" s="306"/>
      <c r="G58" s="306"/>
      <c r="H58" s="306"/>
      <c r="I58" s="306"/>
      <c r="J58" s="306"/>
      <c r="K58" s="591" t="s">
        <v>306</v>
      </c>
      <c r="L58" s="591"/>
      <c r="M58" s="591"/>
      <c r="N58" s="591"/>
      <c r="O58" s="591"/>
      <c r="P58" s="306"/>
      <c r="Q58" s="306"/>
      <c r="R58" s="306"/>
      <c r="S58" s="306"/>
      <c r="T58" s="306"/>
      <c r="U58" s="306"/>
      <c r="V58" s="326" t="s">
        <v>889</v>
      </c>
    </row>
    <row r="59" spans="1:22" x14ac:dyDescent="0.25">
      <c r="D59" s="233" t="s">
        <v>307</v>
      </c>
      <c r="E59" s="233"/>
      <c r="F59" s="233"/>
      <c r="G59" s="233"/>
      <c r="H59" s="233" t="s">
        <v>308</v>
      </c>
      <c r="I59" s="233"/>
      <c r="J59" s="233" t="s">
        <v>913</v>
      </c>
      <c r="K59" s="233"/>
      <c r="L59" s="233"/>
      <c r="M59" s="233"/>
      <c r="N59" s="316"/>
      <c r="O59" s="309"/>
      <c r="P59" s="233"/>
      <c r="Q59" s="309"/>
      <c r="R59" s="309"/>
      <c r="S59" s="309" t="s">
        <v>309</v>
      </c>
      <c r="T59" s="233"/>
      <c r="U59" s="233"/>
      <c r="V59" s="310"/>
    </row>
    <row r="60" spans="1:22" x14ac:dyDescent="0.25">
      <c r="D60" s="233"/>
      <c r="E60" s="233"/>
      <c r="F60" s="233"/>
      <c r="G60" s="233"/>
      <c r="H60" s="233"/>
      <c r="I60" s="233"/>
      <c r="J60" s="233" t="s">
        <v>914</v>
      </c>
      <c r="K60" s="233"/>
      <c r="L60" s="233"/>
      <c r="M60" s="233"/>
      <c r="N60" s="226"/>
      <c r="O60" s="310"/>
      <c r="P60" s="233"/>
      <c r="Q60" s="233"/>
      <c r="R60" s="311"/>
      <c r="S60" s="311"/>
      <c r="T60" s="311" t="s">
        <v>919</v>
      </c>
      <c r="U60" s="310" t="s">
        <v>920</v>
      </c>
      <c r="V60" s="311"/>
    </row>
    <row r="61" spans="1:22" x14ac:dyDescent="0.25">
      <c r="D61" s="233" t="s">
        <v>310</v>
      </c>
      <c r="E61" s="233"/>
      <c r="F61" s="233"/>
      <c r="G61" s="233"/>
      <c r="H61" s="233"/>
      <c r="I61" s="233"/>
      <c r="J61" s="233" t="s">
        <v>915</v>
      </c>
      <c r="K61" s="233"/>
      <c r="L61" s="233"/>
      <c r="M61" s="233"/>
      <c r="N61" s="226"/>
      <c r="O61" s="310"/>
      <c r="P61" s="311"/>
      <c r="Q61" s="233"/>
      <c r="R61" s="233"/>
      <c r="S61" s="311"/>
      <c r="T61" s="311"/>
      <c r="U61" s="310" t="s">
        <v>937</v>
      </c>
      <c r="V61" s="311"/>
    </row>
    <row r="62" spans="1:22" x14ac:dyDescent="0.25">
      <c r="D62" s="233"/>
      <c r="E62" s="233"/>
      <c r="F62" s="233"/>
      <c r="G62" s="233"/>
      <c r="H62" s="233"/>
      <c r="I62" s="233"/>
      <c r="J62" s="233" t="s">
        <v>916</v>
      </c>
      <c r="K62" s="233"/>
      <c r="L62" s="233"/>
      <c r="M62" s="233"/>
      <c r="N62" s="226"/>
      <c r="O62" s="310"/>
      <c r="P62" s="311"/>
      <c r="Q62" s="233"/>
      <c r="R62" s="233"/>
      <c r="S62" s="311"/>
      <c r="T62" s="311"/>
      <c r="U62" s="310" t="s">
        <v>938</v>
      </c>
      <c r="V62" s="311"/>
    </row>
    <row r="63" spans="1:22" x14ac:dyDescent="0.25">
      <c r="D63" s="233"/>
      <c r="E63" s="233"/>
      <c r="F63" s="311"/>
      <c r="G63" s="233"/>
      <c r="H63" s="233"/>
      <c r="I63" s="233"/>
      <c r="J63" s="233" t="s">
        <v>917</v>
      </c>
      <c r="K63" s="317"/>
      <c r="L63" s="317"/>
      <c r="M63" s="317"/>
      <c r="N63" s="226"/>
      <c r="O63" s="233"/>
      <c r="P63" s="233"/>
      <c r="Q63" s="233"/>
      <c r="R63" s="233"/>
      <c r="S63" s="233"/>
      <c r="T63" s="233"/>
      <c r="U63" s="233" t="s">
        <v>311</v>
      </c>
      <c r="V63" s="233"/>
    </row>
    <row r="64" spans="1:22" ht="15.75" thickBot="1" x14ac:dyDescent="0.3">
      <c r="D64" s="306" t="s">
        <v>1642</v>
      </c>
      <c r="E64" s="306"/>
      <c r="F64" s="326"/>
      <c r="G64" s="319"/>
      <c r="H64" s="319"/>
      <c r="I64" s="319"/>
      <c r="J64" s="361" t="s">
        <v>918</v>
      </c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</row>
    <row r="65" spans="1:22" x14ac:dyDescent="0.25">
      <c r="D65" s="233"/>
      <c r="E65" s="233"/>
      <c r="F65" s="233"/>
      <c r="G65" s="233"/>
      <c r="H65" s="317"/>
      <c r="I65" s="233"/>
      <c r="J65" s="317"/>
      <c r="K65" s="362"/>
      <c r="L65" s="317"/>
      <c r="M65" s="233"/>
      <c r="N65" s="317"/>
      <c r="O65" s="233"/>
      <c r="P65" s="362"/>
      <c r="Q65" s="233"/>
      <c r="R65" s="233"/>
      <c r="S65" s="233"/>
      <c r="T65" s="233"/>
      <c r="U65" s="233"/>
      <c r="V65" s="233"/>
    </row>
    <row r="66" spans="1:22" x14ac:dyDescent="0.25">
      <c r="D66" s="233"/>
      <c r="E66" s="233"/>
      <c r="F66" s="233"/>
      <c r="G66" s="233"/>
      <c r="H66" s="362"/>
      <c r="I66" s="233"/>
      <c r="J66" s="233"/>
      <c r="K66" s="362"/>
      <c r="L66" s="233"/>
      <c r="M66" s="233"/>
      <c r="N66" s="317"/>
      <c r="O66" s="233"/>
      <c r="P66" s="362"/>
      <c r="Q66" s="233"/>
      <c r="R66" s="233"/>
      <c r="S66" s="233"/>
      <c r="T66" s="233"/>
      <c r="U66" s="233"/>
      <c r="V66" s="233"/>
    </row>
    <row r="67" spans="1:22" x14ac:dyDescent="0.25">
      <c r="D67" s="233"/>
      <c r="E67" s="233"/>
      <c r="F67" s="233"/>
      <c r="G67" s="233"/>
      <c r="H67" s="233"/>
      <c r="I67" s="362"/>
      <c r="J67" s="362"/>
      <c r="K67" s="363"/>
      <c r="L67" s="363" t="s">
        <v>312</v>
      </c>
      <c r="M67" s="317"/>
      <c r="N67" s="364" t="s">
        <v>768</v>
      </c>
      <c r="O67" s="362"/>
      <c r="P67" s="233"/>
      <c r="Q67" s="362"/>
      <c r="R67" s="362"/>
      <c r="S67" s="362"/>
      <c r="T67" s="362"/>
      <c r="U67" s="362"/>
      <c r="V67" s="233"/>
    </row>
    <row r="68" spans="1:22" x14ac:dyDescent="0.25">
      <c r="D68" s="233"/>
      <c r="E68" s="233"/>
      <c r="F68" s="233"/>
      <c r="G68" s="233"/>
      <c r="H68" s="233"/>
      <c r="I68" s="362"/>
      <c r="J68" s="362"/>
      <c r="K68" s="362"/>
      <c r="L68" s="362"/>
      <c r="M68" s="362"/>
      <c r="N68" s="317"/>
      <c r="O68" s="362"/>
      <c r="P68" s="362"/>
      <c r="Q68" s="362"/>
      <c r="R68" s="362"/>
      <c r="S68" s="362"/>
      <c r="T68" s="362"/>
      <c r="U68" s="362"/>
      <c r="V68" s="362"/>
    </row>
    <row r="69" spans="1:22" x14ac:dyDescent="0.25">
      <c r="D69" s="226" t="s">
        <v>314</v>
      </c>
      <c r="E69" s="371" t="s">
        <v>315</v>
      </c>
      <c r="F69" s="2"/>
      <c r="G69" s="3"/>
      <c r="H69" s="4"/>
      <c r="I69" s="4"/>
      <c r="J69" s="5" t="s">
        <v>316</v>
      </c>
      <c r="K69" s="4"/>
      <c r="L69" s="4"/>
      <c r="M69" s="2"/>
      <c r="N69" s="6"/>
      <c r="O69" s="4"/>
      <c r="P69" s="5"/>
      <c r="Q69" s="5" t="s">
        <v>317</v>
      </c>
      <c r="R69" s="4"/>
      <c r="S69" s="4"/>
      <c r="T69" s="2"/>
      <c r="U69" s="7" t="s">
        <v>318</v>
      </c>
      <c r="V69" s="7" t="s">
        <v>319</v>
      </c>
    </row>
    <row r="70" spans="1:22" ht="15.75" thickBot="1" x14ac:dyDescent="0.3">
      <c r="A70" s="216" t="s">
        <v>552</v>
      </c>
      <c r="B70" s="216" t="s">
        <v>553</v>
      </c>
      <c r="D70" s="314" t="s">
        <v>320</v>
      </c>
      <c r="E70" s="367" t="s">
        <v>321</v>
      </c>
      <c r="F70" s="8"/>
      <c r="G70" s="306"/>
      <c r="H70" s="314" t="s">
        <v>322</v>
      </c>
      <c r="I70" s="9"/>
      <c r="J70" s="9" t="s">
        <v>323</v>
      </c>
      <c r="K70" s="9"/>
      <c r="L70" s="9" t="s">
        <v>324</v>
      </c>
      <c r="M70" s="9"/>
      <c r="N70" s="9"/>
      <c r="O70" s="9" t="s">
        <v>322</v>
      </c>
      <c r="P70" s="9"/>
      <c r="Q70" s="9" t="s">
        <v>323</v>
      </c>
      <c r="R70" s="9"/>
      <c r="S70" s="9" t="s">
        <v>324</v>
      </c>
      <c r="T70" s="8"/>
      <c r="U70" s="10" t="s">
        <v>325</v>
      </c>
      <c r="V70" s="10" t="s">
        <v>326</v>
      </c>
    </row>
    <row r="71" spans="1:22" x14ac:dyDescent="0.25">
      <c r="B71" s="368"/>
      <c r="D71" s="233">
        <v>1</v>
      </c>
      <c r="E71" s="353"/>
      <c r="F71" s="11"/>
      <c r="G71" s="233"/>
      <c r="H71" s="233"/>
      <c r="I71" s="15"/>
      <c r="J71" s="15"/>
      <c r="K71" s="15"/>
      <c r="L71" s="15"/>
      <c r="M71" s="11"/>
      <c r="N71" s="6"/>
      <c r="O71" s="11"/>
      <c r="P71" s="15"/>
      <c r="Q71" s="15"/>
      <c r="R71" s="15"/>
      <c r="S71" s="15"/>
      <c r="T71" s="15"/>
      <c r="U71" s="15"/>
      <c r="V71" s="15"/>
    </row>
    <row r="72" spans="1:22" x14ac:dyDescent="0.25">
      <c r="A72" s="368"/>
      <c r="B72" s="368"/>
      <c r="D72" s="233">
        <v>2</v>
      </c>
      <c r="E72" s="11" t="s">
        <v>327</v>
      </c>
      <c r="F72" s="233"/>
      <c r="G72" s="233"/>
      <c r="H72" s="233"/>
      <c r="I72" s="233"/>
      <c r="J72" s="233"/>
      <c r="K72" s="233"/>
      <c r="L72" s="233"/>
      <c r="M72" s="233"/>
      <c r="N72" s="226"/>
      <c r="O72" s="233"/>
      <c r="P72" s="233"/>
      <c r="Q72" s="233"/>
      <c r="R72" s="233"/>
      <c r="S72" s="233"/>
      <c r="T72" s="233"/>
      <c r="U72" s="233"/>
      <c r="V72" s="233"/>
    </row>
    <row r="73" spans="1:22" x14ac:dyDescent="0.25">
      <c r="A73" s="368" t="s">
        <v>248</v>
      </c>
      <c r="B73" s="368" t="s">
        <v>560</v>
      </c>
      <c r="D73" s="233">
        <v>3</v>
      </c>
      <c r="E73" s="359" t="s">
        <v>769</v>
      </c>
      <c r="F73" s="233"/>
      <c r="G73" s="233"/>
      <c r="H73" s="233">
        <f>+INDEX('2025 Org Base Case BDs'!B:B,MATCH('2025 GSLDSU Rate Class E-13c'!A73,'2025 Org Base Case BDs'!A:A,0))</f>
        <v>0</v>
      </c>
      <c r="I73" s="12" t="s">
        <v>329</v>
      </c>
      <c r="J73" s="27">
        <f>+INDEX('2024 Base Rates'!E:E,MATCH('2025 GSLDSU Rate Class E-13c'!B73,'2024 Base Rates'!D:D,0))</f>
        <v>84.73</v>
      </c>
      <c r="K73" s="233"/>
      <c r="L73" s="12">
        <f>+H73*J73</f>
        <v>0</v>
      </c>
      <c r="M73" s="233"/>
      <c r="N73" s="226"/>
      <c r="O73" s="233">
        <f>+INDEX('2025 Billing Determinants'!B:B,MATCH('2025 GSLDSU Rate Class E-13c'!A73,'2025 Billing Determinants'!A:A,0))</f>
        <v>0</v>
      </c>
      <c r="P73" s="12" t="s">
        <v>329</v>
      </c>
      <c r="Q73" s="19">
        <f>+INDEX('Unit Cost Rate Design Input'!D:D,MATCH('2025 GSLDSU Rate Class E-13c'!B73,'Unit Cost Rate Design Input'!B:B,0))</f>
        <v>128.44</v>
      </c>
      <c r="R73" s="233"/>
      <c r="S73" s="12">
        <f>+O73*Q73</f>
        <v>0</v>
      </c>
      <c r="T73" s="233"/>
      <c r="U73" s="12">
        <f t="shared" ref="U73:U75" si="13">+S73-L73</f>
        <v>0</v>
      </c>
      <c r="V73" s="21">
        <f t="shared" ref="V73:V75" si="14">+IF(U73=0,0,(S73-L73)/L73)</f>
        <v>0</v>
      </c>
    </row>
    <row r="74" spans="1:22" ht="16.5" x14ac:dyDescent="0.35">
      <c r="A74" s="368" t="s">
        <v>277</v>
      </c>
      <c r="B74" s="368" t="s">
        <v>561</v>
      </c>
      <c r="D74" s="233">
        <v>4</v>
      </c>
      <c r="E74" s="233" t="s">
        <v>1139</v>
      </c>
      <c r="F74" s="11"/>
      <c r="G74" s="233"/>
      <c r="H74" s="57">
        <f>+INDEX('2025 Org Base Case BDs'!B:B,MATCH('2025 GSLDSU Rate Class E-13c'!A74,'2025 Org Base Case BDs'!A:A,0))</f>
        <v>2587</v>
      </c>
      <c r="I74" s="12" t="s">
        <v>329</v>
      </c>
      <c r="J74" s="27">
        <f>+INDEX('2024 Base Rates'!E:E,MATCH('2025 GSLDSU Rate Class E-13c'!B74,'2024 Base Rates'!D:D,0))</f>
        <v>84.73</v>
      </c>
      <c r="K74" s="12"/>
      <c r="L74" s="58">
        <f>+H74*J74</f>
        <v>219196.51</v>
      </c>
      <c r="M74" s="13"/>
      <c r="N74" s="22"/>
      <c r="O74" s="57">
        <f>+INDEX('2025 Billing Determinants'!B:B,MATCH('2025 GSLDSU Rate Class E-13c'!A74,'2025 Billing Determinants'!A:A,0))</f>
        <v>2587</v>
      </c>
      <c r="P74" s="12" t="s">
        <v>329</v>
      </c>
      <c r="Q74" s="19">
        <f>+INDEX('Unit Cost Rate Design Input'!D:D,MATCH('2025 GSLDSU Rate Class E-13c'!B74,'Unit Cost Rate Design Input'!B:B,0))</f>
        <v>128.44</v>
      </c>
      <c r="R74" s="12"/>
      <c r="S74" s="58">
        <f>+O74*Q74</f>
        <v>332274.27999999997</v>
      </c>
      <c r="T74" s="233"/>
      <c r="U74" s="12">
        <f t="shared" si="13"/>
        <v>113077.76999999996</v>
      </c>
      <c r="V74" s="21">
        <f t="shared" si="14"/>
        <v>0.5158739525551751</v>
      </c>
    </row>
    <row r="75" spans="1:22" x14ac:dyDescent="0.25">
      <c r="A75" s="368"/>
      <c r="B75" s="368"/>
      <c r="D75" s="233">
        <v>5</v>
      </c>
      <c r="E75" s="11" t="s">
        <v>748</v>
      </c>
      <c r="F75" s="11"/>
      <c r="G75" s="233"/>
      <c r="H75" s="321">
        <f>+SUM(H73:H74)</f>
        <v>2587</v>
      </c>
      <c r="I75" s="12" t="s">
        <v>342</v>
      </c>
      <c r="J75" s="27"/>
      <c r="K75" s="12"/>
      <c r="L75" s="53">
        <f>+SUM(L73:L74)</f>
        <v>219196.51</v>
      </c>
      <c r="M75" s="12"/>
      <c r="N75" s="22"/>
      <c r="O75" s="321">
        <f>+SUM(O73:O74)</f>
        <v>2587</v>
      </c>
      <c r="P75" s="12" t="s">
        <v>342</v>
      </c>
      <c r="Q75" s="27"/>
      <c r="R75" s="12"/>
      <c r="S75" s="53">
        <f>+SUM(S73:S74)</f>
        <v>332274.27999999997</v>
      </c>
      <c r="T75" s="233"/>
      <c r="U75" s="12">
        <f t="shared" si="13"/>
        <v>113077.76999999996</v>
      </c>
      <c r="V75" s="21">
        <f t="shared" si="14"/>
        <v>0.5158739525551751</v>
      </c>
    </row>
    <row r="76" spans="1:22" x14ac:dyDescent="0.25">
      <c r="A76" s="368"/>
      <c r="B76" s="368"/>
      <c r="D76" s="233">
        <v>6</v>
      </c>
      <c r="E76" s="233"/>
      <c r="F76" s="233"/>
      <c r="G76" s="233"/>
      <c r="H76" s="233"/>
      <c r="I76" s="233"/>
      <c r="J76" s="233"/>
      <c r="K76" s="233"/>
      <c r="L76" s="13"/>
      <c r="M76" s="233"/>
      <c r="N76" s="226"/>
      <c r="O76" s="233"/>
      <c r="P76" s="233"/>
      <c r="Q76" s="233"/>
      <c r="R76" s="233"/>
      <c r="S76" s="13"/>
      <c r="T76" s="233"/>
      <c r="U76" s="233"/>
      <c r="V76" s="233"/>
    </row>
    <row r="77" spans="1:22" x14ac:dyDescent="0.25">
      <c r="A77" s="368"/>
      <c r="B77" s="368"/>
      <c r="D77" s="233">
        <v>7</v>
      </c>
      <c r="E77" s="11" t="s">
        <v>401</v>
      </c>
      <c r="F77" s="233"/>
      <c r="G77" s="233"/>
      <c r="H77" s="233"/>
      <c r="I77" s="233"/>
      <c r="J77" s="233"/>
      <c r="K77" s="233"/>
      <c r="L77" s="13"/>
      <c r="M77" s="233"/>
      <c r="N77" s="226"/>
      <c r="O77" s="233"/>
      <c r="P77" s="233"/>
      <c r="Q77" s="233"/>
      <c r="R77" s="233"/>
      <c r="S77" s="13"/>
      <c r="T77" s="233"/>
      <c r="U77" s="233"/>
      <c r="V77" s="233"/>
    </row>
    <row r="78" spans="1:22" x14ac:dyDescent="0.25">
      <c r="A78" s="368" t="s">
        <v>254</v>
      </c>
      <c r="B78" s="368" t="s">
        <v>562</v>
      </c>
      <c r="D78" s="233">
        <v>8</v>
      </c>
      <c r="E78" s="359" t="s">
        <v>769</v>
      </c>
      <c r="F78" s="233"/>
      <c r="G78" s="233"/>
      <c r="H78" s="233">
        <f>+INDEX('2025 Org Base Case BDs'!B:B,MATCH('2025 GSLDSU Rate Class E-13c'!A78,'2025 Org Base Case BDs'!A:A,0))</f>
        <v>0</v>
      </c>
      <c r="I78" s="12" t="s">
        <v>711</v>
      </c>
      <c r="J78" s="60">
        <f>+INDEX('2024 Base Rates'!E:E,MATCH('2025 GSLDSU Rate Class E-13c'!B78,'2024 Base Rates'!D:D,0))</f>
        <v>1.1509999999999999E-2</v>
      </c>
      <c r="K78" s="233"/>
      <c r="L78" s="12">
        <f>+H78*J78</f>
        <v>0</v>
      </c>
      <c r="M78" s="233"/>
      <c r="N78" s="226"/>
      <c r="O78" s="233">
        <f>+INDEX('2025 Billing Determinants'!B:B,MATCH('2025 GSLDSU Rate Class E-13c'!A78,'2025 Billing Determinants'!A:A,0))</f>
        <v>0</v>
      </c>
      <c r="P78" s="12" t="s">
        <v>711</v>
      </c>
      <c r="Q78" s="60">
        <f>+J78*(1.01)</f>
        <v>1.1625099999999999E-2</v>
      </c>
      <c r="R78" s="233"/>
      <c r="S78" s="12">
        <f>+O78*Q78</f>
        <v>0</v>
      </c>
      <c r="T78" s="233"/>
      <c r="U78" s="12">
        <f t="shared" ref="U78:U82" si="15">+S78-L78</f>
        <v>0</v>
      </c>
      <c r="V78" s="21">
        <f t="shared" ref="V78:V82" si="16">+IF(U78=0,0,(S78-L78)/L78)</f>
        <v>0</v>
      </c>
    </row>
    <row r="79" spans="1:22" x14ac:dyDescent="0.25">
      <c r="A79" s="368" t="s">
        <v>284</v>
      </c>
      <c r="B79" s="368" t="s">
        <v>563</v>
      </c>
      <c r="D79" s="233">
        <v>9</v>
      </c>
      <c r="E79" s="233" t="s">
        <v>1140</v>
      </c>
      <c r="F79" s="233"/>
      <c r="G79" s="233"/>
      <c r="H79" s="13">
        <f>+INDEX('2025 Org Base Case BDs'!B:B,MATCH('2025 GSLDSU Rate Class E-13c'!A79,'2025 Org Base Case BDs'!A:A,0))</f>
        <v>75916793</v>
      </c>
      <c r="I79" s="12" t="s">
        <v>711</v>
      </c>
      <c r="J79" s="60">
        <f>+INDEX('2024 Base Rates'!E:E,MATCH('2025 GSLDSU Rate Class E-13c'!B79,'2024 Base Rates'!D:D,0))</f>
        <v>1.3860000000000001E-2</v>
      </c>
      <c r="K79" s="233"/>
      <c r="L79" s="12">
        <f>+H79*J79</f>
        <v>1052206.75098</v>
      </c>
      <c r="M79" s="233"/>
      <c r="N79" s="226"/>
      <c r="O79" s="13">
        <f>+INDEX('2025 Billing Determinants'!B:B,MATCH('2025 GSLDSU Rate Class E-13c'!A79,'2025 Billing Determinants'!A:A,0))</f>
        <v>78130773</v>
      </c>
      <c r="P79" s="12" t="s">
        <v>711</v>
      </c>
      <c r="Q79" s="60">
        <f>+Q78*'Time of Day Inputs'!E8</f>
        <v>2.09272E-2</v>
      </c>
      <c r="R79" s="12"/>
      <c r="S79" s="12">
        <f>+O79*Q79</f>
        <v>1635058.3127256001</v>
      </c>
      <c r="T79" s="233"/>
      <c r="U79" s="12">
        <f t="shared" si="15"/>
        <v>582851.56174560008</v>
      </c>
      <c r="V79" s="21">
        <f t="shared" si="16"/>
        <v>0.55393254339296549</v>
      </c>
    </row>
    <row r="80" spans="1:22" x14ac:dyDescent="0.25">
      <c r="A80" s="368" t="s">
        <v>285</v>
      </c>
      <c r="B80" s="368" t="s">
        <v>564</v>
      </c>
      <c r="D80" s="233">
        <v>10</v>
      </c>
      <c r="E80" s="233" t="s">
        <v>1141</v>
      </c>
      <c r="F80" s="233"/>
      <c r="G80" s="13"/>
      <c r="H80" s="12">
        <f>+INDEX('2025 Org Base Case BDs'!B:B,MATCH('2025 GSLDSU Rate Class E-13c'!A80,'2025 Org Base Case BDs'!A:A,0))</f>
        <v>245054258</v>
      </c>
      <c r="I80" s="60" t="s">
        <v>711</v>
      </c>
      <c r="J80" s="60">
        <f>+INDEX('2024 Base Rates'!E:E,MATCH('2025 GSLDSU Rate Class E-13c'!B80,'2024 Base Rates'!D:D,0))</f>
        <v>1.078E-2</v>
      </c>
      <c r="K80" s="12"/>
      <c r="L80" s="12">
        <f>+H80*J80</f>
        <v>2641684.90124</v>
      </c>
      <c r="M80" s="226"/>
      <c r="N80" s="13"/>
      <c r="O80" s="12">
        <f>+INDEX('2025 Billing Determinants'!B:B,MATCH('2025 GSLDSU Rate Class E-13c'!A80,'2025 Billing Determinants'!A:A,0))</f>
        <v>126481852</v>
      </c>
      <c r="P80" s="60" t="s">
        <v>711</v>
      </c>
      <c r="Q80" s="60">
        <f>+Q79+'Time of Day Inputs'!F8</f>
        <v>1.02072E-2</v>
      </c>
      <c r="R80" s="12"/>
      <c r="S80" s="12">
        <f>+O80*Q80</f>
        <v>1291025.5597343999</v>
      </c>
      <c r="T80" s="233"/>
      <c r="U80" s="12">
        <f t="shared" si="15"/>
        <v>-1350659.3415056001</v>
      </c>
      <c r="V80" s="21">
        <f t="shared" si="16"/>
        <v>-0.51128707321285904</v>
      </c>
    </row>
    <row r="81" spans="1:22" ht="16.5" x14ac:dyDescent="0.35">
      <c r="A81" s="368" t="s">
        <v>909</v>
      </c>
      <c r="B81" s="368" t="s">
        <v>1510</v>
      </c>
      <c r="D81" s="233"/>
      <c r="E81" s="233" t="s">
        <v>1618</v>
      </c>
      <c r="F81" s="15"/>
      <c r="G81" s="233"/>
      <c r="H81" s="57">
        <v>0</v>
      </c>
      <c r="I81" s="12" t="s">
        <v>711</v>
      </c>
      <c r="J81" s="60">
        <v>0</v>
      </c>
      <c r="K81" s="12"/>
      <c r="L81" s="58">
        <f>+H81*J81</f>
        <v>0</v>
      </c>
      <c r="M81" s="12"/>
      <c r="N81" s="22"/>
      <c r="O81" s="57">
        <f>+INDEX('2025 Billing Determinants'!B:B,MATCH('2025 GSLDSU Rate Class E-13c'!A81,'2025 Billing Determinants'!A:A,0))</f>
        <v>116358426</v>
      </c>
      <c r="P81" s="12" t="s">
        <v>711</v>
      </c>
      <c r="Q81" s="60">
        <f>+Q80+'Time of Day Inputs'!G8</f>
        <v>7.1671999999999994E-3</v>
      </c>
      <c r="R81" s="233"/>
      <c r="S81" s="58">
        <f>+O81*Q81</f>
        <v>833964.11082719988</v>
      </c>
      <c r="T81" s="233"/>
      <c r="U81" s="12">
        <f t="shared" ref="U81" si="17">+S81-L81</f>
        <v>833964.11082719988</v>
      </c>
      <c r="V81" s="78" t="str">
        <f>IFERROR(+IF(U81=0,0,(S81-L81)/L81),"New Rate")</f>
        <v>New Rate</v>
      </c>
    </row>
    <row r="82" spans="1:22" x14ac:dyDescent="0.25">
      <c r="A82" s="368"/>
      <c r="B82" s="368"/>
      <c r="D82" s="233">
        <v>11</v>
      </c>
      <c r="E82" s="233" t="s">
        <v>336</v>
      </c>
      <c r="F82" s="15"/>
      <c r="G82" s="233"/>
      <c r="H82" s="13">
        <f>+SUM(H78:H80)</f>
        <v>320971051</v>
      </c>
      <c r="I82" s="12"/>
      <c r="J82" s="27"/>
      <c r="K82" s="12"/>
      <c r="L82" s="53">
        <f>+SUM(L78:L80)</f>
        <v>3693891.65222</v>
      </c>
      <c r="M82" s="12"/>
      <c r="N82" s="22"/>
      <c r="O82" s="13">
        <f>+SUM(O78:O81)</f>
        <v>320971051</v>
      </c>
      <c r="P82" s="12"/>
      <c r="Q82" s="27"/>
      <c r="R82" s="233"/>
      <c r="S82" s="53">
        <f>+SUM(S78:S81)</f>
        <v>3760047.9832872003</v>
      </c>
      <c r="T82" s="233"/>
      <c r="U82" s="12">
        <f t="shared" si="15"/>
        <v>66156.331067200284</v>
      </c>
      <c r="V82" s="21">
        <f t="shared" si="16"/>
        <v>1.7909656615791868E-2</v>
      </c>
    </row>
    <row r="83" spans="1:22" x14ac:dyDescent="0.25">
      <c r="A83" s="368"/>
      <c r="B83" s="368"/>
      <c r="D83" s="233">
        <v>12</v>
      </c>
      <c r="E83" s="233"/>
      <c r="F83" s="15"/>
      <c r="G83" s="233"/>
      <c r="H83" s="13"/>
      <c r="I83" s="12"/>
      <c r="J83" s="27"/>
      <c r="K83" s="12"/>
      <c r="L83" s="13"/>
      <c r="M83" s="12"/>
      <c r="N83" s="22"/>
      <c r="O83" s="13"/>
      <c r="P83" s="12"/>
      <c r="Q83" s="27"/>
      <c r="R83" s="233"/>
      <c r="S83" s="13"/>
      <c r="T83" s="233"/>
      <c r="U83" s="233"/>
      <c r="V83" s="23"/>
    </row>
    <row r="84" spans="1:22" x14ac:dyDescent="0.25">
      <c r="A84" s="368"/>
      <c r="B84" s="368"/>
      <c r="D84" s="233">
        <v>13</v>
      </c>
      <c r="E84" s="11" t="s">
        <v>408</v>
      </c>
      <c r="F84" s="233"/>
      <c r="G84" s="233"/>
      <c r="H84" s="233"/>
      <c r="I84" s="233"/>
      <c r="J84" s="27"/>
      <c r="K84" s="233"/>
      <c r="L84" s="13"/>
      <c r="M84" s="233"/>
      <c r="N84" s="226"/>
      <c r="O84" s="233"/>
      <c r="P84" s="233"/>
      <c r="Q84" s="27"/>
      <c r="R84" s="233"/>
      <c r="S84" s="13"/>
      <c r="T84" s="233"/>
      <c r="U84" s="233"/>
      <c r="V84" s="233"/>
    </row>
    <row r="85" spans="1:22" x14ac:dyDescent="0.25">
      <c r="A85" s="368" t="s">
        <v>256</v>
      </c>
      <c r="B85" s="368" t="s">
        <v>565</v>
      </c>
      <c r="D85" s="233">
        <v>14</v>
      </c>
      <c r="E85" s="11" t="s">
        <v>769</v>
      </c>
      <c r="F85" s="233"/>
      <c r="G85" s="233"/>
      <c r="H85" s="233">
        <f>+INDEX('2025 Org Base Case BDs'!B:B,MATCH('2025 GSLDSU Rate Class E-13c'!A85,'2025 Org Base Case BDs'!A:A,0))</f>
        <v>0</v>
      </c>
      <c r="I85" s="12" t="s">
        <v>711</v>
      </c>
      <c r="J85" s="60">
        <f>+INDEX('2024 Base Rates'!E:E,MATCH('2025 GSLDSU Rate Class E-13c'!B85,'2024 Base Rates'!D:D,0))</f>
        <v>8.5699999999999995E-3</v>
      </c>
      <c r="K85" s="233"/>
      <c r="L85" s="13">
        <f>+H85*J85</f>
        <v>0</v>
      </c>
      <c r="M85" s="233"/>
      <c r="N85" s="226"/>
      <c r="O85" s="233">
        <f>+INDEX('2025 Billing Determinants'!B:B,MATCH('2025 GSLDSU Rate Class E-13c'!A85,'2025 Billing Determinants'!A:A,0))</f>
        <v>0</v>
      </c>
      <c r="P85" s="12" t="s">
        <v>711</v>
      </c>
      <c r="Q85" s="60">
        <f>+J85*1.01</f>
        <v>8.6556999999999988E-3</v>
      </c>
      <c r="R85" s="233"/>
      <c r="S85" s="13">
        <f>+O85*Q85</f>
        <v>0</v>
      </c>
      <c r="T85" s="233"/>
      <c r="U85" s="12">
        <f t="shared" ref="U85:U89" si="18">+S85-L85</f>
        <v>0</v>
      </c>
      <c r="V85" s="21">
        <f t="shared" ref="V85:V89" si="19">+IF(U85=0,0,(S85-L85)/L85)</f>
        <v>0</v>
      </c>
    </row>
    <row r="86" spans="1:22" x14ac:dyDescent="0.25">
      <c r="A86" s="368" t="s">
        <v>289</v>
      </c>
      <c r="B86" s="368" t="s">
        <v>566</v>
      </c>
      <c r="D86" s="233">
        <v>15</v>
      </c>
      <c r="E86" s="233" t="s">
        <v>1140</v>
      </c>
      <c r="F86" s="233"/>
      <c r="G86" s="233"/>
      <c r="H86" s="13">
        <f>+INDEX('2025 Org Base Case BDs'!B:B,MATCH('2025 GSLDSU Rate Class E-13c'!A86,'2025 Org Base Case BDs'!A:A,0))</f>
        <v>51336976</v>
      </c>
      <c r="I86" s="12" t="s">
        <v>711</v>
      </c>
      <c r="J86" s="60">
        <f>+INDEX('2024 Base Rates'!E:E,MATCH('2025 GSLDSU Rate Class E-13c'!B86,'2024 Base Rates'!D:D,0))</f>
        <v>8.5699999999999995E-3</v>
      </c>
      <c r="K86" s="233"/>
      <c r="L86" s="12">
        <f t="shared" ref="L86:L87" si="20">+H86*J86</f>
        <v>439957.88431999995</v>
      </c>
      <c r="M86" s="233"/>
      <c r="N86" s="226"/>
      <c r="O86" s="13">
        <f>+INDEX('2025 Billing Determinants'!B:B,MATCH('2025 GSLDSU Rate Class E-13c'!A86,'2025 Billing Determinants'!A:A,0))</f>
        <v>50383603</v>
      </c>
      <c r="P86" s="12" t="s">
        <v>711</v>
      </c>
      <c r="Q86" s="60">
        <f>+Q85</f>
        <v>8.6556999999999988E-3</v>
      </c>
      <c r="R86" s="233"/>
      <c r="S86" s="12">
        <f t="shared" ref="S86:S87" si="21">+O86*Q86</f>
        <v>436105.35248709994</v>
      </c>
      <c r="T86" s="12"/>
      <c r="U86" s="12">
        <f t="shared" si="18"/>
        <v>-3852.5318329000147</v>
      </c>
      <c r="V86" s="21">
        <f t="shared" si="19"/>
        <v>-8.7565923244096368E-3</v>
      </c>
    </row>
    <row r="87" spans="1:22" x14ac:dyDescent="0.25">
      <c r="A87" s="368" t="s">
        <v>290</v>
      </c>
      <c r="B87" s="368" t="s">
        <v>567</v>
      </c>
      <c r="D87" s="233">
        <v>16</v>
      </c>
      <c r="E87" s="233" t="s">
        <v>1141</v>
      </c>
      <c r="F87" s="233"/>
      <c r="G87" s="233"/>
      <c r="H87" s="13">
        <f>+INDEX('2025 Org Base Case BDs'!B:B,MATCH('2025 GSLDSU Rate Class E-13c'!A87,'2025 Org Base Case BDs'!A:A,0))</f>
        <v>155645208</v>
      </c>
      <c r="I87" s="12" t="s">
        <v>711</v>
      </c>
      <c r="J87" s="60">
        <f>+INDEX('2024 Base Rates'!E:E,MATCH('2025 GSLDSU Rate Class E-13c'!B87,'2024 Base Rates'!D:D,0))</f>
        <v>8.5699999999999995E-3</v>
      </c>
      <c r="K87" s="233"/>
      <c r="L87" s="12">
        <f t="shared" si="20"/>
        <v>1333879.4325599999</v>
      </c>
      <c r="M87" s="233"/>
      <c r="N87" s="226"/>
      <c r="O87" s="13">
        <f>+INDEX('2025 Billing Determinants'!B:B,MATCH('2025 GSLDSU Rate Class E-13c'!A87,'2025 Billing Determinants'!A:A,0))</f>
        <v>81563400</v>
      </c>
      <c r="P87" s="12" t="s">
        <v>711</v>
      </c>
      <c r="Q87" s="60">
        <f t="shared" ref="Q87:Q88" si="22">+Q86</f>
        <v>8.6556999999999988E-3</v>
      </c>
      <c r="R87" s="233"/>
      <c r="S87" s="12">
        <f t="shared" si="21"/>
        <v>705988.32137999986</v>
      </c>
      <c r="T87" s="12"/>
      <c r="U87" s="12">
        <f t="shared" si="18"/>
        <v>-627891.11118000001</v>
      </c>
      <c r="V87" s="21">
        <f t="shared" si="19"/>
        <v>-0.4707255362465127</v>
      </c>
    </row>
    <row r="88" spans="1:22" ht="16.5" x14ac:dyDescent="0.35">
      <c r="A88" s="368" t="s">
        <v>910</v>
      </c>
      <c r="B88" s="368" t="s">
        <v>1511</v>
      </c>
      <c r="D88" s="233"/>
      <c r="E88" s="233" t="s">
        <v>1618</v>
      </c>
      <c r="F88" s="233"/>
      <c r="G88" s="233"/>
      <c r="H88" s="57">
        <v>0</v>
      </c>
      <c r="I88" s="12" t="s">
        <v>711</v>
      </c>
      <c r="J88" s="60">
        <v>0</v>
      </c>
      <c r="K88" s="233"/>
      <c r="L88" s="12">
        <f t="shared" ref="L88" si="23">+H88*J88</f>
        <v>0</v>
      </c>
      <c r="M88" s="233"/>
      <c r="N88" s="226"/>
      <c r="O88" s="57">
        <f>+INDEX('2025 Billing Determinants'!B:B,MATCH('2025 GSLDSU Rate Class E-13c'!A88,'2025 Billing Determinants'!A:A,0))</f>
        <v>75035181</v>
      </c>
      <c r="P88" s="12" t="s">
        <v>711</v>
      </c>
      <c r="Q88" s="60">
        <f t="shared" si="22"/>
        <v>8.6556999999999988E-3</v>
      </c>
      <c r="R88" s="233"/>
      <c r="S88" s="12">
        <f t="shared" ref="S88" si="24">+O88*Q88</f>
        <v>649482.01618169993</v>
      </c>
      <c r="T88" s="233"/>
      <c r="U88" s="12">
        <f t="shared" ref="U88" si="25">+S88-L88</f>
        <v>649482.01618169993</v>
      </c>
      <c r="V88" s="21" t="e">
        <f t="shared" ref="V88" si="26">+IF(U88=0,0,(S88-L88)/L88)</f>
        <v>#DIV/0!</v>
      </c>
    </row>
    <row r="89" spans="1:22" x14ac:dyDescent="0.25">
      <c r="A89" s="368"/>
      <c r="B89" s="368"/>
      <c r="D89" s="233">
        <v>17</v>
      </c>
      <c r="E89" s="11" t="s">
        <v>748</v>
      </c>
      <c r="F89" s="15"/>
      <c r="G89" s="233"/>
      <c r="H89" s="13">
        <f>+SUM(H85:H88)</f>
        <v>206982184</v>
      </c>
      <c r="I89" s="12" t="s">
        <v>711</v>
      </c>
      <c r="J89" s="27"/>
      <c r="K89" s="12"/>
      <c r="L89" s="54">
        <f>+SUM(L85:L88)</f>
        <v>1773837.3168799998</v>
      </c>
      <c r="M89" s="12"/>
      <c r="N89" s="22"/>
      <c r="O89" s="13">
        <f>+SUM(O85:O88)</f>
        <v>206982184</v>
      </c>
      <c r="P89" s="12" t="s">
        <v>711</v>
      </c>
      <c r="Q89" s="19"/>
      <c r="R89" s="233"/>
      <c r="S89" s="54">
        <f>+SUM(S85:S88)</f>
        <v>1791575.6900487999</v>
      </c>
      <c r="T89" s="233"/>
      <c r="U89" s="12">
        <f t="shared" si="18"/>
        <v>17738.373168800026</v>
      </c>
      <c r="V89" s="21">
        <f t="shared" si="19"/>
        <v>1.0000000000000016E-2</v>
      </c>
    </row>
    <row r="90" spans="1:22" x14ac:dyDescent="0.25">
      <c r="A90" s="368"/>
      <c r="B90" s="368"/>
      <c r="D90" s="233">
        <v>18</v>
      </c>
      <c r="E90" s="233"/>
      <c r="F90" s="233"/>
      <c r="G90" s="233"/>
      <c r="H90" s="233"/>
      <c r="I90" s="233"/>
      <c r="J90" s="233"/>
      <c r="K90" s="233"/>
      <c r="L90" s="233"/>
      <c r="M90" s="233"/>
      <c r="N90" s="226"/>
      <c r="O90" s="233"/>
      <c r="P90" s="233"/>
      <c r="Q90" s="233"/>
      <c r="R90" s="233"/>
      <c r="S90" s="233"/>
      <c r="T90" s="233"/>
      <c r="U90" s="233"/>
      <c r="V90" s="233"/>
    </row>
    <row r="91" spans="1:22" x14ac:dyDescent="0.25">
      <c r="A91" s="368"/>
      <c r="B91" s="368"/>
      <c r="D91" s="233">
        <v>19</v>
      </c>
      <c r="E91" s="11" t="s">
        <v>412</v>
      </c>
      <c r="F91" s="233"/>
      <c r="G91" s="233"/>
      <c r="H91" s="233"/>
      <c r="I91" s="233"/>
      <c r="J91" s="233"/>
      <c r="K91" s="233"/>
      <c r="L91" s="233"/>
      <c r="M91" s="233"/>
      <c r="N91" s="226"/>
      <c r="O91" s="233"/>
      <c r="P91" s="233"/>
      <c r="Q91" s="233"/>
      <c r="R91" s="233"/>
      <c r="S91" s="233"/>
      <c r="T91" s="233"/>
      <c r="U91" s="233"/>
      <c r="V91" s="233"/>
    </row>
    <row r="92" spans="1:22" x14ac:dyDescent="0.25">
      <c r="A92" s="368" t="s">
        <v>255</v>
      </c>
      <c r="B92" s="368" t="s">
        <v>595</v>
      </c>
      <c r="D92" s="233">
        <v>20</v>
      </c>
      <c r="E92" s="359" t="s">
        <v>769</v>
      </c>
      <c r="F92" s="233"/>
      <c r="G92" s="233"/>
      <c r="H92" s="233">
        <f>+INDEX('2025 Org Base Case BDs'!B:B,MATCH('2025 GSLDSU Rate Class E-13c'!A92,'2025 Org Base Case BDs'!A:A,0))</f>
        <v>0</v>
      </c>
      <c r="I92" s="12" t="s">
        <v>730</v>
      </c>
      <c r="J92" s="27">
        <f>+INDEX('2024 Base Rates'!E:E,MATCH('2025 GSLDSU Rate Class E-13c'!B92,'2024 Base Rates'!D:D,0))</f>
        <v>9.2899999999999991</v>
      </c>
      <c r="K92" s="44"/>
      <c r="L92" s="12">
        <f>+H92*J92</f>
        <v>0</v>
      </c>
      <c r="M92" s="233"/>
      <c r="N92" s="226"/>
      <c r="O92" s="233">
        <f>+INDEX('2025 Billing Determinants'!B:B,MATCH('2025 GSLDSU Rate Class E-13c'!A92,'2025 Billing Determinants'!A:A,0))</f>
        <v>0</v>
      </c>
      <c r="P92" s="12" t="s">
        <v>730</v>
      </c>
      <c r="Q92" s="19">
        <f>+INDEX('Unit Cost Rate Design Input'!D:D,MATCH('2025 GSLDSU Rate Class E-13c'!B92,'Unit Cost Rate Design Input'!B:B,0))*(1+$B$7)</f>
        <v>12.771549918847711</v>
      </c>
      <c r="R92" s="233"/>
      <c r="S92" s="12">
        <f>+O92*Q92</f>
        <v>0</v>
      </c>
      <c r="T92" s="233"/>
      <c r="U92" s="12">
        <f t="shared" ref="U92:U95" si="27">+S92-L92</f>
        <v>0</v>
      </c>
      <c r="V92" s="21">
        <f t="shared" ref="V92:V95" si="28">+IF(U92=0,0,(S92-L92)/L92)</f>
        <v>0</v>
      </c>
    </row>
    <row r="93" spans="1:22" x14ac:dyDescent="0.25">
      <c r="A93" s="368" t="s">
        <v>286</v>
      </c>
      <c r="B93" s="368" t="s">
        <v>598</v>
      </c>
      <c r="D93" s="233">
        <v>21</v>
      </c>
      <c r="E93" s="233" t="s">
        <v>1142</v>
      </c>
      <c r="F93" s="233"/>
      <c r="G93" s="233"/>
      <c r="H93" s="13">
        <f>+INDEX('2025 Org Base Case BDs'!B:B,MATCH('2025 GSLDSU Rate Class E-13c'!A93,'2025 Org Base Case BDs'!A:A,0))</f>
        <v>516200</v>
      </c>
      <c r="I93" s="12" t="s">
        <v>730</v>
      </c>
      <c r="J93" s="27">
        <f>+INDEX('2024 Base Rates'!E:E,MATCH('2025 GSLDSU Rate Class E-13c'!B93,'2024 Base Rates'!D:D,0))</f>
        <v>2.95</v>
      </c>
      <c r="K93" s="44"/>
      <c r="L93" s="12">
        <f t="shared" ref="L93:L94" si="29">+H93*J93</f>
        <v>1522790</v>
      </c>
      <c r="M93" s="12"/>
      <c r="N93" s="22"/>
      <c r="O93" s="12">
        <f>+INDEX('2025 Billing Determinants'!B:B,MATCH('2025 GSLDSU Rate Class E-13c'!A93,'2025 Billing Determinants'!A:A,0))</f>
        <v>516200</v>
      </c>
      <c r="P93" s="12" t="s">
        <v>730</v>
      </c>
      <c r="Q93" s="19">
        <f>+INDEX('Unit Cost Rate Design Input'!D:D,MATCH('2025 GSLDSU Rate Class E-13c'!B93,'Unit Cost Rate Design Input'!B:B,0))*(1+$B$7)</f>
        <v>1.5513907263385562</v>
      </c>
      <c r="R93" s="233"/>
      <c r="S93" s="12">
        <f t="shared" ref="S93:S94" si="30">+O93*Q93</f>
        <v>800827.89293596277</v>
      </c>
      <c r="T93" s="12"/>
      <c r="U93" s="12">
        <f t="shared" si="27"/>
        <v>-721962.10706403723</v>
      </c>
      <c r="V93" s="21">
        <f t="shared" si="28"/>
        <v>-0.47410483852930296</v>
      </c>
    </row>
    <row r="94" spans="1:22" ht="16.5" x14ac:dyDescent="0.35">
      <c r="A94" s="368" t="s">
        <v>287</v>
      </c>
      <c r="B94" s="368" t="s">
        <v>599</v>
      </c>
      <c r="D94" s="233">
        <v>22</v>
      </c>
      <c r="E94" s="233" t="s">
        <v>771</v>
      </c>
      <c r="F94" s="233"/>
      <c r="G94" s="233"/>
      <c r="H94" s="57">
        <f>+INDEX('2025 Org Base Case BDs'!B:B,MATCH('2025 GSLDSU Rate Class E-13c'!A94,'2025 Org Base Case BDs'!A:A,0))</f>
        <v>482200</v>
      </c>
      <c r="I94" s="12" t="s">
        <v>732</v>
      </c>
      <c r="J94" s="27">
        <f>+INDEX('2024 Base Rates'!E:E,MATCH('2025 GSLDSU Rate Class E-13c'!B94,'2024 Base Rates'!D:D,0))</f>
        <v>6.31</v>
      </c>
      <c r="K94" s="44"/>
      <c r="L94" s="12">
        <f t="shared" si="29"/>
        <v>3042682</v>
      </c>
      <c r="M94" s="233"/>
      <c r="N94" s="226"/>
      <c r="O94" s="58">
        <f>+INDEX('2025 Billing Determinants'!B:B,MATCH('2025 GSLDSU Rate Class E-13c'!A94,'2025 Billing Determinants'!A:A,0))</f>
        <v>482200</v>
      </c>
      <c r="P94" s="12" t="s">
        <v>732</v>
      </c>
      <c r="Q94" s="19">
        <f>+INDEX('Unit Cost Rate Design Input'!D:D,MATCH('2025 GSLDSU Rate Class E-13c'!B94,'Unit Cost Rate Design Input'!B:B,0))*(1+$B$7)</f>
        <v>11.220159192509154</v>
      </c>
      <c r="R94" s="233"/>
      <c r="S94" s="12">
        <f t="shared" si="30"/>
        <v>5410360.7626279145</v>
      </c>
      <c r="T94" s="233"/>
      <c r="U94" s="12">
        <f t="shared" si="27"/>
        <v>2367678.7626279145</v>
      </c>
      <c r="V94" s="21">
        <f t="shared" si="28"/>
        <v>0.77815518106325754</v>
      </c>
    </row>
    <row r="95" spans="1:22" x14ac:dyDescent="0.25">
      <c r="A95" s="368"/>
      <c r="B95" s="368"/>
      <c r="D95" s="233">
        <v>23</v>
      </c>
      <c r="E95" s="233" t="s">
        <v>336</v>
      </c>
      <c r="F95" s="233"/>
      <c r="G95" s="233"/>
      <c r="H95" s="13">
        <f>+SUM(H92:H93)</f>
        <v>516200</v>
      </c>
      <c r="I95" s="12"/>
      <c r="J95" s="19"/>
      <c r="K95" s="44"/>
      <c r="L95" s="54">
        <f>+SUM(L92:L94)</f>
        <v>4565472</v>
      </c>
      <c r="M95" s="233"/>
      <c r="N95" s="226"/>
      <c r="O95" s="13">
        <f>+SUM(O92:O93)</f>
        <v>516200</v>
      </c>
      <c r="P95" s="12"/>
      <c r="Q95" s="19"/>
      <c r="R95" s="233"/>
      <c r="S95" s="54">
        <f>+SUM(S92:S94)</f>
        <v>6211188.655563877</v>
      </c>
      <c r="T95" s="233"/>
      <c r="U95" s="12">
        <f t="shared" si="27"/>
        <v>1645716.655563877</v>
      </c>
      <c r="V95" s="21">
        <f t="shared" si="28"/>
        <v>0.36047021108964789</v>
      </c>
    </row>
    <row r="96" spans="1:22" x14ac:dyDescent="0.25">
      <c r="A96" s="368"/>
      <c r="B96" s="368"/>
      <c r="D96" s="233">
        <v>24</v>
      </c>
      <c r="E96" s="233"/>
      <c r="F96" s="233"/>
      <c r="G96" s="233"/>
      <c r="H96" s="12"/>
      <c r="I96" s="12"/>
      <c r="J96" s="19"/>
      <c r="K96" s="44"/>
      <c r="L96" s="12"/>
      <c r="M96" s="233"/>
      <c r="N96" s="226"/>
      <c r="O96" s="12"/>
      <c r="P96" s="12"/>
      <c r="Q96" s="19"/>
      <c r="R96" s="233"/>
      <c r="S96" s="12"/>
      <c r="T96" s="233"/>
      <c r="U96" s="233"/>
      <c r="V96" s="23"/>
    </row>
    <row r="97" spans="1:22" x14ac:dyDescent="0.25">
      <c r="A97" s="368"/>
      <c r="B97" s="368"/>
      <c r="D97" s="233">
        <v>25</v>
      </c>
      <c r="E97" s="38" t="s">
        <v>419</v>
      </c>
      <c r="F97" s="233"/>
      <c r="G97" s="233"/>
      <c r="H97" s="233"/>
      <c r="I97" s="233"/>
      <c r="J97" s="233"/>
      <c r="K97" s="233"/>
      <c r="L97" s="13"/>
      <c r="M97" s="233"/>
      <c r="N97" s="226"/>
      <c r="O97" s="233"/>
      <c r="P97" s="233"/>
      <c r="Q97" s="233"/>
      <c r="R97" s="233"/>
      <c r="S97" s="13"/>
      <c r="T97" s="233"/>
      <c r="U97" s="233"/>
      <c r="V97" s="233"/>
    </row>
    <row r="98" spans="1:22" x14ac:dyDescent="0.25">
      <c r="A98" s="368" t="s">
        <v>257</v>
      </c>
      <c r="B98" s="368" t="s">
        <v>596</v>
      </c>
      <c r="D98" s="233">
        <v>26</v>
      </c>
      <c r="E98" s="38" t="s">
        <v>1143</v>
      </c>
      <c r="F98" s="233"/>
      <c r="G98" s="233"/>
      <c r="H98" s="233">
        <f>+INDEX('2025 Org Base Case BDs'!B:B,MATCH('2025 GSLDSU Rate Class E-13c'!A98,'2025 Org Base Case BDs'!A:A,0))</f>
        <v>0</v>
      </c>
      <c r="I98" s="233" t="s">
        <v>730</v>
      </c>
      <c r="J98" s="27">
        <f>+INDEX('2024 Base Rates'!E:E,MATCH('2025 GSLDSU Rate Class E-13c'!B98,'2024 Base Rates'!D:D,0))</f>
        <v>0.86</v>
      </c>
      <c r="K98" s="233"/>
      <c r="L98" s="13">
        <f>+H98*J98</f>
        <v>0</v>
      </c>
      <c r="M98" s="233"/>
      <c r="N98" s="226"/>
      <c r="O98" s="233">
        <f>+INDEX('2025 Billing Determinants'!B:B,MATCH('2025 GSLDSU Rate Class E-13c'!A98,'2025 Billing Determinants'!A:A,0))</f>
        <v>0</v>
      </c>
      <c r="P98" s="233" t="s">
        <v>730</v>
      </c>
      <c r="Q98" s="19">
        <f>+INDEX('Unit Cost Rate Design Input'!D:D,MATCH('2025 GSLDSU Rate Class E-13c'!B98,'Unit Cost Rate Design Input'!B:B,0))*(1+$B$7)</f>
        <v>1.3006609119808097</v>
      </c>
      <c r="R98" s="233"/>
      <c r="S98" s="13">
        <f>+O98*Q98</f>
        <v>0</v>
      </c>
      <c r="T98" s="233"/>
      <c r="U98" s="12">
        <f t="shared" ref="U98:U104" si="31">+S98-L98</f>
        <v>0</v>
      </c>
      <c r="V98" s="21">
        <f t="shared" ref="V98:V104" si="32">+IF(U98=0,0,(S98-L98)/L98)</f>
        <v>0</v>
      </c>
    </row>
    <row r="99" spans="1:22" x14ac:dyDescent="0.25">
      <c r="A99" s="368" t="s">
        <v>258</v>
      </c>
      <c r="B99" s="368" t="s">
        <v>597</v>
      </c>
      <c r="D99" s="233">
        <v>27</v>
      </c>
      <c r="E99" s="38" t="s">
        <v>1144</v>
      </c>
      <c r="F99" s="233"/>
      <c r="G99" s="233"/>
      <c r="H99" s="233">
        <f>+INDEX('2025 Org Base Case BDs'!B:B,MATCH('2025 GSLDSU Rate Class E-13c'!A99,'2025 Org Base Case BDs'!A:A,0))</f>
        <v>0</v>
      </c>
      <c r="I99" s="233" t="s">
        <v>756</v>
      </c>
      <c r="J99" s="27">
        <f>+INDEX('2024 Base Rates'!E:E,MATCH('2025 GSLDSU Rate Class E-13c'!B99,'2024 Base Rates'!D:D,0))</f>
        <v>1.1200000000000001</v>
      </c>
      <c r="K99" s="233" t="s">
        <v>757</v>
      </c>
      <c r="L99" s="13">
        <f t="shared" ref="L99:L103" si="33">+H99*J99</f>
        <v>0</v>
      </c>
      <c r="M99" s="233"/>
      <c r="N99" s="226"/>
      <c r="O99" s="233">
        <f>+INDEX('2025 Billing Determinants'!B:B,MATCH('2025 GSLDSU Rate Class E-13c'!A99,'2025 Billing Determinants'!A:A,0))</f>
        <v>0</v>
      </c>
      <c r="P99" s="233" t="s">
        <v>756</v>
      </c>
      <c r="Q99" s="19">
        <f>+INDEX('Unit Cost Rate Design Input'!D:D,MATCH('2025 GSLDSU Rate Class E-13c'!B99,'Unit Cost Rate Design Input'!B:B,0))*(1+$B$7)</f>
        <v>1.535720112941197</v>
      </c>
      <c r="R99" s="233"/>
      <c r="S99" s="13">
        <f t="shared" ref="S99:S103" si="34">+O99*Q99</f>
        <v>0</v>
      </c>
      <c r="T99" s="233"/>
      <c r="U99" s="12">
        <f t="shared" si="31"/>
        <v>0</v>
      </c>
      <c r="V99" s="21">
        <f t="shared" si="32"/>
        <v>0</v>
      </c>
    </row>
    <row r="100" spans="1:22" x14ac:dyDescent="0.25">
      <c r="A100" s="368" t="s">
        <v>259</v>
      </c>
      <c r="B100" s="368" t="s">
        <v>600</v>
      </c>
      <c r="D100" s="233">
        <v>28</v>
      </c>
      <c r="E100" s="38" t="s">
        <v>1145</v>
      </c>
      <c r="F100" s="233"/>
      <c r="G100" s="233"/>
      <c r="H100" s="233">
        <f>+INDEX('2025 Org Base Case BDs'!B:B,MATCH('2025 GSLDSU Rate Class E-13c'!A100,'2025 Org Base Case BDs'!A:A,0))</f>
        <v>0</v>
      </c>
      <c r="I100" s="233" t="s">
        <v>756</v>
      </c>
      <c r="J100" s="27">
        <f>+INDEX('2024 Base Rates'!E:E,MATCH('2025 GSLDSU Rate Class E-13c'!B100,'2024 Base Rates'!D:D,0))</f>
        <v>0.44</v>
      </c>
      <c r="K100" s="233" t="s">
        <v>759</v>
      </c>
      <c r="L100" s="13">
        <f t="shared" si="33"/>
        <v>0</v>
      </c>
      <c r="M100" s="233"/>
      <c r="N100" s="226"/>
      <c r="O100" s="233">
        <f>+INDEX('2025 Billing Determinants'!B:B,MATCH('2025 GSLDSU Rate Class E-13c'!A100,'2025 Billing Determinants'!A:A,0))</f>
        <v>0</v>
      </c>
      <c r="P100" s="233" t="s">
        <v>756</v>
      </c>
      <c r="Q100" s="19">
        <f>+INDEX('Unit Cost Rate Design Input'!D:D,MATCH('2025 GSLDSU Rate Class E-13c'!B100,'Unit Cost Rate Design Input'!B:B,0))*(1+$B$7)</f>
        <v>0.61115392249700706</v>
      </c>
      <c r="R100" s="233"/>
      <c r="S100" s="13">
        <f t="shared" si="34"/>
        <v>0</v>
      </c>
      <c r="T100" s="233"/>
      <c r="U100" s="12">
        <f t="shared" si="31"/>
        <v>0</v>
      </c>
      <c r="V100" s="21">
        <f t="shared" si="32"/>
        <v>0</v>
      </c>
    </row>
    <row r="101" spans="1:22" x14ac:dyDescent="0.25">
      <c r="A101" s="368" t="s">
        <v>291</v>
      </c>
      <c r="B101" s="368" t="s">
        <v>601</v>
      </c>
      <c r="D101" s="233">
        <v>29</v>
      </c>
      <c r="E101" s="359" t="s">
        <v>795</v>
      </c>
      <c r="F101" s="233"/>
      <c r="G101" s="233"/>
      <c r="H101" s="13">
        <f>+INDEX('2025 Org Base Case BDs'!B:B,MATCH('2025 GSLDSU Rate Class E-13c'!A101,'2025 Org Base Case BDs'!A:A,0))</f>
        <v>1691241.73</v>
      </c>
      <c r="I101" s="12" t="s">
        <v>730</v>
      </c>
      <c r="J101" s="27">
        <f>+INDEX('2024 Base Rates'!E:E,MATCH('2025 GSLDSU Rate Class E-13c'!B101,'2024 Base Rates'!D:D,0))</f>
        <v>0.86</v>
      </c>
      <c r="K101" s="44"/>
      <c r="L101" s="12">
        <f t="shared" si="33"/>
        <v>1454467.8877999999</v>
      </c>
      <c r="M101" s="233"/>
      <c r="N101" s="226"/>
      <c r="O101" s="13">
        <f>+INDEX('2025 Billing Determinants'!B:B,MATCH('2025 GSLDSU Rate Class E-13c'!A101,'2025 Billing Determinants'!A:A,0))</f>
        <v>1691241.73</v>
      </c>
      <c r="P101" s="12" t="s">
        <v>730</v>
      </c>
      <c r="Q101" s="19">
        <f>+INDEX('Unit Cost Rate Design Input'!D:D,MATCH('2025 GSLDSU Rate Class E-13c'!B101,'Unit Cost Rate Design Input'!B:B,0))*(1+$B$7)</f>
        <v>1.3006609119808097</v>
      </c>
      <c r="R101" s="44"/>
      <c r="S101" s="12">
        <f t="shared" si="34"/>
        <v>2199732.0109218024</v>
      </c>
      <c r="T101" s="12"/>
      <c r="U101" s="12">
        <f t="shared" si="31"/>
        <v>745264.12312180246</v>
      </c>
      <c r="V101" s="21">
        <f t="shared" si="32"/>
        <v>0.5123964092800114</v>
      </c>
    </row>
    <row r="102" spans="1:22" x14ac:dyDescent="0.25">
      <c r="A102" s="368" t="s">
        <v>292</v>
      </c>
      <c r="B102" s="368" t="s">
        <v>602</v>
      </c>
      <c r="D102" s="233">
        <v>30</v>
      </c>
      <c r="E102" s="359" t="s">
        <v>797</v>
      </c>
      <c r="F102" s="15"/>
      <c r="G102" s="233"/>
      <c r="H102" s="13">
        <f>+INDEX('2025 Org Base Case BDs'!B:B,MATCH('2025 GSLDSU Rate Class E-13c'!A102,'2025 Org Base Case BDs'!A:A,0))</f>
        <v>355048.34</v>
      </c>
      <c r="I102" s="12" t="s">
        <v>756</v>
      </c>
      <c r="J102" s="27">
        <f>+INDEX('2024 Base Rates'!E:E,MATCH('2025 GSLDSU Rate Class E-13c'!B102,'2024 Base Rates'!D:D,0))</f>
        <v>1.1200000000000001</v>
      </c>
      <c r="K102" s="44" t="s">
        <v>757</v>
      </c>
      <c r="L102" s="12">
        <f t="shared" si="33"/>
        <v>397654.14080000005</v>
      </c>
      <c r="M102" s="12"/>
      <c r="N102" s="22"/>
      <c r="O102" s="13">
        <f>+INDEX('2025 Billing Determinants'!B:B,MATCH('2025 GSLDSU Rate Class E-13c'!A102,'2025 Billing Determinants'!A:A,0))</f>
        <v>355048.34</v>
      </c>
      <c r="P102" s="12" t="s">
        <v>756</v>
      </c>
      <c r="Q102" s="19">
        <f>+INDEX('Unit Cost Rate Design Input'!D:D,MATCH('2025 GSLDSU Rate Class E-13c'!B102,'Unit Cost Rate Design Input'!B:B,0))*(1+$B$7)</f>
        <v>1.535720112941197</v>
      </c>
      <c r="R102" s="44" t="s">
        <v>762</v>
      </c>
      <c r="S102" s="12">
        <f t="shared" si="34"/>
        <v>545254.87680438452</v>
      </c>
      <c r="T102" s="12"/>
      <c r="U102" s="12">
        <f t="shared" si="31"/>
        <v>147600.73600438447</v>
      </c>
      <c r="V102" s="21">
        <f t="shared" si="32"/>
        <v>0.37117867226892576</v>
      </c>
    </row>
    <row r="103" spans="1:22" x14ac:dyDescent="0.25">
      <c r="A103" s="368" t="s">
        <v>293</v>
      </c>
      <c r="B103" s="368" t="s">
        <v>603</v>
      </c>
      <c r="D103" s="233">
        <v>31</v>
      </c>
      <c r="E103" s="359" t="s">
        <v>799</v>
      </c>
      <c r="F103" s="233"/>
      <c r="G103" s="233"/>
      <c r="H103" s="53">
        <f>+INDEX('2025 Org Base Case BDs'!B:B,MATCH('2025 GSLDSU Rate Class E-13c'!A103,'2025 Org Base Case BDs'!A:A,0))</f>
        <v>8856414.7300000004</v>
      </c>
      <c r="I103" s="12" t="s">
        <v>756</v>
      </c>
      <c r="J103" s="27">
        <f>+INDEX('2024 Base Rates'!E:E,MATCH('2025 GSLDSU Rate Class E-13c'!B103,'2024 Base Rates'!D:D,0))</f>
        <v>0.44</v>
      </c>
      <c r="K103" s="44" t="s">
        <v>759</v>
      </c>
      <c r="L103" s="12">
        <f t="shared" si="33"/>
        <v>3896822.4812000003</v>
      </c>
      <c r="M103" s="233"/>
      <c r="N103" s="226"/>
      <c r="O103" s="53">
        <f>+INDEX('2025 Billing Determinants'!B:B,MATCH('2025 GSLDSU Rate Class E-13c'!A103,'2025 Billing Determinants'!A:A,0))</f>
        <v>8856414.7300000004</v>
      </c>
      <c r="P103" s="12" t="s">
        <v>756</v>
      </c>
      <c r="Q103" s="19">
        <f>+INDEX('Unit Cost Rate Design Input'!D:D,MATCH('2025 GSLDSU Rate Class E-13c'!B103,'Unit Cost Rate Design Input'!B:B,0))*(1+$B$7)</f>
        <v>0.61115392249700706</v>
      </c>
      <c r="R103" s="44" t="s">
        <v>764</v>
      </c>
      <c r="S103" s="12">
        <f t="shared" si="34"/>
        <v>5412632.6014997717</v>
      </c>
      <c r="T103" s="233"/>
      <c r="U103" s="12">
        <f t="shared" si="31"/>
        <v>1515810.1202997714</v>
      </c>
      <c r="V103" s="21">
        <f t="shared" si="32"/>
        <v>0.38898618749319774</v>
      </c>
    </row>
    <row r="104" spans="1:22" x14ac:dyDescent="0.25">
      <c r="A104" s="368"/>
      <c r="B104" s="368"/>
      <c r="D104" s="233">
        <v>32</v>
      </c>
      <c r="E104" s="11" t="s">
        <v>748</v>
      </c>
      <c r="F104" s="15"/>
      <c r="G104" s="233"/>
      <c r="H104" s="12">
        <f>+SUM(H98,H101)</f>
        <v>1691241.73</v>
      </c>
      <c r="I104" s="12" t="s">
        <v>730</v>
      </c>
      <c r="J104" s="19"/>
      <c r="K104" s="12"/>
      <c r="L104" s="54">
        <f>+SUM(L98:L103)</f>
        <v>5748944.5098000001</v>
      </c>
      <c r="M104" s="12"/>
      <c r="N104" s="22"/>
      <c r="O104" s="12">
        <f>+SUM(O98,O101)</f>
        <v>1691241.73</v>
      </c>
      <c r="P104" s="12" t="s">
        <v>730</v>
      </c>
      <c r="Q104" s="19"/>
      <c r="R104" s="12"/>
      <c r="S104" s="54">
        <f>+SUM(S98:S103)</f>
        <v>8157619.4892259585</v>
      </c>
      <c r="T104" s="233"/>
      <c r="U104" s="12">
        <f t="shared" si="31"/>
        <v>2408674.9794259584</v>
      </c>
      <c r="V104" s="21">
        <f t="shared" si="32"/>
        <v>0.41897690529452575</v>
      </c>
    </row>
    <row r="105" spans="1:22" x14ac:dyDescent="0.25">
      <c r="A105" s="368"/>
      <c r="B105" s="368"/>
      <c r="D105" s="233">
        <v>34</v>
      </c>
      <c r="E105" s="233"/>
      <c r="F105" s="233"/>
      <c r="G105" s="233"/>
      <c r="H105" s="233"/>
      <c r="I105" s="233"/>
      <c r="J105" s="233"/>
      <c r="K105" s="233"/>
      <c r="L105" s="13"/>
      <c r="M105" s="233"/>
      <c r="N105" s="226"/>
      <c r="O105" s="233"/>
      <c r="P105" s="233"/>
      <c r="Q105" s="233"/>
      <c r="R105" s="233"/>
      <c r="S105" s="13"/>
      <c r="T105" s="233"/>
      <c r="U105" s="233"/>
      <c r="V105" s="233"/>
    </row>
    <row r="106" spans="1:22" x14ac:dyDescent="0.25">
      <c r="A106" s="368"/>
      <c r="B106" s="368"/>
      <c r="D106" s="233">
        <v>35</v>
      </c>
      <c r="E106" s="11" t="s">
        <v>765</v>
      </c>
      <c r="F106" s="233"/>
      <c r="G106" s="233"/>
      <c r="H106" s="233"/>
      <c r="I106" s="233"/>
      <c r="J106" s="233"/>
      <c r="K106" s="233"/>
      <c r="L106" s="13"/>
      <c r="M106" s="233"/>
      <c r="N106" s="226"/>
      <c r="O106" s="233"/>
      <c r="P106" s="233"/>
      <c r="Q106" s="233"/>
      <c r="R106" s="233"/>
      <c r="S106" s="13"/>
      <c r="T106" s="233"/>
      <c r="U106" s="233"/>
      <c r="V106" s="233"/>
    </row>
    <row r="107" spans="1:22" x14ac:dyDescent="0.25">
      <c r="A107" s="368" t="s">
        <v>252</v>
      </c>
      <c r="B107" s="368" t="s">
        <v>604</v>
      </c>
      <c r="D107" s="233">
        <v>36</v>
      </c>
      <c r="E107" s="359" t="s">
        <v>769</v>
      </c>
      <c r="F107" s="233"/>
      <c r="G107" s="233"/>
      <c r="H107" s="233">
        <f>+INDEX('2025 Org Base Case BDs'!B:B,MATCH('2025 GSLDSU Rate Class E-13c'!A107,'2025 Org Base Case BDs'!A:A,0))</f>
        <v>0</v>
      </c>
      <c r="I107" s="233" t="s">
        <v>840</v>
      </c>
      <c r="J107" s="60">
        <f>+INDEX('2024 Base Rates'!E:E,MATCH('2025 GSLDSU Rate Class E-13c'!B107,'2024 Base Rates'!D:D,0))</f>
        <v>2.0300000000000001E-3</v>
      </c>
      <c r="K107" s="233"/>
      <c r="L107" s="13">
        <f>+H107*J107</f>
        <v>0</v>
      </c>
      <c r="M107" s="233"/>
      <c r="N107" s="226"/>
      <c r="O107" s="233">
        <f>+INDEX('2025 Billing Determinants'!B:B,MATCH('2025 GSLDSU Rate Class E-13c'!A107,'2025 Billing Determinants'!A:A,0))</f>
        <v>0</v>
      </c>
      <c r="P107" s="233" t="s">
        <v>840</v>
      </c>
      <c r="Q107" s="28">
        <f>+INDEX('Unit Cost Rate Design Input'!D:D,MATCH('2025 GSLDSU Rate Class E-13c'!B107,'Unit Cost Rate Design Input'!B:B,0))</f>
        <v>2.0300000000000001E-3</v>
      </c>
      <c r="R107" s="233"/>
      <c r="S107" s="13">
        <f>+O107*Q107</f>
        <v>0</v>
      </c>
      <c r="T107" s="233"/>
      <c r="U107" s="12">
        <f t="shared" ref="U107:U109" si="35">+S107-L107</f>
        <v>0</v>
      </c>
      <c r="V107" s="21">
        <f t="shared" ref="V107:V109" si="36">+IF(U107=0,0,(S107-L107)/L107)</f>
        <v>0</v>
      </c>
    </row>
    <row r="108" spans="1:22" ht="16.5" x14ac:dyDescent="0.35">
      <c r="A108" s="368" t="s">
        <v>281</v>
      </c>
      <c r="B108" s="368" t="s">
        <v>605</v>
      </c>
      <c r="D108" s="233">
        <v>37</v>
      </c>
      <c r="E108" s="233" t="s">
        <v>1139</v>
      </c>
      <c r="F108" s="233"/>
      <c r="G108" s="233"/>
      <c r="H108" s="57">
        <f>+INDEX('2025 Org Base Case BDs'!B:B,MATCH('2025 GSLDSU Rate Class E-13c'!A108,'2025 Org Base Case BDs'!A:A,0))</f>
        <v>32205802</v>
      </c>
      <c r="I108" s="233" t="s">
        <v>840</v>
      </c>
      <c r="J108" s="60">
        <f>+INDEX('2024 Base Rates'!E:E,MATCH('2025 GSLDSU Rate Class E-13c'!B108,'2024 Base Rates'!D:D,0))</f>
        <v>2.0300000000000001E-3</v>
      </c>
      <c r="K108" s="233"/>
      <c r="L108" s="13">
        <f>+H108*J108</f>
        <v>65377.778060000004</v>
      </c>
      <c r="M108" s="233"/>
      <c r="N108" s="226"/>
      <c r="O108" s="57">
        <f>+INDEX('2025 Billing Determinants'!B:B,MATCH('2025 GSLDSU Rate Class E-13c'!A108,'2025 Billing Determinants'!A:A,0))</f>
        <v>32205802</v>
      </c>
      <c r="P108" s="233" t="s">
        <v>840</v>
      </c>
      <c r="Q108" s="28">
        <f>+INDEX('Unit Cost Rate Design Input'!D:D,MATCH('2025 GSLDSU Rate Class E-13c'!B108,'Unit Cost Rate Design Input'!B:B,0))</f>
        <v>2.0300000000000001E-3</v>
      </c>
      <c r="R108" s="233"/>
      <c r="S108" s="13">
        <f>+O108*Q108</f>
        <v>65377.778060000004</v>
      </c>
      <c r="T108" s="233"/>
      <c r="U108" s="12">
        <f t="shared" si="35"/>
        <v>0</v>
      </c>
      <c r="V108" s="21">
        <f t="shared" si="36"/>
        <v>0</v>
      </c>
    </row>
    <row r="109" spans="1:22" ht="15.75" thickBot="1" x14ac:dyDescent="0.3">
      <c r="A109" s="368"/>
      <c r="B109" s="368"/>
      <c r="D109" s="306">
        <v>38</v>
      </c>
      <c r="E109" s="306"/>
      <c r="F109" s="306" t="s">
        <v>336</v>
      </c>
      <c r="G109" s="306"/>
      <c r="H109" s="355">
        <f>+SUM(H107:H108)</f>
        <v>32205802</v>
      </c>
      <c r="I109" s="355"/>
      <c r="J109" s="355"/>
      <c r="K109" s="355"/>
      <c r="L109" s="355">
        <f>+SUM(L107:L108)</f>
        <v>65377.778060000004</v>
      </c>
      <c r="M109" s="355"/>
      <c r="N109" s="374"/>
      <c r="O109" s="355">
        <f>+SUM(O107:O108)</f>
        <v>32205802</v>
      </c>
      <c r="P109" s="355"/>
      <c r="Q109" s="355"/>
      <c r="R109" s="355"/>
      <c r="S109" s="355">
        <f>+SUM(S107:S108)</f>
        <v>65377.778060000004</v>
      </c>
      <c r="T109" s="355"/>
      <c r="U109" s="355">
        <f t="shared" si="35"/>
        <v>0</v>
      </c>
      <c r="V109" s="375">
        <f t="shared" si="36"/>
        <v>0</v>
      </c>
    </row>
    <row r="110" spans="1:22" x14ac:dyDescent="0.25">
      <c r="A110" s="368"/>
      <c r="B110" s="368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26"/>
      <c r="O110" s="233"/>
      <c r="P110" s="233"/>
      <c r="Q110" s="233"/>
      <c r="R110" s="233"/>
      <c r="S110" s="233"/>
      <c r="T110" s="233"/>
      <c r="U110" s="233"/>
      <c r="V110" s="233" t="s">
        <v>304</v>
      </c>
    </row>
    <row r="111" spans="1:22" x14ac:dyDescent="0.25">
      <c r="A111" s="368"/>
      <c r="B111" s="368"/>
      <c r="D111" s="233"/>
      <c r="E111" s="233"/>
      <c r="F111" s="233"/>
      <c r="G111" s="233"/>
      <c r="H111" s="233"/>
      <c r="I111" s="233"/>
      <c r="J111" s="233"/>
      <c r="K111" s="590"/>
      <c r="L111" s="590"/>
      <c r="M111" s="590"/>
      <c r="N111" s="590"/>
      <c r="O111" s="590"/>
      <c r="P111" s="233"/>
      <c r="Q111" s="233"/>
      <c r="R111" s="233"/>
      <c r="S111" s="233"/>
      <c r="T111" s="233"/>
      <c r="U111" s="233"/>
      <c r="V111" s="233"/>
    </row>
    <row r="112" spans="1:22" ht="15.75" thickBot="1" x14ac:dyDescent="0.3">
      <c r="A112" s="368"/>
      <c r="B112" s="368"/>
      <c r="D112" s="306" t="s">
        <v>305</v>
      </c>
      <c r="E112" s="306"/>
      <c r="F112" s="306"/>
      <c r="G112" s="306"/>
      <c r="H112" s="306"/>
      <c r="I112" s="306"/>
      <c r="J112" s="306"/>
      <c r="K112" s="591" t="s">
        <v>306</v>
      </c>
      <c r="L112" s="591"/>
      <c r="M112" s="591"/>
      <c r="N112" s="591"/>
      <c r="O112" s="591"/>
      <c r="P112" s="306"/>
      <c r="Q112" s="306"/>
      <c r="R112" s="306"/>
      <c r="S112" s="306"/>
      <c r="T112" s="306"/>
      <c r="U112" s="306"/>
      <c r="V112" s="326" t="s">
        <v>890</v>
      </c>
    </row>
    <row r="113" spans="1:22" x14ac:dyDescent="0.25">
      <c r="A113" s="368"/>
      <c r="B113" s="368"/>
      <c r="D113" s="233" t="s">
        <v>307</v>
      </c>
      <c r="E113" s="233"/>
      <c r="F113" s="233"/>
      <c r="G113" s="233"/>
      <c r="H113" s="233" t="s">
        <v>308</v>
      </c>
      <c r="I113" s="233"/>
      <c r="J113" s="233" t="s">
        <v>913</v>
      </c>
      <c r="K113" s="233"/>
      <c r="L113" s="233"/>
      <c r="M113" s="233"/>
      <c r="N113" s="316"/>
      <c r="O113" s="309"/>
      <c r="P113" s="233"/>
      <c r="Q113" s="309"/>
      <c r="R113" s="309"/>
      <c r="S113" s="309" t="s">
        <v>309</v>
      </c>
      <c r="T113" s="233"/>
      <c r="U113" s="233"/>
      <c r="V113" s="310"/>
    </row>
    <row r="114" spans="1:22" x14ac:dyDescent="0.25">
      <c r="A114" s="368"/>
      <c r="B114" s="368"/>
      <c r="D114" s="233"/>
      <c r="E114" s="233"/>
      <c r="F114" s="233"/>
      <c r="G114" s="233"/>
      <c r="H114" s="233"/>
      <c r="I114" s="233"/>
      <c r="J114" s="233" t="s">
        <v>914</v>
      </c>
      <c r="K114" s="233"/>
      <c r="L114" s="233"/>
      <c r="M114" s="233"/>
      <c r="N114" s="226"/>
      <c r="O114" s="310"/>
      <c r="P114" s="233"/>
      <c r="Q114" s="233"/>
      <c r="R114" s="311"/>
      <c r="S114" s="311"/>
      <c r="T114" s="311" t="s">
        <v>919</v>
      </c>
      <c r="U114" s="310" t="s">
        <v>920</v>
      </c>
      <c r="V114" s="311"/>
    </row>
    <row r="115" spans="1:22" x14ac:dyDescent="0.25">
      <c r="A115" s="368"/>
      <c r="B115" s="368"/>
      <c r="D115" s="233" t="s">
        <v>310</v>
      </c>
      <c r="E115" s="233"/>
      <c r="F115" s="233"/>
      <c r="G115" s="233"/>
      <c r="H115" s="233"/>
      <c r="I115" s="233"/>
      <c r="J115" s="233" t="s">
        <v>915</v>
      </c>
      <c r="K115" s="233"/>
      <c r="L115" s="233"/>
      <c r="M115" s="233"/>
      <c r="N115" s="226"/>
      <c r="O115" s="310"/>
      <c r="P115" s="311"/>
      <c r="Q115" s="233"/>
      <c r="R115" s="233"/>
      <c r="S115" s="311"/>
      <c r="T115" s="311"/>
      <c r="U115" s="310" t="s">
        <v>937</v>
      </c>
      <c r="V115" s="311"/>
    </row>
    <row r="116" spans="1:22" x14ac:dyDescent="0.25">
      <c r="A116" s="368"/>
      <c r="B116" s="368"/>
      <c r="D116" s="233"/>
      <c r="E116" s="233"/>
      <c r="F116" s="233"/>
      <c r="G116" s="233"/>
      <c r="H116" s="233"/>
      <c r="I116" s="233"/>
      <c r="J116" s="233" t="s">
        <v>916</v>
      </c>
      <c r="K116" s="233"/>
      <c r="L116" s="233"/>
      <c r="M116" s="233"/>
      <c r="N116" s="226"/>
      <c r="O116" s="310"/>
      <c r="P116" s="311"/>
      <c r="Q116" s="233"/>
      <c r="R116" s="233"/>
      <c r="S116" s="311"/>
      <c r="T116" s="311"/>
      <c r="U116" s="310" t="s">
        <v>938</v>
      </c>
      <c r="V116" s="311"/>
    </row>
    <row r="117" spans="1:22" x14ac:dyDescent="0.25">
      <c r="A117" s="368"/>
      <c r="B117" s="368"/>
      <c r="D117" s="233"/>
      <c r="E117" s="233"/>
      <c r="F117" s="311"/>
      <c r="G117" s="233"/>
      <c r="H117" s="233"/>
      <c r="I117" s="233"/>
      <c r="J117" s="233" t="s">
        <v>917</v>
      </c>
      <c r="K117" s="317"/>
      <c r="L117" s="317"/>
      <c r="M117" s="317"/>
      <c r="N117" s="226"/>
      <c r="O117" s="233"/>
      <c r="P117" s="233"/>
      <c r="Q117" s="233"/>
      <c r="R117" s="233"/>
      <c r="S117" s="233"/>
      <c r="T117" s="233"/>
      <c r="U117" s="233" t="s">
        <v>311</v>
      </c>
      <c r="V117" s="233"/>
    </row>
    <row r="118" spans="1:22" ht="15.75" thickBot="1" x14ac:dyDescent="0.3">
      <c r="A118" s="368"/>
      <c r="B118" s="368"/>
      <c r="D118" s="306" t="s">
        <v>1642</v>
      </c>
      <c r="E118" s="306"/>
      <c r="F118" s="326"/>
      <c r="G118" s="319"/>
      <c r="H118" s="319"/>
      <c r="I118" s="319"/>
      <c r="J118" s="361" t="s">
        <v>918</v>
      </c>
      <c r="K118" s="319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19"/>
    </row>
    <row r="119" spans="1:22" x14ac:dyDescent="0.25">
      <c r="A119" s="368"/>
      <c r="B119" s="368"/>
      <c r="D119" s="233"/>
      <c r="E119" s="233"/>
      <c r="F119" s="233"/>
      <c r="G119" s="233"/>
      <c r="H119" s="317"/>
      <c r="I119" s="233"/>
      <c r="J119" s="317"/>
      <c r="K119" s="362"/>
      <c r="L119" s="317"/>
      <c r="M119" s="233"/>
      <c r="N119" s="317"/>
      <c r="O119" s="233"/>
      <c r="P119" s="362"/>
      <c r="Q119" s="233"/>
      <c r="R119" s="233"/>
      <c r="S119" s="233"/>
      <c r="T119" s="233"/>
      <c r="U119" s="233"/>
      <c r="V119" s="233"/>
    </row>
    <row r="120" spans="1:22" x14ac:dyDescent="0.25">
      <c r="A120" s="368"/>
      <c r="B120" s="368"/>
      <c r="D120" s="233"/>
      <c r="E120" s="233"/>
      <c r="F120" s="233"/>
      <c r="G120" s="233"/>
      <c r="H120" s="362"/>
      <c r="I120" s="233"/>
      <c r="J120" s="233"/>
      <c r="K120" s="362"/>
      <c r="L120" s="233"/>
      <c r="M120" s="233"/>
      <c r="N120" s="317"/>
      <c r="O120" s="233"/>
      <c r="P120" s="362"/>
      <c r="Q120" s="233"/>
      <c r="R120" s="233"/>
      <c r="S120" s="233"/>
      <c r="T120" s="233"/>
      <c r="U120" s="233"/>
      <c r="V120" s="233"/>
    </row>
    <row r="121" spans="1:22" x14ac:dyDescent="0.25">
      <c r="A121" s="368"/>
      <c r="B121" s="368"/>
      <c r="D121" s="233"/>
      <c r="E121" s="233"/>
      <c r="F121" s="233"/>
      <c r="G121" s="233"/>
      <c r="H121" s="233"/>
      <c r="I121" s="362"/>
      <c r="J121" s="362"/>
      <c r="K121" s="363"/>
      <c r="L121" s="363" t="s">
        <v>312</v>
      </c>
      <c r="M121" s="317"/>
      <c r="N121" s="364" t="s">
        <v>768</v>
      </c>
      <c r="O121" s="362"/>
      <c r="P121" s="233"/>
      <c r="Q121" s="362"/>
      <c r="R121" s="362"/>
      <c r="S121" s="362"/>
      <c r="T121" s="362"/>
      <c r="U121" s="362"/>
      <c r="V121" s="233"/>
    </row>
    <row r="122" spans="1:22" x14ac:dyDescent="0.25">
      <c r="A122" s="368"/>
      <c r="B122" s="368"/>
      <c r="D122" s="233"/>
      <c r="E122" s="233"/>
      <c r="F122" s="233"/>
      <c r="G122" s="233"/>
      <c r="H122" s="233"/>
      <c r="I122" s="362"/>
      <c r="J122" s="362"/>
      <c r="K122" s="362"/>
      <c r="L122" s="362"/>
      <c r="M122" s="362"/>
      <c r="N122" s="317"/>
      <c r="O122" s="362"/>
      <c r="P122" s="362"/>
      <c r="Q122" s="362"/>
      <c r="R122" s="362"/>
      <c r="S122" s="362"/>
      <c r="T122" s="362"/>
      <c r="U122" s="362"/>
      <c r="V122" s="362"/>
    </row>
    <row r="123" spans="1:22" x14ac:dyDescent="0.25">
      <c r="A123" s="368"/>
      <c r="B123" s="368"/>
      <c r="D123" s="226" t="s">
        <v>314</v>
      </c>
      <c r="E123" s="371" t="s">
        <v>315</v>
      </c>
      <c r="F123" s="2"/>
      <c r="G123" s="3"/>
      <c r="H123" s="4"/>
      <c r="I123" s="4"/>
      <c r="J123" s="5" t="s">
        <v>316</v>
      </c>
      <c r="K123" s="4"/>
      <c r="L123" s="4"/>
      <c r="M123" s="2"/>
      <c r="N123" s="6"/>
      <c r="O123" s="4"/>
      <c r="P123" s="5"/>
      <c r="Q123" s="5" t="s">
        <v>317</v>
      </c>
      <c r="R123" s="4"/>
      <c r="S123" s="4"/>
      <c r="T123" s="2"/>
      <c r="U123" s="7" t="s">
        <v>318</v>
      </c>
      <c r="V123" s="7" t="s">
        <v>319</v>
      </c>
    </row>
    <row r="124" spans="1:22" ht="15.75" thickBot="1" x14ac:dyDescent="0.3">
      <c r="A124" s="368"/>
      <c r="B124" s="368"/>
      <c r="D124" s="314" t="s">
        <v>320</v>
      </c>
      <c r="E124" s="367" t="s">
        <v>321</v>
      </c>
      <c r="F124" s="8"/>
      <c r="G124" s="306"/>
      <c r="H124" s="314" t="s">
        <v>322</v>
      </c>
      <c r="I124" s="9"/>
      <c r="J124" s="9" t="s">
        <v>323</v>
      </c>
      <c r="K124" s="9"/>
      <c r="L124" s="9" t="s">
        <v>324</v>
      </c>
      <c r="M124" s="9"/>
      <c r="N124" s="9"/>
      <c r="O124" s="9" t="s">
        <v>322</v>
      </c>
      <c r="P124" s="9"/>
      <c r="Q124" s="9" t="s">
        <v>323</v>
      </c>
      <c r="R124" s="9"/>
      <c r="S124" s="9" t="s">
        <v>324</v>
      </c>
      <c r="T124" s="8"/>
      <c r="U124" s="10" t="s">
        <v>325</v>
      </c>
      <c r="V124" s="10" t="s">
        <v>326</v>
      </c>
    </row>
    <row r="125" spans="1:22" x14ac:dyDescent="0.25">
      <c r="A125" s="368"/>
      <c r="B125" s="368"/>
      <c r="D125" s="233">
        <v>1</v>
      </c>
      <c r="E125" s="592" t="s">
        <v>843</v>
      </c>
      <c r="F125" s="592"/>
      <c r="G125" s="592"/>
      <c r="H125" s="233"/>
      <c r="I125" s="15"/>
      <c r="J125" s="15"/>
      <c r="K125" s="15"/>
      <c r="L125" s="15"/>
      <c r="M125" s="11"/>
      <c r="N125" s="6"/>
      <c r="O125" s="11"/>
      <c r="P125" s="15"/>
      <c r="Q125" s="15"/>
      <c r="R125" s="15"/>
      <c r="S125" s="15"/>
      <c r="T125" s="15"/>
      <c r="U125" s="15"/>
      <c r="V125" s="15"/>
    </row>
    <row r="126" spans="1:22" x14ac:dyDescent="0.25">
      <c r="A126" s="368"/>
      <c r="B126" s="368"/>
      <c r="D126" s="233">
        <v>2</v>
      </c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</row>
    <row r="127" spans="1:22" x14ac:dyDescent="0.25">
      <c r="A127" s="368"/>
      <c r="B127" s="368"/>
      <c r="D127" s="233">
        <v>3</v>
      </c>
      <c r="E127" s="11" t="s">
        <v>766</v>
      </c>
      <c r="F127" s="233"/>
      <c r="G127" s="233"/>
      <c r="H127" s="233"/>
      <c r="I127" s="233"/>
      <c r="J127" s="233"/>
      <c r="K127" s="233"/>
      <c r="L127" s="13"/>
      <c r="M127" s="233"/>
      <c r="N127" s="226"/>
      <c r="O127" s="233"/>
      <c r="P127" s="233"/>
      <c r="Q127" s="233"/>
      <c r="R127" s="233"/>
      <c r="S127" s="13"/>
      <c r="T127" s="233"/>
      <c r="U127" s="233"/>
      <c r="V127" s="233"/>
    </row>
    <row r="128" spans="1:22" x14ac:dyDescent="0.25">
      <c r="A128" s="368" t="s">
        <v>253</v>
      </c>
      <c r="B128" s="368" t="s">
        <v>606</v>
      </c>
      <c r="D128" s="233">
        <v>4</v>
      </c>
      <c r="E128" s="359" t="s">
        <v>769</v>
      </c>
      <c r="F128" s="233"/>
      <c r="G128" s="233"/>
      <c r="H128" s="233">
        <f>+INDEX('2025 Org Base Case BDs'!B:B,MATCH('2025 GSLDSU Rate Class E-13c'!A128,'2025 Org Base Case BDs'!A:A,0))</f>
        <v>0</v>
      </c>
      <c r="I128" s="233" t="s">
        <v>840</v>
      </c>
      <c r="J128" s="60">
        <f>+INDEX('2024 Base Rates'!E:E,MATCH('2025 GSLDSU Rate Class E-13c'!B128,'2024 Base Rates'!D:D,0))</f>
        <v>-1.0200000000000001E-3</v>
      </c>
      <c r="K128" s="233"/>
      <c r="L128" s="13">
        <f>+H128*J128</f>
        <v>0</v>
      </c>
      <c r="M128" s="233"/>
      <c r="N128" s="226"/>
      <c r="O128" s="233">
        <f>+INDEX('2025 Billing Determinants'!B:B,MATCH('2025 GSLDSU Rate Class E-13c'!A128,'2025 Billing Determinants'!A:A,0))</f>
        <v>0</v>
      </c>
      <c r="P128" s="233" t="s">
        <v>840</v>
      </c>
      <c r="Q128" s="28">
        <f>+INDEX('Unit Cost Rate Design Input'!D:D,MATCH('2025 GSLDSU Rate Class E-13c'!B128,'Unit Cost Rate Design Input'!B:B,0))</f>
        <v>-1.0200000000000001E-3</v>
      </c>
      <c r="R128" s="233"/>
      <c r="S128" s="13">
        <f>+O128*Q128</f>
        <v>0</v>
      </c>
      <c r="T128" s="233"/>
      <c r="U128" s="12">
        <f t="shared" ref="U128:U130" si="37">+S128-L128</f>
        <v>0</v>
      </c>
      <c r="V128" s="21">
        <f t="shared" ref="V128:V130" si="38">+IF(U128=0,0,(S128-L128)/L128)</f>
        <v>0</v>
      </c>
    </row>
    <row r="129" spans="1:22" ht="16.5" x14ac:dyDescent="0.35">
      <c r="A129" s="368" t="s">
        <v>282</v>
      </c>
      <c r="B129" s="368" t="s">
        <v>607</v>
      </c>
      <c r="D129" s="233">
        <v>5</v>
      </c>
      <c r="E129" s="233" t="s">
        <v>1139</v>
      </c>
      <c r="F129" s="233"/>
      <c r="G129" s="233"/>
      <c r="H129" s="57">
        <f>+INDEX('2025 Org Base Case BDs'!B:B,MATCH('2025 GSLDSU Rate Class E-13c'!A129,'2025 Org Base Case BDs'!A:A,0))</f>
        <v>117949</v>
      </c>
      <c r="I129" s="233" t="s">
        <v>840</v>
      </c>
      <c r="J129" s="60">
        <f>+INDEX('2024 Base Rates'!E:E,MATCH('2025 GSLDSU Rate Class E-13c'!B129,'2024 Base Rates'!D:D,0))</f>
        <v>-1.0200000000000001E-3</v>
      </c>
      <c r="K129" s="233"/>
      <c r="L129" s="13">
        <f>+H129*J129</f>
        <v>-120.30798000000001</v>
      </c>
      <c r="M129" s="233"/>
      <c r="N129" s="226"/>
      <c r="O129" s="57">
        <f>+INDEX('2025 Billing Determinants'!B:B,MATCH('2025 GSLDSU Rate Class E-13c'!A129,'2025 Billing Determinants'!A:A,0))</f>
        <v>117949</v>
      </c>
      <c r="P129" s="233" t="s">
        <v>840</v>
      </c>
      <c r="Q129" s="28">
        <f>+INDEX('Unit Cost Rate Design Input'!D:D,MATCH('2025 GSLDSU Rate Class E-13c'!B129,'Unit Cost Rate Design Input'!B:B,0))</f>
        <v>-1.0200000000000001E-3</v>
      </c>
      <c r="R129" s="233"/>
      <c r="S129" s="13">
        <f>+O129*Q129</f>
        <v>-120.30798000000001</v>
      </c>
      <c r="T129" s="233"/>
      <c r="U129" s="12">
        <f t="shared" si="37"/>
        <v>0</v>
      </c>
      <c r="V129" s="21">
        <f t="shared" si="38"/>
        <v>0</v>
      </c>
    </row>
    <row r="130" spans="1:22" x14ac:dyDescent="0.25">
      <c r="A130" s="368"/>
      <c r="B130" s="368"/>
      <c r="D130" s="233">
        <v>6</v>
      </c>
      <c r="E130" s="11" t="s">
        <v>748</v>
      </c>
      <c r="F130" s="11"/>
      <c r="G130" s="233"/>
      <c r="H130" s="13">
        <f>+SUM(H128:H129)</f>
        <v>117949</v>
      </c>
      <c r="I130" s="233" t="s">
        <v>840</v>
      </c>
      <c r="J130" s="233"/>
      <c r="K130" s="233"/>
      <c r="L130" s="54">
        <f>+SUM(L128:L129)</f>
        <v>-120.30798000000001</v>
      </c>
      <c r="M130" s="233"/>
      <c r="N130" s="226"/>
      <c r="O130" s="13">
        <f>+SUM(O128:O129)</f>
        <v>117949</v>
      </c>
      <c r="P130" s="233" t="s">
        <v>840</v>
      </c>
      <c r="Q130" s="233"/>
      <c r="R130" s="233"/>
      <c r="S130" s="54">
        <f>+SUM(S128:S129)</f>
        <v>-120.30798000000001</v>
      </c>
      <c r="T130" s="233"/>
      <c r="U130" s="12">
        <f t="shared" si="37"/>
        <v>0</v>
      </c>
      <c r="V130" s="21">
        <f t="shared" si="38"/>
        <v>0</v>
      </c>
    </row>
    <row r="131" spans="1:22" x14ac:dyDescent="0.25">
      <c r="A131" s="368"/>
      <c r="B131" s="368"/>
      <c r="D131" s="233">
        <v>7</v>
      </c>
      <c r="E131" s="233"/>
      <c r="F131" s="233"/>
      <c r="G131" s="233"/>
      <c r="H131" s="233"/>
      <c r="I131" s="233"/>
      <c r="J131" s="233"/>
      <c r="K131" s="233"/>
      <c r="L131" s="13"/>
      <c r="M131" s="233"/>
      <c r="N131" s="226"/>
      <c r="O131" s="233"/>
      <c r="P131" s="233"/>
      <c r="Q131" s="233"/>
      <c r="R131" s="233"/>
      <c r="S131" s="13"/>
      <c r="T131" s="233"/>
      <c r="U131" s="233"/>
      <c r="V131" s="233"/>
    </row>
    <row r="132" spans="1:22" x14ac:dyDescent="0.25">
      <c r="A132" s="368"/>
      <c r="B132" s="368"/>
      <c r="D132" s="233">
        <v>8</v>
      </c>
      <c r="E132" s="11" t="s">
        <v>767</v>
      </c>
      <c r="F132" s="233"/>
      <c r="G132" s="233"/>
      <c r="H132" s="354"/>
      <c r="I132" s="12"/>
      <c r="J132" s="12"/>
      <c r="K132" s="12"/>
      <c r="L132" s="12"/>
      <c r="M132" s="12"/>
      <c r="N132" s="22"/>
      <c r="O132" s="354"/>
      <c r="P132" s="12"/>
      <c r="Q132" s="12"/>
      <c r="R132" s="12"/>
      <c r="S132" s="12"/>
      <c r="T132" s="233"/>
      <c r="U132" s="233"/>
      <c r="V132" s="23"/>
    </row>
    <row r="133" spans="1:22" x14ac:dyDescent="0.25">
      <c r="A133" s="368" t="s">
        <v>250</v>
      </c>
      <c r="B133" s="368" t="s">
        <v>608</v>
      </c>
      <c r="D133" s="233">
        <v>9</v>
      </c>
      <c r="E133" s="359" t="s">
        <v>769</v>
      </c>
      <c r="F133" s="11"/>
      <c r="G133" s="233"/>
      <c r="H133" s="233">
        <f>+INDEX('2025 Org Base Case BDs'!B:B,MATCH('2025 GSLDSU Rate Class E-13c'!A133,'2025 Org Base Case BDs'!A:A,0))</f>
        <v>0</v>
      </c>
      <c r="I133" s="12" t="s">
        <v>730</v>
      </c>
      <c r="J133" s="27">
        <f>+INDEX('2024 Base Rates'!E:E,MATCH('2025 GSLDSU Rate Class E-13c'!B133,'2024 Base Rates'!D:D,0))</f>
        <v>0.68</v>
      </c>
      <c r="K133" s="12"/>
      <c r="L133" s="12">
        <f>+H133*J133</f>
        <v>0</v>
      </c>
      <c r="M133" s="12"/>
      <c r="N133" s="22"/>
      <c r="O133" s="233">
        <f>+INDEX('2025 Billing Determinants'!B:B,MATCH('2025 GSLDSU Rate Class E-13c'!A133,'2025 Billing Determinants'!A:A,0))</f>
        <v>0</v>
      </c>
      <c r="P133" s="12" t="s">
        <v>730</v>
      </c>
      <c r="Q133" s="19">
        <f>+INDEX('Unit Cost Rate Design Input'!D:D,MATCH('2025 GSLDSU Rate Class E-13c'!B133,'Unit Cost Rate Design Input'!B:B,0))</f>
        <v>1.02</v>
      </c>
      <c r="R133" s="12"/>
      <c r="S133" s="12">
        <f>+O133*Q133</f>
        <v>0</v>
      </c>
      <c r="T133" s="233"/>
      <c r="U133" s="12">
        <f t="shared" ref="U133:U135" si="39">+S133-L133</f>
        <v>0</v>
      </c>
      <c r="V133" s="21">
        <f t="shared" ref="V133:V135" si="40">+IF(U133=0,0,(S133-L133)/L133)</f>
        <v>0</v>
      </c>
    </row>
    <row r="134" spans="1:22" ht="16.5" x14ac:dyDescent="0.35">
      <c r="A134" s="368" t="s">
        <v>279</v>
      </c>
      <c r="B134" s="368" t="s">
        <v>609</v>
      </c>
      <c r="D134" s="233">
        <v>10</v>
      </c>
      <c r="E134" s="233" t="s">
        <v>1139</v>
      </c>
      <c r="F134" s="233"/>
      <c r="G134" s="233"/>
      <c r="H134" s="376">
        <f>+INDEX('2025 Org Base Case BDs'!B:B,MATCH('2025 GSLDSU Rate Class E-13c'!A134,'2025 Org Base Case BDs'!A:A,0))</f>
        <v>0</v>
      </c>
      <c r="I134" s="12" t="s">
        <v>730</v>
      </c>
      <c r="J134" s="27">
        <f>+INDEX('2024 Base Rates'!E:E,MATCH('2025 GSLDSU Rate Class E-13c'!B134,'2024 Base Rates'!D:D,0))</f>
        <v>0.68</v>
      </c>
      <c r="K134" s="12"/>
      <c r="L134" s="58">
        <f>+H134*J134</f>
        <v>0</v>
      </c>
      <c r="M134" s="12"/>
      <c r="N134" s="22"/>
      <c r="O134" s="376">
        <f>+INDEX('2025 Billing Determinants'!B:B,MATCH('2025 GSLDSU Rate Class E-13c'!A134,'2025 Billing Determinants'!A:A,0))</f>
        <v>0</v>
      </c>
      <c r="P134" s="12" t="s">
        <v>730</v>
      </c>
      <c r="Q134" s="19">
        <f>+INDEX('Unit Cost Rate Design Input'!D:D,MATCH('2025 GSLDSU Rate Class E-13c'!B134,'Unit Cost Rate Design Input'!B:B,0))</f>
        <v>1.02</v>
      </c>
      <c r="R134" s="12"/>
      <c r="S134" s="58">
        <f>+O134*Q134</f>
        <v>0</v>
      </c>
      <c r="T134" s="233"/>
      <c r="U134" s="12">
        <f t="shared" si="39"/>
        <v>0</v>
      </c>
      <c r="V134" s="21">
        <f t="shared" si="40"/>
        <v>0</v>
      </c>
    </row>
    <row r="135" spans="1:22" x14ac:dyDescent="0.25">
      <c r="A135" s="368"/>
      <c r="B135" s="368"/>
      <c r="D135" s="233">
        <v>11</v>
      </c>
      <c r="E135" s="233" t="s">
        <v>336</v>
      </c>
      <c r="F135" s="233"/>
      <c r="G135" s="233"/>
      <c r="H135" s="233">
        <f>+SUM(H133:H134)</f>
        <v>0</v>
      </c>
      <c r="I135" s="233"/>
      <c r="J135" s="233"/>
      <c r="K135" s="233"/>
      <c r="L135" s="377">
        <f>+SUM(L133:L134)</f>
        <v>0</v>
      </c>
      <c r="M135" s="233"/>
      <c r="N135" s="226"/>
      <c r="O135" s="233">
        <f>+SUM(O133:O134)</f>
        <v>0</v>
      </c>
      <c r="P135" s="233"/>
      <c r="Q135" s="233"/>
      <c r="R135" s="233"/>
      <c r="S135" s="377">
        <f>+SUM(S133:S134)</f>
        <v>0</v>
      </c>
      <c r="T135" s="233"/>
      <c r="U135" s="12">
        <f t="shared" si="39"/>
        <v>0</v>
      </c>
      <c r="V135" s="21">
        <f t="shared" si="40"/>
        <v>0</v>
      </c>
    </row>
    <row r="136" spans="1:22" x14ac:dyDescent="0.25">
      <c r="A136" s="368"/>
      <c r="B136" s="368"/>
      <c r="D136" s="233">
        <v>12</v>
      </c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"/>
    </row>
    <row r="137" spans="1:22" x14ac:dyDescent="0.25">
      <c r="A137" s="368"/>
      <c r="B137" s="368"/>
      <c r="D137" s="233">
        <v>13</v>
      </c>
      <c r="E137" s="11"/>
      <c r="F137" s="11"/>
      <c r="G137" s="11"/>
      <c r="H137" s="233"/>
      <c r="I137" s="233"/>
      <c r="J137" s="233"/>
      <c r="K137" s="233"/>
      <c r="L137" s="13"/>
      <c r="M137" s="233"/>
      <c r="N137" s="226"/>
      <c r="O137" s="233"/>
      <c r="P137" s="233"/>
      <c r="Q137" s="233"/>
      <c r="R137" s="233"/>
      <c r="S137" s="13"/>
      <c r="T137" s="233"/>
      <c r="U137" s="233"/>
      <c r="V137" s="233"/>
    </row>
    <row r="138" spans="1:22" ht="15.75" thickBot="1" x14ac:dyDescent="0.3">
      <c r="A138" s="368"/>
      <c r="B138" s="368"/>
      <c r="D138" s="233">
        <v>14</v>
      </c>
      <c r="E138" s="11" t="s">
        <v>337</v>
      </c>
      <c r="F138" s="233"/>
      <c r="G138" s="233"/>
      <c r="H138" s="233"/>
      <c r="I138" s="233"/>
      <c r="J138" s="233"/>
      <c r="K138" s="233"/>
      <c r="L138" s="56">
        <f>+L75+L82+L89+L95+L104+L109+L130+L135</f>
        <v>16066599.458980002</v>
      </c>
      <c r="M138" s="12"/>
      <c r="N138" s="22"/>
      <c r="O138" s="12"/>
      <c r="P138" s="233"/>
      <c r="Q138" s="233"/>
      <c r="R138" s="233"/>
      <c r="S138" s="56">
        <f>+S75+S82+S89+S95+S104+S109+S130+S135</f>
        <v>20317963.568205833</v>
      </c>
      <c r="T138" s="233"/>
      <c r="U138" s="12">
        <f t="shared" ref="U138" si="41">+S138-L138</f>
        <v>4251364.1092258319</v>
      </c>
      <c r="V138" s="21">
        <f t="shared" ref="V138" si="42">+IF(U138=0,0,(S138-L138)/L138)</f>
        <v>0.26460883151285908</v>
      </c>
    </row>
    <row r="139" spans="1:22" ht="15.75" thickTop="1" x14ac:dyDescent="0.25">
      <c r="A139" s="368"/>
      <c r="B139" s="368"/>
      <c r="D139" s="233">
        <v>15</v>
      </c>
      <c r="E139" s="11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U139" s="233"/>
      <c r="V139" s="233"/>
    </row>
    <row r="140" spans="1:22" x14ac:dyDescent="0.25">
      <c r="A140" s="368"/>
      <c r="B140" s="368"/>
      <c r="D140" s="233">
        <v>16</v>
      </c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</row>
    <row r="141" spans="1:22" x14ac:dyDescent="0.25">
      <c r="A141" s="368"/>
      <c r="B141" s="368"/>
      <c r="D141" s="233">
        <v>17</v>
      </c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</row>
    <row r="142" spans="1:22" x14ac:dyDescent="0.25">
      <c r="A142" s="368"/>
      <c r="B142" s="368"/>
      <c r="D142" s="233">
        <v>18</v>
      </c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U142" s="233"/>
      <c r="V142" s="233"/>
    </row>
    <row r="143" spans="1:22" x14ac:dyDescent="0.25">
      <c r="A143" s="368"/>
      <c r="B143" s="368"/>
      <c r="D143" s="233">
        <v>19</v>
      </c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U143" s="233"/>
      <c r="V143" s="233"/>
    </row>
    <row r="144" spans="1:22" x14ac:dyDescent="0.25">
      <c r="A144" s="368"/>
      <c r="B144" s="368"/>
      <c r="D144" s="233">
        <v>20</v>
      </c>
    </row>
    <row r="145" spans="1:22" x14ac:dyDescent="0.25">
      <c r="A145" s="368"/>
      <c r="B145" s="368"/>
      <c r="D145" s="233">
        <v>21</v>
      </c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U145" s="233"/>
      <c r="V145" s="233"/>
    </row>
    <row r="146" spans="1:22" x14ac:dyDescent="0.25">
      <c r="A146" s="368"/>
      <c r="B146" s="368"/>
      <c r="D146" s="233">
        <v>22</v>
      </c>
      <c r="E146" s="233"/>
      <c r="F146" s="233"/>
      <c r="G146" s="233"/>
      <c r="H146" s="354"/>
      <c r="I146" s="233"/>
      <c r="J146" s="233"/>
      <c r="K146" s="233"/>
      <c r="L146" s="354"/>
      <c r="M146" s="233"/>
      <c r="N146" s="226"/>
      <c r="O146" s="354"/>
      <c r="P146" s="233"/>
      <c r="Q146" s="233"/>
      <c r="R146" s="233"/>
      <c r="S146" s="233"/>
      <c r="T146" s="233"/>
      <c r="U146" s="233"/>
      <c r="V146" s="23"/>
    </row>
    <row r="147" spans="1:22" x14ac:dyDescent="0.25">
      <c r="A147" s="368"/>
      <c r="B147" s="368"/>
      <c r="D147" s="233">
        <v>23</v>
      </c>
      <c r="E147" s="233"/>
      <c r="F147" s="233"/>
      <c r="G147" s="233"/>
      <c r="H147" s="354"/>
      <c r="I147" s="233"/>
      <c r="J147" s="233"/>
      <c r="K147" s="233"/>
      <c r="L147" s="354"/>
      <c r="M147" s="233"/>
      <c r="N147" s="226"/>
      <c r="O147" s="354"/>
      <c r="P147" s="233"/>
      <c r="Q147" s="233"/>
      <c r="R147" s="233"/>
      <c r="S147" s="233"/>
      <c r="T147" s="233"/>
      <c r="U147" s="233"/>
      <c r="V147" s="23"/>
    </row>
    <row r="148" spans="1:22" x14ac:dyDescent="0.25">
      <c r="A148" s="368"/>
      <c r="B148" s="368"/>
      <c r="D148" s="233">
        <v>24</v>
      </c>
      <c r="E148" s="233"/>
      <c r="F148" s="233"/>
      <c r="G148" s="233"/>
      <c r="H148" s="354"/>
      <c r="I148" s="233"/>
      <c r="J148" s="233"/>
      <c r="K148" s="233"/>
      <c r="L148" s="354"/>
      <c r="M148" s="233"/>
      <c r="N148" s="226"/>
      <c r="O148" s="354"/>
      <c r="P148" s="233"/>
      <c r="Q148" s="233"/>
      <c r="R148" s="233"/>
      <c r="S148" s="233"/>
      <c r="T148" s="233"/>
      <c r="U148" s="233"/>
      <c r="V148" s="23"/>
    </row>
    <row r="149" spans="1:22" x14ac:dyDescent="0.25">
      <c r="A149" s="368"/>
      <c r="B149" s="368"/>
      <c r="D149" s="233">
        <v>25</v>
      </c>
      <c r="E149" s="233"/>
      <c r="F149" s="233"/>
      <c r="G149" s="233"/>
      <c r="H149" s="354"/>
      <c r="I149" s="233"/>
      <c r="J149" s="233"/>
      <c r="K149" s="233"/>
      <c r="L149" s="354"/>
      <c r="M149" s="233"/>
      <c r="N149" s="226"/>
      <c r="O149" s="354"/>
      <c r="P149" s="233"/>
      <c r="Q149" s="233"/>
      <c r="R149" s="233"/>
      <c r="S149" s="233"/>
      <c r="T149" s="233"/>
      <c r="U149" s="233"/>
      <c r="V149" s="23"/>
    </row>
    <row r="150" spans="1:22" x14ac:dyDescent="0.25">
      <c r="A150" s="368"/>
      <c r="B150" s="368"/>
      <c r="D150" s="233">
        <v>26</v>
      </c>
      <c r="E150" s="233"/>
      <c r="F150" s="233"/>
      <c r="G150" s="233"/>
      <c r="H150" s="354"/>
      <c r="I150" s="233"/>
      <c r="J150" s="233"/>
      <c r="K150" s="233"/>
      <c r="L150" s="354"/>
      <c r="M150" s="233"/>
      <c r="N150" s="226"/>
      <c r="O150" s="354"/>
      <c r="P150" s="233"/>
      <c r="Q150" s="233"/>
      <c r="R150" s="233"/>
      <c r="S150" s="233"/>
      <c r="T150" s="233"/>
      <c r="U150" s="233"/>
      <c r="V150" s="23"/>
    </row>
    <row r="151" spans="1:22" x14ac:dyDescent="0.25">
      <c r="A151" s="368"/>
      <c r="B151" s="368"/>
      <c r="D151" s="233">
        <v>27</v>
      </c>
      <c r="E151" s="233"/>
      <c r="F151" s="233"/>
      <c r="G151" s="233"/>
      <c r="H151" s="354"/>
      <c r="I151" s="233"/>
      <c r="J151" s="233"/>
      <c r="K151" s="233"/>
      <c r="L151" s="354"/>
      <c r="M151" s="233"/>
      <c r="N151" s="226"/>
      <c r="O151" s="354"/>
      <c r="P151" s="233"/>
      <c r="Q151" s="233"/>
      <c r="R151" s="233"/>
      <c r="S151" s="233"/>
      <c r="T151" s="233"/>
      <c r="U151" s="233"/>
      <c r="V151" s="23"/>
    </row>
    <row r="152" spans="1:22" x14ac:dyDescent="0.25">
      <c r="A152" s="368"/>
      <c r="B152" s="368"/>
      <c r="D152" s="233">
        <v>28</v>
      </c>
      <c r="E152" s="233"/>
      <c r="F152" s="233"/>
      <c r="G152" s="233"/>
      <c r="H152" s="354"/>
      <c r="I152" s="233"/>
      <c r="J152" s="233"/>
      <c r="K152" s="233"/>
      <c r="L152" s="354"/>
      <c r="M152" s="233"/>
      <c r="N152" s="226"/>
      <c r="O152" s="354"/>
      <c r="P152" s="233"/>
      <c r="Q152" s="233"/>
      <c r="R152" s="233"/>
      <c r="S152" s="233"/>
      <c r="T152" s="233"/>
      <c r="U152" s="233"/>
      <c r="V152" s="23"/>
    </row>
    <row r="153" spans="1:22" x14ac:dyDescent="0.25">
      <c r="A153" s="368"/>
      <c r="B153" s="368"/>
      <c r="D153" s="233">
        <v>29</v>
      </c>
      <c r="E153" s="233"/>
      <c r="F153" s="233"/>
      <c r="G153" s="233"/>
      <c r="H153" s="354"/>
      <c r="I153" s="233"/>
      <c r="J153" s="233"/>
      <c r="K153" s="233"/>
      <c r="L153" s="354"/>
      <c r="M153" s="233"/>
      <c r="N153" s="226"/>
      <c r="O153" s="354"/>
      <c r="P153" s="233"/>
      <c r="Q153" s="233"/>
      <c r="R153" s="233"/>
      <c r="S153" s="233"/>
      <c r="T153" s="233"/>
      <c r="U153" s="233"/>
      <c r="V153" s="23"/>
    </row>
    <row r="154" spans="1:22" x14ac:dyDescent="0.25">
      <c r="A154" s="368"/>
      <c r="B154" s="368"/>
      <c r="D154" s="233">
        <v>30</v>
      </c>
      <c r="E154" s="233"/>
      <c r="F154" s="233"/>
      <c r="G154" s="233"/>
      <c r="H154" s="354"/>
      <c r="I154" s="233"/>
      <c r="J154" s="233"/>
      <c r="K154" s="233"/>
      <c r="L154" s="354"/>
      <c r="M154" s="233"/>
      <c r="N154" s="226"/>
      <c r="O154" s="354"/>
      <c r="P154" s="233"/>
      <c r="Q154" s="233"/>
      <c r="R154" s="233"/>
      <c r="S154" s="233"/>
      <c r="T154" s="233"/>
      <c r="U154" s="233"/>
      <c r="V154" s="23"/>
    </row>
    <row r="155" spans="1:22" x14ac:dyDescent="0.25">
      <c r="A155" s="368"/>
      <c r="B155" s="368"/>
      <c r="D155" s="233">
        <v>31</v>
      </c>
      <c r="E155" s="233"/>
      <c r="F155" s="233"/>
      <c r="G155" s="233"/>
      <c r="H155" s="354"/>
      <c r="I155" s="233"/>
      <c r="J155" s="233"/>
      <c r="K155" s="233"/>
      <c r="L155" s="354"/>
      <c r="M155" s="233"/>
      <c r="N155" s="226"/>
      <c r="O155" s="354"/>
      <c r="P155" s="233"/>
      <c r="Q155" s="233"/>
      <c r="R155" s="233"/>
      <c r="S155" s="233"/>
      <c r="T155" s="233"/>
      <c r="U155" s="233"/>
      <c r="V155" s="23"/>
    </row>
    <row r="156" spans="1:22" x14ac:dyDescent="0.25">
      <c r="A156" s="368"/>
      <c r="B156" s="368"/>
      <c r="D156" s="233">
        <v>32</v>
      </c>
      <c r="E156" s="233"/>
      <c r="F156" s="233"/>
      <c r="G156" s="233"/>
      <c r="H156" s="354"/>
      <c r="I156" s="233"/>
      <c r="J156" s="233"/>
      <c r="K156" s="233"/>
      <c r="L156" s="354"/>
      <c r="M156" s="233"/>
      <c r="N156" s="226"/>
      <c r="O156" s="354"/>
      <c r="P156" s="233"/>
      <c r="Q156" s="233"/>
      <c r="R156" s="233"/>
      <c r="S156" s="233"/>
      <c r="T156" s="233"/>
      <c r="U156" s="233"/>
      <c r="V156" s="23"/>
    </row>
    <row r="157" spans="1:22" x14ac:dyDescent="0.25">
      <c r="A157" s="368"/>
      <c r="B157" s="368"/>
      <c r="D157" s="233">
        <v>33</v>
      </c>
      <c r="E157" s="233"/>
      <c r="F157" s="233"/>
      <c r="G157" s="233"/>
      <c r="H157" s="354"/>
      <c r="I157" s="233"/>
      <c r="J157" s="233"/>
      <c r="K157" s="233"/>
      <c r="L157" s="354"/>
      <c r="M157" s="233"/>
      <c r="N157" s="226"/>
      <c r="O157" s="354"/>
      <c r="P157" s="233"/>
      <c r="Q157" s="233"/>
      <c r="R157" s="233"/>
      <c r="S157" s="233"/>
      <c r="T157" s="233"/>
      <c r="U157" s="233"/>
      <c r="V157" s="23"/>
    </row>
    <row r="158" spans="1:22" x14ac:dyDescent="0.25">
      <c r="A158" s="368"/>
      <c r="B158" s="368"/>
      <c r="D158" s="233">
        <v>34</v>
      </c>
      <c r="E158" s="233"/>
      <c r="F158" s="233"/>
      <c r="G158" s="233"/>
      <c r="H158" s="354"/>
      <c r="I158" s="233"/>
      <c r="J158" s="233"/>
      <c r="K158" s="233"/>
      <c r="L158" s="354"/>
      <c r="M158" s="233"/>
      <c r="N158" s="226"/>
      <c r="O158" s="354"/>
      <c r="P158" s="233"/>
      <c r="Q158" s="233"/>
      <c r="R158" s="233"/>
      <c r="S158" s="233"/>
      <c r="T158" s="233"/>
      <c r="U158" s="233"/>
      <c r="V158" s="23"/>
    </row>
    <row r="159" spans="1:22" x14ac:dyDescent="0.25">
      <c r="A159" s="368"/>
      <c r="B159" s="368"/>
      <c r="D159" s="233">
        <v>35</v>
      </c>
      <c r="E159" s="233"/>
      <c r="F159" s="233"/>
      <c r="G159" s="233"/>
      <c r="H159" s="233"/>
      <c r="I159" s="233"/>
      <c r="J159" s="233"/>
      <c r="K159" s="233"/>
      <c r="L159" s="233"/>
      <c r="M159" s="233"/>
      <c r="N159" s="226"/>
      <c r="O159" s="233"/>
      <c r="P159" s="233"/>
      <c r="Q159" s="233"/>
      <c r="R159" s="233"/>
      <c r="S159" s="233"/>
      <c r="T159" s="233"/>
      <c r="U159" s="233"/>
      <c r="V159" s="233"/>
    </row>
    <row r="160" spans="1:22" x14ac:dyDescent="0.25">
      <c r="A160" s="368"/>
      <c r="B160" s="368"/>
      <c r="D160" s="233">
        <v>36</v>
      </c>
      <c r="E160" s="233"/>
      <c r="F160" s="15"/>
      <c r="G160" s="233"/>
      <c r="H160" s="233"/>
      <c r="I160" s="12"/>
      <c r="J160" s="12"/>
      <c r="K160" s="12"/>
      <c r="L160" s="19"/>
      <c r="M160" s="12"/>
      <c r="N160" s="22"/>
      <c r="O160" s="12"/>
      <c r="P160" s="12"/>
      <c r="Q160" s="12"/>
      <c r="R160" s="12"/>
      <c r="S160" s="19"/>
      <c r="T160" s="12"/>
      <c r="U160" s="12"/>
      <c r="V160" s="31"/>
    </row>
    <row r="161" spans="1:22" x14ac:dyDescent="0.25">
      <c r="A161" s="368"/>
      <c r="B161" s="368"/>
      <c r="D161" s="233">
        <v>37</v>
      </c>
      <c r="E161" s="233"/>
      <c r="F161" s="15"/>
      <c r="G161" s="233"/>
      <c r="H161" s="233"/>
      <c r="I161" s="12"/>
      <c r="J161" s="12"/>
      <c r="K161" s="12"/>
      <c r="L161" s="19"/>
      <c r="M161" s="12"/>
      <c r="N161" s="22"/>
      <c r="O161" s="12"/>
      <c r="P161" s="12"/>
      <c r="Q161" s="12"/>
      <c r="R161" s="12"/>
      <c r="S161" s="19"/>
      <c r="T161" s="12"/>
      <c r="U161" s="12"/>
      <c r="V161" s="31"/>
    </row>
    <row r="162" spans="1:22" x14ac:dyDescent="0.25">
      <c r="A162" s="368"/>
      <c r="B162" s="368"/>
      <c r="D162" s="233">
        <v>38</v>
      </c>
      <c r="E162" s="233"/>
      <c r="F162" s="15"/>
      <c r="G162" s="233"/>
      <c r="H162" s="233"/>
      <c r="I162" s="12"/>
      <c r="J162" s="12"/>
      <c r="K162" s="12"/>
      <c r="L162" s="19"/>
      <c r="M162" s="12"/>
      <c r="N162" s="22"/>
      <c r="O162" s="12"/>
      <c r="P162" s="12"/>
      <c r="Q162" s="12"/>
      <c r="R162" s="12"/>
      <c r="S162" s="19"/>
      <c r="T162" s="12"/>
      <c r="U162" s="12"/>
      <c r="V162" s="31"/>
    </row>
    <row r="163" spans="1:22" ht="15.75" thickBot="1" x14ac:dyDescent="0.3">
      <c r="A163" s="368"/>
      <c r="B163" s="368"/>
      <c r="D163" s="306">
        <v>39</v>
      </c>
      <c r="E163" s="306"/>
      <c r="F163" s="306"/>
      <c r="G163" s="306"/>
      <c r="H163" s="306"/>
      <c r="I163" s="306"/>
      <c r="J163" s="306"/>
      <c r="K163" s="306"/>
      <c r="L163" s="306"/>
      <c r="M163" s="306"/>
      <c r="N163" s="314"/>
      <c r="O163" s="306"/>
      <c r="P163" s="306"/>
      <c r="Q163" s="306"/>
      <c r="R163" s="306"/>
      <c r="S163" s="306"/>
      <c r="T163" s="306"/>
      <c r="U163" s="306"/>
      <c r="V163" s="326"/>
    </row>
    <row r="164" spans="1:22" x14ac:dyDescent="0.25"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26"/>
      <c r="O164" s="233"/>
      <c r="P164" s="233"/>
      <c r="Q164" s="233"/>
      <c r="R164" s="233"/>
      <c r="S164" s="233"/>
      <c r="T164" s="233"/>
      <c r="U164" s="233"/>
      <c r="V164" s="233" t="s">
        <v>304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0DB-B76C-4A8C-94E1-B9D6A2571CB4}">
  <sheetPr>
    <pageSetUpPr fitToPage="1"/>
  </sheetPr>
  <dimension ref="A3:V56"/>
  <sheetViews>
    <sheetView workbookViewId="0"/>
  </sheetViews>
  <sheetFormatPr defaultRowHeight="15" x14ac:dyDescent="0.25"/>
  <cols>
    <col min="1" max="1" width="38.140625" bestFit="1" customWidth="1"/>
    <col min="2" max="2" width="25.140625" bestFit="1" customWidth="1"/>
    <col min="8" max="8" width="10.5703125" customWidth="1"/>
    <col min="10" max="10" width="9.42578125" bestFit="1" customWidth="1"/>
    <col min="12" max="12" width="9.85546875" bestFit="1" customWidth="1"/>
    <col min="15" max="15" width="10.7109375" bestFit="1" customWidth="1"/>
    <col min="17" max="17" width="14.7109375" bestFit="1" customWidth="1"/>
    <col min="19" max="19" width="12.85546875" customWidth="1"/>
    <col min="21" max="21" width="10.85546875" bestFit="1" customWidth="1"/>
    <col min="22" max="22" width="18.7109375" bestFit="1" customWidth="1"/>
  </cols>
  <sheetData>
    <row r="3" spans="1:22" x14ac:dyDescent="0.25">
      <c r="D3" s="233"/>
      <c r="E3" s="233"/>
      <c r="F3" s="233"/>
      <c r="G3" s="233"/>
      <c r="H3" s="233"/>
      <c r="I3" s="233"/>
      <c r="J3" s="233"/>
      <c r="K3" s="590"/>
      <c r="L3" s="590"/>
      <c r="M3" s="590"/>
      <c r="N3" s="590"/>
      <c r="O3" s="590"/>
      <c r="P3" s="233"/>
      <c r="Q3" s="233"/>
      <c r="R3" s="233"/>
      <c r="S3" s="233"/>
      <c r="T3" s="233"/>
      <c r="U3" s="233"/>
      <c r="V3" s="233"/>
    </row>
    <row r="4" spans="1:22" ht="15.75" thickBot="1" x14ac:dyDescent="0.3">
      <c r="D4" s="306" t="s">
        <v>305</v>
      </c>
      <c r="E4" s="306"/>
      <c r="F4" s="306"/>
      <c r="G4" s="306"/>
      <c r="H4" s="306"/>
      <c r="I4" s="306"/>
      <c r="J4" s="306"/>
      <c r="K4" s="591" t="s">
        <v>306</v>
      </c>
      <c r="L4" s="591"/>
      <c r="M4" s="591"/>
      <c r="N4" s="591"/>
      <c r="O4" s="591"/>
      <c r="P4" s="306"/>
      <c r="Q4" s="306"/>
      <c r="R4" s="306"/>
      <c r="S4" s="306"/>
      <c r="T4" s="306"/>
      <c r="U4" s="306"/>
      <c r="V4" s="326" t="s">
        <v>891</v>
      </c>
    </row>
    <row r="5" spans="1:22" x14ac:dyDescent="0.25">
      <c r="A5" t="s">
        <v>712</v>
      </c>
      <c r="B5" s="307">
        <f>+'Operating Revenue Requirement'!F9</f>
        <v>3573046.9034759998</v>
      </c>
      <c r="D5" s="233" t="s">
        <v>307</v>
      </c>
      <c r="E5" s="233"/>
      <c r="F5" s="233"/>
      <c r="G5" s="233"/>
      <c r="H5" s="233" t="s">
        <v>308</v>
      </c>
      <c r="I5" s="233"/>
      <c r="J5" s="233" t="s">
        <v>913</v>
      </c>
      <c r="K5" s="233"/>
      <c r="L5" s="233"/>
      <c r="M5" s="233"/>
      <c r="N5" s="316"/>
      <c r="O5" s="309"/>
      <c r="P5" s="233"/>
      <c r="Q5" s="309"/>
      <c r="R5" s="309"/>
      <c r="S5" s="309" t="s">
        <v>309</v>
      </c>
      <c r="T5" s="233"/>
      <c r="U5" s="233"/>
      <c r="V5" s="310"/>
    </row>
    <row r="6" spans="1:22" x14ac:dyDescent="0.25">
      <c r="D6" s="233"/>
      <c r="E6" s="233"/>
      <c r="F6" s="233"/>
      <c r="G6" s="233"/>
      <c r="H6" s="233"/>
      <c r="I6" s="233"/>
      <c r="J6" s="233" t="s">
        <v>914</v>
      </c>
      <c r="K6" s="233"/>
      <c r="L6" s="233"/>
      <c r="M6" s="233"/>
      <c r="N6" s="226"/>
      <c r="O6" s="310"/>
      <c r="P6" s="233"/>
      <c r="Q6" s="233"/>
      <c r="R6" s="311"/>
      <c r="S6" s="311"/>
      <c r="T6" s="311" t="s">
        <v>919</v>
      </c>
      <c r="U6" s="310" t="s">
        <v>920</v>
      </c>
      <c r="V6" s="311"/>
    </row>
    <row r="7" spans="1:22" x14ac:dyDescent="0.25">
      <c r="A7" t="s">
        <v>714</v>
      </c>
      <c r="B7" s="313">
        <v>0</v>
      </c>
      <c r="D7" s="233" t="s">
        <v>310</v>
      </c>
      <c r="E7" s="233"/>
      <c r="F7" s="233"/>
      <c r="G7" s="233"/>
      <c r="H7" s="233"/>
      <c r="I7" s="233"/>
      <c r="J7" s="233" t="s">
        <v>915</v>
      </c>
      <c r="K7" s="233"/>
      <c r="L7" s="233"/>
      <c r="M7" s="233"/>
      <c r="N7" s="226"/>
      <c r="O7" s="310"/>
      <c r="P7" s="311"/>
      <c r="Q7" s="233"/>
      <c r="R7" s="233"/>
      <c r="S7" s="311"/>
      <c r="T7" s="311"/>
      <c r="U7" s="310" t="s">
        <v>937</v>
      </c>
      <c r="V7" s="311"/>
    </row>
    <row r="8" spans="1:22" x14ac:dyDescent="0.25">
      <c r="A8" t="s">
        <v>713</v>
      </c>
      <c r="B8" s="307">
        <f>+S23</f>
        <v>3573046.9034759998</v>
      </c>
      <c r="D8" s="233"/>
      <c r="E8" s="233"/>
      <c r="F8" s="233"/>
      <c r="G8" s="233"/>
      <c r="H8" s="233"/>
      <c r="I8" s="233"/>
      <c r="J8" s="233" t="s">
        <v>916</v>
      </c>
      <c r="K8" s="233"/>
      <c r="L8" s="233"/>
      <c r="M8" s="233"/>
      <c r="N8" s="226"/>
      <c r="O8" s="310"/>
      <c r="P8" s="311"/>
      <c r="Q8" s="233"/>
      <c r="R8" s="233"/>
      <c r="S8" s="311"/>
      <c r="T8" s="311"/>
      <c r="U8" s="310" t="s">
        <v>938</v>
      </c>
      <c r="V8" s="311"/>
    </row>
    <row r="9" spans="1:22" x14ac:dyDescent="0.25">
      <c r="D9" s="233"/>
      <c r="E9" s="233"/>
      <c r="F9" s="311"/>
      <c r="G9" s="233"/>
      <c r="H9" s="233"/>
      <c r="I9" s="233"/>
      <c r="J9" s="233" t="s">
        <v>917</v>
      </c>
      <c r="K9" s="317"/>
      <c r="L9" s="317"/>
      <c r="M9" s="317"/>
      <c r="N9" s="226"/>
      <c r="O9" s="233"/>
      <c r="P9" s="233"/>
      <c r="Q9" s="233"/>
      <c r="R9" s="233"/>
      <c r="S9" s="233"/>
      <c r="T9" s="233"/>
      <c r="U9" s="233" t="s">
        <v>311</v>
      </c>
      <c r="V9" s="233"/>
    </row>
    <row r="10" spans="1:22" ht="15.75" thickBot="1" x14ac:dyDescent="0.3">
      <c r="D10" s="306" t="s">
        <v>1642</v>
      </c>
      <c r="E10" s="306"/>
      <c r="F10" s="326"/>
      <c r="G10" s="319"/>
      <c r="H10" s="319"/>
      <c r="I10" s="319"/>
      <c r="J10" s="361" t="s">
        <v>918</v>
      </c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x14ac:dyDescent="0.25">
      <c r="D11" s="233"/>
      <c r="E11" s="233"/>
      <c r="F11" s="233"/>
      <c r="G11" s="233"/>
      <c r="H11" s="317"/>
      <c r="I11" s="233"/>
      <c r="J11" s="317"/>
      <c r="K11" s="362"/>
      <c r="L11" s="317"/>
      <c r="M11" s="233"/>
      <c r="N11" s="317"/>
      <c r="O11" s="233"/>
      <c r="P11" s="362"/>
      <c r="Q11" s="233"/>
      <c r="R11" s="233"/>
      <c r="S11" s="233"/>
      <c r="T11" s="233"/>
      <c r="U11" s="233"/>
      <c r="V11" s="233"/>
    </row>
    <row r="12" spans="1:22" x14ac:dyDescent="0.25">
      <c r="D12" s="233"/>
      <c r="E12" s="233"/>
      <c r="F12" s="233"/>
      <c r="G12" s="233"/>
      <c r="H12" s="362"/>
      <c r="I12" s="233"/>
      <c r="J12" s="233"/>
      <c r="K12" s="362"/>
      <c r="L12" s="45"/>
      <c r="M12" s="233"/>
      <c r="N12" s="317"/>
      <c r="O12" s="233"/>
      <c r="P12" s="362"/>
      <c r="Q12" s="233"/>
      <c r="R12" s="233"/>
      <c r="S12" s="354"/>
      <c r="T12" s="233"/>
      <c r="U12" s="233"/>
      <c r="V12" s="233"/>
    </row>
    <row r="13" spans="1:22" x14ac:dyDescent="0.25">
      <c r="D13" s="233"/>
      <c r="E13" s="233"/>
      <c r="F13" s="233"/>
      <c r="G13" s="233"/>
      <c r="H13" s="233"/>
      <c r="I13" s="362"/>
      <c r="J13" s="362"/>
      <c r="K13" s="363"/>
      <c r="L13" s="233"/>
      <c r="M13" s="46" t="s">
        <v>716</v>
      </c>
      <c r="N13" s="364" t="s">
        <v>808</v>
      </c>
      <c r="O13" s="362"/>
      <c r="P13" s="233"/>
      <c r="Q13" s="362"/>
      <c r="R13" s="362"/>
      <c r="S13" s="365"/>
      <c r="T13" s="362"/>
      <c r="U13" s="362"/>
      <c r="V13" s="233"/>
    </row>
    <row r="14" spans="1:22" x14ac:dyDescent="0.25">
      <c r="D14" s="233"/>
      <c r="E14" s="233"/>
      <c r="F14" s="233"/>
      <c r="G14" s="233"/>
      <c r="H14" s="233"/>
      <c r="I14" s="362"/>
      <c r="J14" s="362"/>
      <c r="K14" s="362"/>
      <c r="L14" s="47"/>
      <c r="M14" s="362"/>
      <c r="N14" s="317"/>
      <c r="O14" s="362"/>
      <c r="P14" s="362"/>
      <c r="Q14" s="362"/>
      <c r="R14" s="362"/>
      <c r="S14" s="365"/>
      <c r="T14" s="362"/>
      <c r="U14" s="362"/>
      <c r="V14" s="362"/>
    </row>
    <row r="15" spans="1:22" x14ac:dyDescent="0.25">
      <c r="D15" s="226" t="s">
        <v>314</v>
      </c>
      <c r="E15" s="366" t="s">
        <v>315</v>
      </c>
      <c r="F15" s="2"/>
      <c r="G15" s="3"/>
      <c r="H15" s="4"/>
      <c r="I15" s="4"/>
      <c r="J15" s="5" t="s">
        <v>316</v>
      </c>
      <c r="K15" s="4"/>
      <c r="L15" s="48"/>
      <c r="M15" s="2"/>
      <c r="N15" s="6"/>
      <c r="O15" s="4"/>
      <c r="P15" s="5"/>
      <c r="Q15" s="5" t="s">
        <v>317</v>
      </c>
      <c r="R15" s="4"/>
      <c r="S15" s="49"/>
      <c r="T15" s="2"/>
      <c r="U15" s="7" t="s">
        <v>318</v>
      </c>
      <c r="V15" s="7" t="s">
        <v>319</v>
      </c>
    </row>
    <row r="16" spans="1:22" ht="15.75" thickBot="1" x14ac:dyDescent="0.3">
      <c r="A16" s="216" t="s">
        <v>552</v>
      </c>
      <c r="B16" s="216" t="s">
        <v>553</v>
      </c>
      <c r="D16" s="314" t="s">
        <v>320</v>
      </c>
      <c r="E16" s="367" t="s">
        <v>321</v>
      </c>
      <c r="F16" s="8"/>
      <c r="G16" s="306"/>
      <c r="H16" s="306" t="s">
        <v>322</v>
      </c>
      <c r="I16" s="8"/>
      <c r="J16" s="8" t="s">
        <v>323</v>
      </c>
      <c r="K16" s="8"/>
      <c r="L16" s="50" t="s">
        <v>324</v>
      </c>
      <c r="M16" s="8"/>
      <c r="N16" s="9"/>
      <c r="O16" s="8" t="s">
        <v>322</v>
      </c>
      <c r="P16" s="8"/>
      <c r="Q16" s="8" t="s">
        <v>323</v>
      </c>
      <c r="R16" s="8"/>
      <c r="S16" s="51" t="s">
        <v>324</v>
      </c>
      <c r="T16" s="8"/>
      <c r="U16" s="10" t="s">
        <v>325</v>
      </c>
      <c r="V16" s="10" t="s">
        <v>326</v>
      </c>
    </row>
    <row r="17" spans="1:22" x14ac:dyDescent="0.25">
      <c r="D17" s="233">
        <v>1</v>
      </c>
      <c r="E17" s="329"/>
      <c r="F17" s="327"/>
      <c r="G17" s="327"/>
      <c r="H17" s="233"/>
      <c r="I17" s="15"/>
      <c r="J17" s="15"/>
      <c r="K17" s="15"/>
      <c r="L17" s="12"/>
      <c r="M17" s="11"/>
      <c r="N17" s="6"/>
      <c r="O17" s="11"/>
      <c r="P17" s="15"/>
      <c r="Q17" s="15"/>
      <c r="R17" s="15"/>
      <c r="S17" s="52"/>
      <c r="T17" s="15"/>
      <c r="U17" s="15"/>
      <c r="V17" s="15"/>
    </row>
    <row r="18" spans="1:22" x14ac:dyDescent="0.25">
      <c r="A18" s="368" t="s">
        <v>295</v>
      </c>
      <c r="B18" s="368" t="s">
        <v>550</v>
      </c>
      <c r="D18" s="233">
        <v>2</v>
      </c>
      <c r="E18" s="11" t="s">
        <v>327</v>
      </c>
      <c r="F18" s="11"/>
      <c r="G18" s="233"/>
      <c r="H18" s="13">
        <f>+INDEX('2025 Org Base Case BDs'!B:B,MATCH('2025 LS Rate Class E-13c'!A18,'2025 Org Base Case BDs'!A:A,0))</f>
        <v>86098</v>
      </c>
      <c r="I18" s="12" t="s">
        <v>329</v>
      </c>
      <c r="J18" s="19">
        <f>+INDEX('2024 Base Rates'!E:E,MATCH('2025 LS Rate Class E-13c'!B18,'2024 Base Rates'!D:D,0))</f>
        <v>0.71</v>
      </c>
      <c r="K18" s="12"/>
      <c r="L18" s="12">
        <f>+H18*J18</f>
        <v>61129.579999999994</v>
      </c>
      <c r="M18" s="13"/>
      <c r="N18" s="22"/>
      <c r="O18" s="13">
        <f>+INDEX('2025 Billing Determinants'!B:B,MATCH('2025 LS Rate Class E-13c'!A18,'2025 Billing Determinants'!A:A,0))</f>
        <v>86098</v>
      </c>
      <c r="P18" s="12" t="s">
        <v>329</v>
      </c>
      <c r="Q18" s="19">
        <f>+J18</f>
        <v>0.71</v>
      </c>
      <c r="R18" s="12"/>
      <c r="S18" s="12">
        <f>+O18*Q18</f>
        <v>61129.579999999994</v>
      </c>
      <c r="T18" s="12"/>
      <c r="U18" s="12">
        <f>+S18-L18</f>
        <v>0</v>
      </c>
      <c r="V18" s="21">
        <f>+IF(U18=0,0,(S18-L18)/L18)</f>
        <v>0</v>
      </c>
    </row>
    <row r="19" spans="1:22" x14ac:dyDescent="0.25">
      <c r="A19" s="368"/>
      <c r="B19" s="368"/>
      <c r="D19" s="233">
        <v>3</v>
      </c>
      <c r="E19" s="233"/>
      <c r="F19" s="233"/>
      <c r="G19" s="233"/>
      <c r="H19" s="13"/>
      <c r="I19" s="12"/>
      <c r="J19" s="27"/>
      <c r="K19" s="233"/>
      <c r="L19" s="12"/>
      <c r="M19" s="233"/>
      <c r="N19" s="226"/>
      <c r="O19" s="13"/>
      <c r="P19" s="12"/>
      <c r="Q19" s="27"/>
      <c r="R19" s="233"/>
      <c r="S19" s="12"/>
      <c r="T19" s="233"/>
      <c r="U19" s="233"/>
      <c r="V19" s="23"/>
    </row>
    <row r="20" spans="1:22" x14ac:dyDescent="0.25">
      <c r="A20" s="368" t="s">
        <v>296</v>
      </c>
      <c r="B20" s="368" t="s">
        <v>498</v>
      </c>
      <c r="D20" s="233">
        <v>4</v>
      </c>
      <c r="E20" s="11" t="s">
        <v>809</v>
      </c>
      <c r="F20" s="233"/>
      <c r="G20" s="233"/>
      <c r="H20" s="13">
        <f>+INDEX('2025 Org Base Case BDs'!B:B,MATCH('2025 LS Rate Class E-13c'!A20,'2025 Org Base Case BDs'!A:A,0))+INDEX('2025 Org Base Case BDs'!B:B,MATCH('2025 LS Rate Class E-13c'!A21,'2025 Org Base Case BDs'!A:A,0))+INDEX('2025 Org Base Case BDs'!B:B,MATCH('2025 LS Rate Class E-13c'!A22,'2025 Org Base Case BDs'!A:A,0))+INDEX('2025 Org Base Case BDs'!B:B,MATCH('2025 LS Rate Class E-13c'!A23,'2025 Org Base Case BDs'!A:A,0))</f>
        <v>107727525.26003531</v>
      </c>
      <c r="I20" s="12" t="s">
        <v>711</v>
      </c>
      <c r="J20" s="28">
        <f>+INDEX('2024 Base Rates'!E:E,MATCH('2025 LS Rate Class E-13c'!B20,'2024 Base Rates'!D:D,0))</f>
        <v>3.2599999999999997E-2</v>
      </c>
      <c r="K20" s="233"/>
      <c r="L20" s="12">
        <f>+H20*J20</f>
        <v>3511917.3234771509</v>
      </c>
      <c r="M20" s="233"/>
      <c r="N20" s="226"/>
      <c r="O20" s="12">
        <f>+INDEX('2025 Billing Determinants'!B:B,MATCH('2025 LS Rate Class E-13c'!A20,'2025 Billing Determinants'!A:A,0))+INDEX('2025 Billing Determinants'!B:B,MATCH('2025 LS Rate Class E-13c'!A21,'2025 Billing Determinants'!A:A,0))+INDEX('2025 Billing Determinants'!B:B,MATCH('2025 LS Rate Class E-13c'!A22,'2025 Billing Determinants'!A:A,0))+INDEX('2025 Billing Determinants'!B:B,MATCH('2025 LS Rate Class E-13c'!A23,'2025 Billing Determinants'!A:A,0))</f>
        <v>107727525.26000001</v>
      </c>
      <c r="P20" s="12" t="s">
        <v>711</v>
      </c>
      <c r="Q20" s="60">
        <f>+J20</f>
        <v>3.2599999999999997E-2</v>
      </c>
      <c r="R20" s="233"/>
      <c r="S20" s="12">
        <f>+O20*Q20</f>
        <v>3511917.3234759998</v>
      </c>
      <c r="T20" s="233"/>
      <c r="U20" s="12">
        <f>+S20-L20</f>
        <v>-1.1511147022247314E-6</v>
      </c>
      <c r="V20" s="21">
        <f>+IF(U20=0,0,(S20-L20)/L20)</f>
        <v>-3.2777386145440699E-13</v>
      </c>
    </row>
    <row r="21" spans="1:22" x14ac:dyDescent="0.25">
      <c r="A21" s="368" t="s">
        <v>297</v>
      </c>
      <c r="B21" s="368"/>
      <c r="D21" s="233">
        <v>5</v>
      </c>
      <c r="E21" s="11"/>
      <c r="F21" s="233"/>
      <c r="G21" s="233"/>
      <c r="H21" s="13"/>
      <c r="I21" s="12"/>
      <c r="J21" s="27"/>
      <c r="K21" s="233"/>
      <c r="L21" s="12"/>
      <c r="M21" s="233"/>
      <c r="N21" s="226"/>
      <c r="O21" s="13"/>
      <c r="P21" s="12"/>
      <c r="Q21" s="27"/>
      <c r="R21" s="233"/>
      <c r="S21" s="12"/>
      <c r="T21" s="233"/>
      <c r="U21" s="233"/>
      <c r="V21" s="23"/>
    </row>
    <row r="22" spans="1:22" x14ac:dyDescent="0.25">
      <c r="A22" s="368" t="s">
        <v>298</v>
      </c>
      <c r="B22" s="368"/>
      <c r="D22" s="233">
        <v>6</v>
      </c>
      <c r="E22" s="233"/>
      <c r="F22" s="233"/>
      <c r="G22" s="233"/>
      <c r="H22" s="13"/>
      <c r="I22" s="12"/>
      <c r="J22" s="27"/>
      <c r="K22" s="233"/>
      <c r="L22" s="12"/>
      <c r="M22" s="233"/>
      <c r="N22" s="226"/>
      <c r="O22" s="13"/>
      <c r="P22" s="12"/>
      <c r="Q22" s="27"/>
      <c r="R22" s="233"/>
      <c r="S22" s="12"/>
      <c r="T22" s="233"/>
      <c r="U22" s="233"/>
      <c r="V22" s="23"/>
    </row>
    <row r="23" spans="1:22" ht="15.75" thickBot="1" x14ac:dyDescent="0.3">
      <c r="A23" s="368" t="s">
        <v>299</v>
      </c>
      <c r="B23" s="368"/>
      <c r="D23" s="233">
        <v>7</v>
      </c>
      <c r="E23" s="11" t="s">
        <v>337</v>
      </c>
      <c r="F23" s="233"/>
      <c r="G23" s="233"/>
      <c r="H23" s="13"/>
      <c r="I23" s="12"/>
      <c r="J23" s="27"/>
      <c r="K23" s="233"/>
      <c r="L23" s="56">
        <f>+L18+L20</f>
        <v>3573046.9034771509</v>
      </c>
      <c r="M23" s="233"/>
      <c r="N23" s="226"/>
      <c r="O23" s="13"/>
      <c r="P23" s="12"/>
      <c r="Q23" s="27"/>
      <c r="R23" s="233"/>
      <c r="S23" s="56">
        <f>+S18+S20</f>
        <v>3573046.9034759998</v>
      </c>
      <c r="T23" s="233"/>
      <c r="U23" s="12">
        <f>+U18+U20</f>
        <v>-1.1511147022247314E-6</v>
      </c>
      <c r="V23" s="21">
        <f>+IF(U23=0,0,(S23-L23)/L23)</f>
        <v>-3.2216613252529967E-13</v>
      </c>
    </row>
    <row r="24" spans="1:22" ht="15.75" thickTop="1" x14ac:dyDescent="0.25">
      <c r="D24" s="233">
        <v>8</v>
      </c>
      <c r="E24" s="233"/>
      <c r="F24" s="233"/>
      <c r="G24" s="233"/>
      <c r="H24" s="12"/>
      <c r="I24" s="12"/>
      <c r="J24" s="19"/>
      <c r="K24" s="233"/>
      <c r="L24" s="12"/>
      <c r="M24" s="233"/>
      <c r="N24" s="226"/>
      <c r="O24" s="12"/>
      <c r="P24" s="12"/>
      <c r="Q24" s="19"/>
      <c r="R24" s="233"/>
      <c r="S24" s="12"/>
      <c r="T24" s="233"/>
      <c r="U24" s="233"/>
      <c r="V24" s="23"/>
    </row>
    <row r="25" spans="1:22" x14ac:dyDescent="0.25">
      <c r="D25" s="233">
        <v>9</v>
      </c>
      <c r="E25" s="233"/>
      <c r="F25" s="233"/>
      <c r="G25" s="233"/>
      <c r="H25" s="12"/>
      <c r="I25" s="12"/>
      <c r="J25" s="19"/>
      <c r="K25" s="233"/>
      <c r="L25" s="12"/>
      <c r="M25" s="233"/>
      <c r="N25" s="226"/>
      <c r="O25" s="12"/>
      <c r="P25" s="12"/>
      <c r="Q25" s="19"/>
      <c r="R25" s="233"/>
      <c r="S25" s="12"/>
      <c r="T25" s="233"/>
      <c r="U25" s="233"/>
      <c r="V25" s="23"/>
    </row>
    <row r="26" spans="1:22" x14ac:dyDescent="0.25">
      <c r="D26" s="233">
        <v>10</v>
      </c>
      <c r="E26" s="233"/>
      <c r="F26" s="233"/>
      <c r="G26" s="233"/>
      <c r="H26" s="12"/>
      <c r="I26" s="12"/>
      <c r="J26" s="19"/>
      <c r="K26" s="233"/>
      <c r="L26" s="12"/>
      <c r="M26" s="233"/>
      <c r="N26" s="226"/>
      <c r="O26" s="12"/>
      <c r="P26" s="12"/>
      <c r="Q26" s="19"/>
      <c r="R26" s="233"/>
      <c r="S26" s="12"/>
      <c r="T26" s="233"/>
      <c r="U26" s="233"/>
      <c r="V26" s="23"/>
    </row>
    <row r="27" spans="1:22" x14ac:dyDescent="0.25">
      <c r="D27" s="233">
        <v>11</v>
      </c>
      <c r="E27" s="11"/>
      <c r="F27" s="15"/>
      <c r="G27" s="233"/>
      <c r="H27" s="354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233"/>
      <c r="U27" s="233"/>
      <c r="V27" s="23"/>
    </row>
    <row r="28" spans="1:22" x14ac:dyDescent="0.25">
      <c r="D28" s="233">
        <v>12</v>
      </c>
      <c r="E28" s="233"/>
      <c r="F28" s="233"/>
      <c r="G28" s="233"/>
      <c r="H28" s="233"/>
      <c r="I28" s="233"/>
      <c r="J28" s="233"/>
      <c r="K28" s="233"/>
      <c r="L28" s="12"/>
      <c r="M28" s="233"/>
      <c r="N28" s="226"/>
      <c r="O28" s="233"/>
      <c r="P28" s="233"/>
      <c r="Q28" s="233"/>
      <c r="R28" s="233"/>
      <c r="S28" s="354"/>
      <c r="T28" s="233"/>
      <c r="U28" s="233"/>
      <c r="V28" s="233"/>
    </row>
    <row r="29" spans="1:22" x14ac:dyDescent="0.25">
      <c r="D29" s="233">
        <v>13</v>
      </c>
      <c r="E29" s="329"/>
      <c r="F29" s="329"/>
      <c r="G29" s="329"/>
      <c r="H29" s="233"/>
      <c r="I29" s="233"/>
      <c r="J29" s="233"/>
      <c r="K29" s="233"/>
      <c r="L29" s="12"/>
      <c r="M29" s="233"/>
      <c r="N29" s="226"/>
      <c r="O29" s="233"/>
      <c r="P29" s="233"/>
      <c r="Q29" s="233"/>
      <c r="R29" s="233"/>
      <c r="S29" s="354"/>
      <c r="T29" s="233"/>
      <c r="U29" s="233"/>
      <c r="V29" s="233"/>
    </row>
    <row r="30" spans="1:22" x14ac:dyDescent="0.25">
      <c r="D30" s="233">
        <v>14</v>
      </c>
      <c r="E30" s="11"/>
      <c r="F30" s="233"/>
      <c r="G30" s="233"/>
      <c r="H30" s="12"/>
      <c r="I30" s="12"/>
      <c r="J30" s="369"/>
      <c r="K30" s="233"/>
      <c r="L30" s="12"/>
      <c r="M30" s="233"/>
      <c r="N30" s="226"/>
      <c r="O30" s="12"/>
      <c r="P30" s="12"/>
      <c r="Q30" s="23"/>
      <c r="R30" s="233"/>
      <c r="S30" s="12"/>
      <c r="T30" s="233"/>
      <c r="U30" s="233"/>
      <c r="V30" s="23"/>
    </row>
    <row r="31" spans="1:22" x14ac:dyDescent="0.25">
      <c r="D31" s="233">
        <v>15</v>
      </c>
      <c r="E31" s="11"/>
      <c r="F31" s="233"/>
      <c r="G31" s="233"/>
      <c r="H31" s="12"/>
      <c r="I31" s="12"/>
      <c r="J31" s="369"/>
      <c r="K31" s="233"/>
      <c r="L31" s="12"/>
      <c r="M31" s="233"/>
      <c r="N31" s="226"/>
      <c r="O31" s="12"/>
      <c r="P31" s="12"/>
      <c r="Q31" s="23"/>
      <c r="R31" s="233"/>
      <c r="S31" s="12"/>
      <c r="T31" s="233"/>
      <c r="U31" s="233"/>
      <c r="V31" s="23"/>
    </row>
    <row r="32" spans="1:22" x14ac:dyDescent="0.25">
      <c r="D32" s="233">
        <v>16</v>
      </c>
      <c r="E32" s="233"/>
      <c r="F32" s="233"/>
      <c r="G32" s="233"/>
      <c r="H32" s="12"/>
      <c r="I32" s="12"/>
      <c r="J32" s="369"/>
      <c r="K32" s="233"/>
      <c r="L32" s="12"/>
      <c r="M32" s="233"/>
      <c r="N32" s="226"/>
      <c r="O32" s="12"/>
      <c r="P32" s="12"/>
      <c r="Q32" s="23"/>
      <c r="R32" s="233"/>
      <c r="S32" s="12"/>
      <c r="T32" s="233"/>
      <c r="U32" s="233"/>
      <c r="V32" s="23"/>
    </row>
    <row r="33" spans="4:22" x14ac:dyDescent="0.25">
      <c r="D33" s="233">
        <v>17</v>
      </c>
      <c r="E33" s="233"/>
      <c r="F33" s="233"/>
      <c r="G33" s="233"/>
      <c r="H33" s="12"/>
      <c r="I33" s="12"/>
      <c r="J33" s="369"/>
      <c r="K33" s="233"/>
      <c r="L33" s="12"/>
      <c r="M33" s="233"/>
      <c r="N33" s="226"/>
      <c r="O33" s="12"/>
      <c r="P33" s="12"/>
      <c r="Q33" s="23"/>
      <c r="R33" s="233"/>
      <c r="S33" s="12"/>
      <c r="T33" s="233"/>
      <c r="U33" s="233"/>
      <c r="V33" s="23"/>
    </row>
    <row r="34" spans="4:22" x14ac:dyDescent="0.25">
      <c r="D34" s="233">
        <v>18</v>
      </c>
      <c r="E34" s="329"/>
      <c r="F34" s="329"/>
      <c r="G34" s="329"/>
      <c r="H34" s="233"/>
      <c r="I34" s="233"/>
      <c r="J34" s="369"/>
      <c r="K34" s="233"/>
      <c r="L34" s="12"/>
      <c r="M34" s="233"/>
      <c r="N34" s="226"/>
      <c r="O34" s="233"/>
      <c r="P34" s="233"/>
      <c r="Q34" s="23"/>
      <c r="R34" s="233"/>
      <c r="S34" s="354"/>
      <c r="T34" s="233"/>
      <c r="U34" s="233"/>
      <c r="V34" s="233"/>
    </row>
    <row r="35" spans="4:22" x14ac:dyDescent="0.25">
      <c r="D35" s="233">
        <v>19</v>
      </c>
      <c r="E35" s="233"/>
      <c r="F35" s="233"/>
      <c r="G35" s="233"/>
      <c r="H35" s="12"/>
      <c r="I35" s="12"/>
      <c r="J35" s="369"/>
      <c r="K35" s="12"/>
      <c r="L35" s="12"/>
      <c r="M35" s="12"/>
      <c r="N35" s="22"/>
      <c r="O35" s="12"/>
      <c r="P35" s="12"/>
      <c r="Q35" s="23"/>
      <c r="R35" s="12"/>
      <c r="S35" s="12"/>
      <c r="T35" s="12"/>
      <c r="U35" s="12"/>
      <c r="V35" s="23"/>
    </row>
    <row r="36" spans="4:22" x14ac:dyDescent="0.25">
      <c r="D36" s="233">
        <v>20</v>
      </c>
      <c r="E36" s="233"/>
      <c r="F36" s="15"/>
      <c r="G36" s="233"/>
      <c r="H36" s="12"/>
      <c r="I36" s="12"/>
      <c r="J36" s="369"/>
      <c r="K36" s="12"/>
      <c r="L36" s="12"/>
      <c r="M36" s="12"/>
      <c r="N36" s="22"/>
      <c r="O36" s="12"/>
      <c r="P36" s="12"/>
      <c r="Q36" s="23"/>
      <c r="R36" s="12"/>
      <c r="S36" s="12"/>
      <c r="T36" s="12"/>
      <c r="U36" s="12"/>
      <c r="V36" s="23"/>
    </row>
    <row r="37" spans="4:22" x14ac:dyDescent="0.25">
      <c r="D37" s="233">
        <v>21</v>
      </c>
      <c r="E37" s="11"/>
      <c r="F37" s="15"/>
      <c r="G37" s="233"/>
      <c r="H37" s="12"/>
      <c r="I37" s="12"/>
      <c r="J37" s="12"/>
      <c r="K37" s="12"/>
      <c r="L37" s="12"/>
      <c r="M37" s="12"/>
      <c r="N37" s="22"/>
      <c r="O37" s="12"/>
      <c r="P37" s="12"/>
      <c r="Q37" s="12"/>
      <c r="R37" s="12"/>
      <c r="S37" s="12"/>
      <c r="T37" s="233"/>
      <c r="U37" s="233"/>
      <c r="V37" s="23"/>
    </row>
    <row r="38" spans="4:22" x14ac:dyDescent="0.25">
      <c r="D38" s="233">
        <v>22</v>
      </c>
      <c r="E38" s="233"/>
      <c r="F38" s="233"/>
      <c r="G38" s="233"/>
      <c r="H38" s="233"/>
      <c r="I38" s="233"/>
      <c r="J38" s="233"/>
      <c r="K38" s="233"/>
      <c r="L38" s="12"/>
      <c r="M38" s="233"/>
      <c r="N38" s="226"/>
      <c r="O38" s="233"/>
      <c r="P38" s="233"/>
      <c r="Q38" s="233"/>
      <c r="R38" s="233"/>
      <c r="S38" s="354"/>
      <c r="T38" s="233"/>
      <c r="U38" s="233"/>
      <c r="V38" s="233"/>
    </row>
    <row r="39" spans="4:22" x14ac:dyDescent="0.25">
      <c r="D39" s="233">
        <v>23</v>
      </c>
      <c r="E39" s="11"/>
      <c r="F39" s="233"/>
      <c r="G39" s="233"/>
      <c r="H39" s="233"/>
      <c r="I39" s="233"/>
      <c r="J39" s="233"/>
      <c r="K39" s="233"/>
      <c r="L39" s="15"/>
      <c r="M39" s="12"/>
      <c r="N39" s="22"/>
      <c r="O39" s="12"/>
      <c r="P39" s="12"/>
      <c r="Q39" s="12"/>
      <c r="R39" s="12"/>
      <c r="S39" s="15"/>
      <c r="T39" s="12"/>
      <c r="U39" s="12"/>
      <c r="V39" s="23"/>
    </row>
    <row r="40" spans="4:22" x14ac:dyDescent="0.25">
      <c r="D40" s="233">
        <v>24</v>
      </c>
      <c r="E40" s="15"/>
      <c r="F40" s="233"/>
      <c r="G40" s="233"/>
      <c r="H40" s="12"/>
      <c r="I40" s="12"/>
      <c r="J40" s="19"/>
      <c r="K40" s="233"/>
      <c r="L40" s="12"/>
      <c r="M40" s="233"/>
      <c r="N40" s="226"/>
      <c r="O40" s="12"/>
      <c r="P40" s="12"/>
      <c r="Q40" s="19"/>
      <c r="R40" s="233"/>
      <c r="S40" s="30"/>
      <c r="T40" s="233"/>
      <c r="U40" s="233"/>
      <c r="V40" s="23"/>
    </row>
    <row r="41" spans="4:22" x14ac:dyDescent="0.25">
      <c r="D41" s="233">
        <v>25</v>
      </c>
      <c r="E41" s="15"/>
      <c r="F41" s="233"/>
      <c r="G41" s="233"/>
      <c r="H41" s="12"/>
      <c r="I41" s="12"/>
      <c r="J41" s="19"/>
      <c r="K41" s="233"/>
      <c r="L41" s="42"/>
      <c r="M41" s="233"/>
      <c r="N41" s="226"/>
      <c r="O41" s="12"/>
      <c r="P41" s="12"/>
      <c r="Q41" s="19"/>
      <c r="R41" s="233"/>
      <c r="S41" s="30"/>
      <c r="T41" s="233"/>
      <c r="U41" s="233"/>
      <c r="V41" s="23"/>
    </row>
    <row r="42" spans="4:22" x14ac:dyDescent="0.25">
      <c r="D42" s="233">
        <v>26</v>
      </c>
      <c r="E42" s="233"/>
      <c r="F42" s="233"/>
      <c r="G42" s="233"/>
      <c r="H42" s="12"/>
      <c r="I42" s="12"/>
      <c r="J42" s="19"/>
      <c r="K42" s="233"/>
      <c r="L42" s="42"/>
      <c r="M42" s="233"/>
      <c r="N42" s="226"/>
      <c r="O42" s="12"/>
      <c r="P42" s="12"/>
      <c r="Q42" s="19"/>
      <c r="R42" s="233"/>
      <c r="S42" s="30"/>
      <c r="T42" s="233"/>
      <c r="U42" s="233"/>
      <c r="V42" s="23"/>
    </row>
    <row r="43" spans="4:22" x14ac:dyDescent="0.25">
      <c r="D43" s="233">
        <v>27</v>
      </c>
      <c r="E43" s="233"/>
      <c r="F43" s="233"/>
      <c r="G43" s="233"/>
      <c r="H43" s="12"/>
      <c r="I43" s="12"/>
      <c r="J43" s="19"/>
      <c r="K43" s="233"/>
      <c r="L43" s="42"/>
      <c r="M43" s="233"/>
      <c r="N43" s="226"/>
      <c r="O43" s="12"/>
      <c r="P43" s="12"/>
      <c r="Q43" s="19"/>
      <c r="R43" s="233"/>
      <c r="S43" s="30"/>
      <c r="T43" s="233"/>
      <c r="U43" s="233"/>
      <c r="V43" s="23"/>
    </row>
    <row r="44" spans="4:22" x14ac:dyDescent="0.25">
      <c r="D44" s="233">
        <v>28</v>
      </c>
      <c r="E44" s="15"/>
      <c r="F44" s="15"/>
      <c r="G44" s="233"/>
      <c r="H44" s="12"/>
      <c r="I44" s="12"/>
      <c r="J44" s="19"/>
      <c r="K44" s="233"/>
      <c r="L44" s="42"/>
      <c r="M44" s="233"/>
      <c r="N44" s="226"/>
      <c r="O44" s="12"/>
      <c r="P44" s="12"/>
      <c r="Q44" s="19"/>
      <c r="R44" s="233"/>
      <c r="S44" s="30"/>
      <c r="T44" s="233"/>
      <c r="U44" s="233"/>
      <c r="V44" s="23"/>
    </row>
    <row r="45" spans="4:22" x14ac:dyDescent="0.25">
      <c r="D45" s="233">
        <v>29</v>
      </c>
      <c r="E45" s="233"/>
      <c r="F45" s="15"/>
      <c r="G45" s="233"/>
      <c r="H45" s="12"/>
      <c r="I45" s="12"/>
      <c r="J45" s="19"/>
      <c r="K45" s="233"/>
      <c r="L45" s="42"/>
      <c r="M45" s="233"/>
      <c r="N45" s="226"/>
      <c r="O45" s="12"/>
      <c r="P45" s="12"/>
      <c r="Q45" s="19"/>
      <c r="R45" s="233"/>
      <c r="S45" s="30"/>
      <c r="T45" s="233"/>
      <c r="U45" s="233"/>
      <c r="V45" s="23"/>
    </row>
    <row r="46" spans="4:22" x14ac:dyDescent="0.25">
      <c r="D46" s="233">
        <v>30</v>
      </c>
      <c r="E46" s="233"/>
      <c r="F46" s="233"/>
      <c r="G46" s="233"/>
      <c r="H46" s="12"/>
      <c r="I46" s="12"/>
      <c r="J46" s="19"/>
      <c r="K46" s="233"/>
      <c r="L46" s="42"/>
      <c r="M46" s="233"/>
      <c r="N46" s="226"/>
      <c r="O46" s="12"/>
      <c r="P46" s="12"/>
      <c r="Q46" s="19"/>
      <c r="R46" s="233"/>
      <c r="S46" s="30"/>
      <c r="T46" s="233"/>
      <c r="U46" s="233"/>
      <c r="V46" s="23"/>
    </row>
    <row r="47" spans="4:22" x14ac:dyDescent="0.25">
      <c r="D47" s="233">
        <v>31</v>
      </c>
      <c r="E47" s="15"/>
      <c r="F47" s="15"/>
      <c r="G47" s="233"/>
      <c r="H47" s="12"/>
      <c r="I47" s="233"/>
      <c r="J47" s="233"/>
      <c r="K47" s="233"/>
      <c r="L47" s="323"/>
      <c r="M47" s="233"/>
      <c r="N47" s="226"/>
      <c r="O47" s="12"/>
      <c r="P47" s="233"/>
      <c r="Q47" s="233"/>
      <c r="R47" s="233"/>
      <c r="S47" s="370"/>
      <c r="T47" s="233"/>
      <c r="U47" s="233"/>
      <c r="V47" s="23"/>
    </row>
    <row r="48" spans="4:22" x14ac:dyDescent="0.25">
      <c r="D48" s="233">
        <v>32</v>
      </c>
      <c r="E48" s="233"/>
      <c r="F48" s="233"/>
      <c r="G48" s="233"/>
      <c r="H48" s="233"/>
      <c r="I48" s="233"/>
      <c r="J48" s="233"/>
      <c r="K48" s="233"/>
      <c r="L48" s="323"/>
      <c r="M48" s="233"/>
      <c r="N48" s="226"/>
      <c r="O48" s="233"/>
      <c r="P48" s="233"/>
      <c r="Q48" s="233"/>
      <c r="R48" s="233"/>
      <c r="S48" s="233"/>
      <c r="T48" s="233"/>
      <c r="U48" s="233"/>
      <c r="V48" s="233"/>
    </row>
    <row r="49" spans="4:22" x14ac:dyDescent="0.25">
      <c r="D49" s="233">
        <v>33</v>
      </c>
      <c r="E49" s="15"/>
      <c r="F49" s="233"/>
      <c r="G49" s="233"/>
      <c r="H49" s="233"/>
      <c r="I49" s="233"/>
      <c r="J49" s="233"/>
      <c r="K49" s="233"/>
      <c r="L49" s="15"/>
      <c r="M49" s="12"/>
      <c r="N49" s="22"/>
      <c r="O49" s="12"/>
      <c r="P49" s="12"/>
      <c r="Q49" s="12"/>
      <c r="R49" s="12"/>
      <c r="S49" s="19"/>
      <c r="T49" s="12"/>
      <c r="U49" s="12"/>
      <c r="V49" s="23"/>
    </row>
    <row r="50" spans="4:22" x14ac:dyDescent="0.25">
      <c r="D50" s="233">
        <v>34</v>
      </c>
      <c r="E50" s="353"/>
      <c r="F50" s="15"/>
      <c r="G50" s="233"/>
      <c r="H50" s="233"/>
      <c r="I50" s="12"/>
      <c r="J50" s="12"/>
      <c r="K50" s="12"/>
      <c r="L50" s="42"/>
      <c r="M50" s="12"/>
      <c r="N50" s="22"/>
      <c r="O50" s="12"/>
      <c r="P50" s="12"/>
      <c r="Q50" s="12"/>
      <c r="R50" s="12"/>
      <c r="S50" s="12"/>
      <c r="T50" s="12"/>
      <c r="U50" s="12"/>
      <c r="V50" s="12"/>
    </row>
    <row r="51" spans="4:22" x14ac:dyDescent="0.25">
      <c r="D51" s="233">
        <v>35</v>
      </c>
      <c r="E51" s="15"/>
      <c r="F51" s="15"/>
      <c r="G51" s="233"/>
      <c r="H51" s="233"/>
      <c r="I51" s="12"/>
      <c r="J51" s="12"/>
      <c r="K51" s="12"/>
      <c r="L51" s="15"/>
      <c r="M51" s="12"/>
      <c r="N51" s="22"/>
      <c r="O51" s="12"/>
      <c r="P51" s="12"/>
      <c r="Q51" s="12"/>
      <c r="R51" s="12"/>
      <c r="S51" s="19"/>
      <c r="T51" s="12"/>
      <c r="U51" s="12"/>
      <c r="V51" s="31"/>
    </row>
    <row r="52" spans="4:22" x14ac:dyDescent="0.25">
      <c r="D52" s="233">
        <v>36</v>
      </c>
      <c r="E52" s="15"/>
      <c r="F52" s="15"/>
      <c r="G52" s="233"/>
      <c r="H52" s="233"/>
      <c r="I52" s="12"/>
      <c r="J52" s="12"/>
      <c r="K52" s="12"/>
      <c r="L52" s="15"/>
      <c r="M52" s="12"/>
      <c r="N52" s="22"/>
      <c r="O52" s="12"/>
      <c r="P52" s="12"/>
      <c r="Q52" s="12"/>
      <c r="R52" s="12"/>
      <c r="S52" s="19"/>
      <c r="T52" s="12"/>
      <c r="U52" s="12"/>
      <c r="V52" s="31"/>
    </row>
    <row r="53" spans="4:22" x14ac:dyDescent="0.25">
      <c r="D53" s="233">
        <v>37</v>
      </c>
      <c r="E53" s="15"/>
      <c r="F53" s="15"/>
      <c r="G53" s="233"/>
      <c r="H53" s="233"/>
      <c r="I53" s="12"/>
      <c r="J53" s="12"/>
      <c r="K53" s="12"/>
      <c r="L53" s="15"/>
      <c r="M53" s="12"/>
      <c r="N53" s="22"/>
      <c r="O53" s="12"/>
      <c r="P53" s="12"/>
      <c r="Q53" s="12"/>
      <c r="R53" s="12"/>
      <c r="S53" s="19"/>
      <c r="T53" s="12"/>
      <c r="U53" s="12"/>
      <c r="V53" s="31"/>
    </row>
    <row r="54" spans="4:22" x14ac:dyDescent="0.25">
      <c r="D54" s="233">
        <v>38</v>
      </c>
      <c r="E54" s="15"/>
      <c r="F54" s="15"/>
      <c r="G54" s="233"/>
      <c r="H54" s="233"/>
      <c r="I54" s="12"/>
      <c r="J54" s="12"/>
      <c r="K54" s="12"/>
      <c r="L54" s="15"/>
      <c r="M54" s="12"/>
      <c r="N54" s="22"/>
      <c r="O54" s="12"/>
      <c r="P54" s="12"/>
      <c r="Q54" s="12"/>
      <c r="R54" s="12"/>
      <c r="S54" s="19"/>
      <c r="T54" s="12"/>
      <c r="U54" s="12"/>
      <c r="V54" s="31"/>
    </row>
    <row r="55" spans="4:22" ht="15.75" thickBot="1" x14ac:dyDescent="0.3">
      <c r="D55" s="306">
        <v>39</v>
      </c>
      <c r="E55" s="306"/>
      <c r="F55" s="306"/>
      <c r="G55" s="306"/>
      <c r="H55" s="306"/>
      <c r="I55" s="306"/>
      <c r="J55" s="306"/>
      <c r="K55" s="306"/>
      <c r="L55" s="338"/>
      <c r="M55" s="306"/>
      <c r="N55" s="314"/>
      <c r="O55" s="306"/>
      <c r="P55" s="306"/>
      <c r="Q55" s="306"/>
      <c r="R55" s="306"/>
      <c r="S55" s="306"/>
      <c r="T55" s="306"/>
      <c r="U55" s="306"/>
      <c r="V55" s="306"/>
    </row>
    <row r="56" spans="4:22" x14ac:dyDescent="0.25">
      <c r="D56" s="233"/>
      <c r="E56" s="233"/>
      <c r="F56" s="233"/>
      <c r="G56" s="233"/>
      <c r="H56" s="233"/>
      <c r="I56" s="233"/>
      <c r="J56" s="233"/>
      <c r="K56" s="233"/>
      <c r="L56" s="323"/>
      <c r="M56" s="233"/>
      <c r="N56" s="226"/>
      <c r="O56" s="233"/>
      <c r="P56" s="233"/>
      <c r="Q56" s="233"/>
      <c r="R56" s="233"/>
      <c r="S56" s="233"/>
      <c r="T56" s="233"/>
      <c r="U56" s="233"/>
      <c r="V56" s="233" t="s">
        <v>304</v>
      </c>
    </row>
  </sheetData>
  <mergeCells count="2">
    <mergeCell ref="K3:O3"/>
    <mergeCell ref="K4:O4"/>
  </mergeCells>
  <pageMargins left="0.7" right="0.7" top="0.75" bottom="0.75" header="0.3" footer="0.3"/>
  <pageSetup scale="47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A8A1-2EB8-4AB1-AC9C-52B5B58A1367}">
  <dimension ref="A1:X373"/>
  <sheetViews>
    <sheetView zoomScale="110" zoomScaleNormal="110" workbookViewId="0"/>
  </sheetViews>
  <sheetFormatPr defaultRowHeight="17.100000000000001" customHeight="1" x14ac:dyDescent="0.25"/>
  <cols>
    <col min="1" max="1" width="19" bestFit="1" customWidth="1"/>
    <col min="2" max="2" width="13.28515625" bestFit="1" customWidth="1"/>
    <col min="4" max="4" width="4.140625" customWidth="1"/>
    <col min="5" max="5" width="53" customWidth="1"/>
    <col min="6" max="6" width="7.85546875" customWidth="1"/>
    <col min="7" max="7" width="17.85546875" bestFit="1" customWidth="1"/>
    <col min="9" max="9" width="11.7109375" customWidth="1"/>
    <col min="10" max="10" width="8.7109375" customWidth="1"/>
    <col min="12" max="12" width="10.5703125" customWidth="1"/>
    <col min="14" max="14" width="15" customWidth="1"/>
    <col min="15" max="15" width="16.140625" customWidth="1"/>
    <col min="16" max="16" width="13.42578125" customWidth="1"/>
    <col min="19" max="19" width="13.7109375" customWidth="1"/>
    <col min="20" max="20" width="15.5703125" bestFit="1" customWidth="1"/>
    <col min="22" max="23" width="12.140625" bestFit="1" customWidth="1"/>
  </cols>
  <sheetData>
    <row r="1" spans="1:22" ht="17.100000000000001" customHeight="1" thickBot="1" x14ac:dyDescent="0.3">
      <c r="D1" s="306" t="s">
        <v>1159</v>
      </c>
      <c r="E1" s="306"/>
      <c r="F1" s="306"/>
      <c r="G1" s="306"/>
      <c r="H1" s="306"/>
      <c r="I1" s="306" t="s">
        <v>1160</v>
      </c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 t="s">
        <v>1161</v>
      </c>
    </row>
    <row r="2" spans="1:22" ht="17.100000000000001" customHeight="1" x14ac:dyDescent="0.25">
      <c r="A2" t="s">
        <v>712</v>
      </c>
      <c r="B2" s="307">
        <f>+'Operating Revenue Requirement'!F10</f>
        <v>82707820.715172112</v>
      </c>
      <c r="D2" s="233" t="s">
        <v>307</v>
      </c>
      <c r="E2" s="233"/>
      <c r="F2" s="233"/>
      <c r="I2" s="308" t="s">
        <v>1162</v>
      </c>
      <c r="J2" s="233" t="s">
        <v>1491</v>
      </c>
      <c r="K2" s="233"/>
      <c r="L2" s="309"/>
      <c r="M2" s="309"/>
      <c r="N2" s="233"/>
      <c r="O2" s="233"/>
      <c r="P2" s="309"/>
      <c r="Q2" s="309" t="s">
        <v>309</v>
      </c>
      <c r="R2" s="233"/>
      <c r="S2" s="233"/>
      <c r="T2" s="310"/>
    </row>
    <row r="3" spans="1:22" ht="17.100000000000001" customHeight="1" x14ac:dyDescent="0.25">
      <c r="D3" s="233"/>
      <c r="E3" s="233"/>
      <c r="F3" s="233"/>
      <c r="G3" s="233"/>
      <c r="H3" s="233"/>
      <c r="I3" s="233"/>
      <c r="J3" s="233" t="s">
        <v>1492</v>
      </c>
      <c r="K3" s="233"/>
      <c r="L3" s="311"/>
      <c r="M3" s="310"/>
      <c r="N3" s="233"/>
      <c r="O3" s="233"/>
      <c r="P3" s="233"/>
      <c r="Q3" s="312"/>
      <c r="R3" s="311" t="s">
        <v>919</v>
      </c>
      <c r="S3" s="310" t="s">
        <v>920</v>
      </c>
      <c r="T3" s="311"/>
    </row>
    <row r="4" spans="1:22" ht="17.100000000000001" customHeight="1" x14ac:dyDescent="0.25">
      <c r="A4" t="s">
        <v>714</v>
      </c>
      <c r="B4" s="313">
        <v>0</v>
      </c>
      <c r="D4" s="233" t="s">
        <v>310</v>
      </c>
      <c r="E4" s="233"/>
      <c r="F4" s="233"/>
      <c r="G4" s="233"/>
      <c r="H4" s="233"/>
      <c r="I4" s="233"/>
      <c r="J4" s="233" t="s">
        <v>1493</v>
      </c>
      <c r="K4" s="233"/>
      <c r="L4" s="311"/>
      <c r="M4" s="310"/>
      <c r="N4" s="311"/>
      <c r="O4" s="311"/>
      <c r="P4" s="233"/>
      <c r="Q4" s="311"/>
      <c r="R4" s="311"/>
      <c r="S4" s="310" t="s">
        <v>937</v>
      </c>
      <c r="T4" s="311"/>
    </row>
    <row r="5" spans="1:22" ht="17.100000000000001" customHeight="1" x14ac:dyDescent="0.25">
      <c r="A5" t="s">
        <v>713</v>
      </c>
      <c r="B5" s="307">
        <f>+S341</f>
        <v>82707820.715172112</v>
      </c>
      <c r="D5" s="233"/>
      <c r="E5" s="233"/>
      <c r="F5" s="233"/>
      <c r="G5" s="233"/>
      <c r="H5" s="233"/>
      <c r="I5" s="233"/>
      <c r="J5" s="233" t="s">
        <v>1494</v>
      </c>
      <c r="K5" s="233"/>
      <c r="L5" s="311"/>
      <c r="M5" s="310"/>
      <c r="N5" s="311"/>
      <c r="O5" s="311"/>
      <c r="P5" s="233"/>
      <c r="Q5" s="311"/>
      <c r="R5" s="311"/>
      <c r="S5" s="310" t="s">
        <v>938</v>
      </c>
      <c r="T5" s="311"/>
    </row>
    <row r="6" spans="1:22" ht="17.100000000000001" customHeight="1" thickBot="1" x14ac:dyDescent="0.3">
      <c r="D6" s="306" t="s">
        <v>1642</v>
      </c>
      <c r="E6" s="306"/>
      <c r="F6" s="306"/>
      <c r="G6" s="306"/>
      <c r="H6" s="306"/>
      <c r="I6" s="306"/>
      <c r="J6" s="306"/>
      <c r="K6" s="314"/>
      <c r="L6" s="306"/>
      <c r="M6" s="306"/>
      <c r="N6" s="306"/>
      <c r="O6" s="306"/>
      <c r="P6" s="306"/>
      <c r="Q6" s="306"/>
      <c r="R6" s="233"/>
      <c r="S6" s="233" t="s">
        <v>311</v>
      </c>
      <c r="T6" s="233"/>
    </row>
    <row r="7" spans="1:22" ht="17.100000000000001" customHeight="1" x14ac:dyDescent="0.25">
      <c r="D7" s="315"/>
      <c r="E7" s="595" t="s">
        <v>1163</v>
      </c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5"/>
      <c r="Q7" s="595"/>
      <c r="R7" s="595"/>
      <c r="S7" s="595"/>
      <c r="T7" s="595"/>
    </row>
    <row r="8" spans="1:22" ht="17.100000000000001" customHeight="1" x14ac:dyDescent="0.25">
      <c r="D8" s="233"/>
      <c r="E8" s="226"/>
      <c r="F8" s="317"/>
      <c r="G8" s="317"/>
      <c r="H8" s="317"/>
      <c r="I8" s="317"/>
      <c r="J8" s="317"/>
      <c r="K8" s="596" t="s">
        <v>1164</v>
      </c>
      <c r="L8" s="596"/>
      <c r="M8" s="596"/>
      <c r="N8" s="596"/>
      <c r="O8" s="317"/>
      <c r="P8" s="596" t="s">
        <v>873</v>
      </c>
      <c r="Q8" s="596"/>
      <c r="R8" s="596"/>
      <c r="S8" s="596"/>
      <c r="T8" s="317"/>
    </row>
    <row r="9" spans="1:22" ht="17.100000000000001" customHeight="1" x14ac:dyDescent="0.25">
      <c r="D9" s="233"/>
      <c r="E9" s="226"/>
      <c r="F9" s="317"/>
      <c r="G9" s="226" t="s">
        <v>1165</v>
      </c>
      <c r="H9" s="317" t="s">
        <v>1166</v>
      </c>
      <c r="I9" s="226"/>
      <c r="J9" s="226"/>
      <c r="K9" s="226" t="s">
        <v>1167</v>
      </c>
      <c r="L9" s="226" t="s">
        <v>1167</v>
      </c>
      <c r="M9" s="226" t="s">
        <v>1168</v>
      </c>
      <c r="N9" s="317" t="s">
        <v>807</v>
      </c>
      <c r="O9" s="317"/>
      <c r="P9" s="226" t="s">
        <v>1167</v>
      </c>
      <c r="Q9" s="226" t="s">
        <v>1167</v>
      </c>
      <c r="R9" s="226" t="s">
        <v>1168</v>
      </c>
      <c r="S9" s="226" t="s">
        <v>807</v>
      </c>
      <c r="T9" s="226"/>
    </row>
    <row r="10" spans="1:22" ht="17.100000000000001" customHeight="1" x14ac:dyDescent="0.25">
      <c r="D10" s="233" t="s">
        <v>314</v>
      </c>
      <c r="E10" s="590" t="s">
        <v>315</v>
      </c>
      <c r="F10" s="590"/>
      <c r="G10" s="226" t="s">
        <v>1169</v>
      </c>
      <c r="H10" s="226" t="s">
        <v>1167</v>
      </c>
      <c r="I10" s="317" t="s">
        <v>1165</v>
      </c>
      <c r="J10" s="317"/>
      <c r="K10" s="317" t="s">
        <v>1170</v>
      </c>
      <c r="L10" s="317" t="s">
        <v>1171</v>
      </c>
      <c r="M10" s="317" t="s">
        <v>1167</v>
      </c>
      <c r="N10" s="226" t="s">
        <v>336</v>
      </c>
      <c r="O10" s="226"/>
      <c r="P10" s="317" t="s">
        <v>1170</v>
      </c>
      <c r="Q10" s="317" t="s">
        <v>1171</v>
      </c>
      <c r="R10" s="317" t="s">
        <v>1167</v>
      </c>
      <c r="S10" s="317" t="s">
        <v>336</v>
      </c>
      <c r="T10" s="317" t="s">
        <v>857</v>
      </c>
      <c r="V10" s="226"/>
    </row>
    <row r="11" spans="1:22" ht="17.100000000000001" customHeight="1" thickBot="1" x14ac:dyDescent="0.3">
      <c r="D11" s="306" t="s">
        <v>320</v>
      </c>
      <c r="E11" s="591" t="s">
        <v>1170</v>
      </c>
      <c r="F11" s="591"/>
      <c r="G11" s="314" t="s">
        <v>1172</v>
      </c>
      <c r="H11" s="314" t="s">
        <v>711</v>
      </c>
      <c r="I11" s="319" t="s">
        <v>711</v>
      </c>
      <c r="J11" s="319"/>
      <c r="K11" s="319" t="s">
        <v>1173</v>
      </c>
      <c r="L11" s="319" t="s">
        <v>1173</v>
      </c>
      <c r="M11" s="319" t="s">
        <v>1173</v>
      </c>
      <c r="N11" s="319" t="s">
        <v>318</v>
      </c>
      <c r="O11" s="319"/>
      <c r="P11" s="319" t="s">
        <v>1173</v>
      </c>
      <c r="Q11" s="319" t="s">
        <v>1173</v>
      </c>
      <c r="R11" s="319" t="s">
        <v>1173</v>
      </c>
      <c r="S11" s="319" t="s">
        <v>318</v>
      </c>
      <c r="T11" s="319" t="s">
        <v>326</v>
      </c>
    </row>
    <row r="12" spans="1:22" ht="17.100000000000001" customHeight="1" x14ac:dyDescent="0.25">
      <c r="A12" s="216" t="s">
        <v>1174</v>
      </c>
      <c r="B12" s="216"/>
      <c r="D12" s="233">
        <v>1</v>
      </c>
      <c r="E12" s="594" t="s">
        <v>1175</v>
      </c>
      <c r="F12" s="594"/>
      <c r="G12" s="233"/>
      <c r="H12" s="233"/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</row>
    <row r="13" spans="1:22" ht="17.100000000000001" customHeight="1" x14ac:dyDescent="0.25">
      <c r="A13" s="320">
        <v>800</v>
      </c>
      <c r="B13" s="320"/>
      <c r="D13" s="233">
        <v>2</v>
      </c>
      <c r="E13" s="310" t="s">
        <v>1176</v>
      </c>
      <c r="F13" s="311" t="s">
        <v>1177</v>
      </c>
      <c r="G13" s="12">
        <f>+SUMIFS('2025 Lighting BDs'!C:C,'2025 Lighting BDs'!B:B,'E-13d'!A13)</f>
        <v>0</v>
      </c>
      <c r="H13" s="12">
        <v>20</v>
      </c>
      <c r="I13" s="12">
        <f t="shared" ref="I13:I29" si="0">+H13*G13</f>
        <v>0</v>
      </c>
      <c r="J13" s="226"/>
      <c r="K13" s="19">
        <f>+SUMIFS('2024 Lighting Rates'!B:B,'2024 Lighting Rates'!A:A,A13)</f>
        <v>4.54</v>
      </c>
      <c r="L13" s="19">
        <f>+SUMIFS('2024 Lighting Rates'!C:C,'2024 Lighting Rates'!A:A,A13)</f>
        <v>2.48</v>
      </c>
      <c r="M13" s="19">
        <f>+K13+L13</f>
        <v>7.02</v>
      </c>
      <c r="N13" s="11">
        <f t="shared" ref="N13:N29" si="1">+M13*G13</f>
        <v>0</v>
      </c>
      <c r="O13" s="11"/>
      <c r="P13" s="27">
        <f>+K13</f>
        <v>4.54</v>
      </c>
      <c r="Q13" s="27">
        <f>+L13</f>
        <v>2.48</v>
      </c>
      <c r="R13" s="27">
        <f>+P13+Q13</f>
        <v>7.02</v>
      </c>
      <c r="S13" s="11">
        <f t="shared" ref="S13:S29" si="2">+R13*G13</f>
        <v>0</v>
      </c>
      <c r="T13" s="188">
        <f>IF(S13=0,0,(S13-N13)/N13)</f>
        <v>0</v>
      </c>
    </row>
    <row r="14" spans="1:22" ht="17.100000000000001" customHeight="1" x14ac:dyDescent="0.25">
      <c r="A14" s="320">
        <v>802</v>
      </c>
      <c r="B14" s="320"/>
      <c r="D14" s="233">
        <v>3</v>
      </c>
      <c r="E14" s="310" t="s">
        <v>1178</v>
      </c>
      <c r="F14" s="311" t="s">
        <v>1179</v>
      </c>
      <c r="G14" s="12">
        <f>+SUMIFS('2025 Lighting BDs'!C:C,'2025 Lighting BDs'!B:B,'E-13d'!A14)</f>
        <v>0</v>
      </c>
      <c r="H14" s="12">
        <v>29</v>
      </c>
      <c r="I14" s="12">
        <f t="shared" si="0"/>
        <v>0</v>
      </c>
      <c r="J14" s="226"/>
      <c r="K14" s="19">
        <f>+SUMIFS('2024 Lighting Rates'!B:B,'2024 Lighting Rates'!A:A,A14)</f>
        <v>4.6100000000000003</v>
      </c>
      <c r="L14" s="19">
        <f>+SUMIFS('2024 Lighting Rates'!C:C,'2024 Lighting Rates'!A:A,A14)</f>
        <v>2.11</v>
      </c>
      <c r="M14" s="19">
        <f t="shared" ref="M14:M25" si="3">+K14+L14</f>
        <v>6.7200000000000006</v>
      </c>
      <c r="N14" s="11">
        <f t="shared" si="1"/>
        <v>0</v>
      </c>
      <c r="O14" s="12"/>
      <c r="P14" s="27">
        <f t="shared" ref="P14:P29" si="4">+K14</f>
        <v>4.6100000000000003</v>
      </c>
      <c r="Q14" s="27">
        <f t="shared" ref="Q14:Q29" si="5">+L14</f>
        <v>2.11</v>
      </c>
      <c r="R14" s="27">
        <f t="shared" ref="R14:R29" si="6">+P14+Q14</f>
        <v>6.7200000000000006</v>
      </c>
      <c r="S14" s="11">
        <f t="shared" si="2"/>
        <v>0</v>
      </c>
      <c r="T14" s="188">
        <f t="shared" ref="T14:T30" si="7">IF(S14=0,0,(S14-N14)/N14)</f>
        <v>0</v>
      </c>
    </row>
    <row r="15" spans="1:22" ht="17.100000000000001" customHeight="1" x14ac:dyDescent="0.25">
      <c r="A15" s="320">
        <v>803</v>
      </c>
      <c r="B15" s="320"/>
      <c r="D15" s="233">
        <v>4</v>
      </c>
      <c r="E15" s="310" t="s">
        <v>1180</v>
      </c>
      <c r="F15" s="311" t="s">
        <v>1181</v>
      </c>
      <c r="G15" s="12">
        <f>+SUMIFS('2025 Lighting BDs'!C:C,'2025 Lighting BDs'!B:B,'E-13d'!A15)</f>
        <v>0</v>
      </c>
      <c r="H15" s="12">
        <v>44</v>
      </c>
      <c r="I15" s="12">
        <f t="shared" si="0"/>
        <v>0</v>
      </c>
      <c r="J15" s="226"/>
      <c r="K15" s="19">
        <f>+SUMIFS('2024 Lighting Rates'!B:B,'2024 Lighting Rates'!A:A,A15)</f>
        <v>5.22</v>
      </c>
      <c r="L15" s="19">
        <f>+SUMIFS('2024 Lighting Rates'!C:C,'2024 Lighting Rates'!A:A,A15)</f>
        <v>2.33</v>
      </c>
      <c r="M15" s="19">
        <f t="shared" si="3"/>
        <v>7.55</v>
      </c>
      <c r="N15" s="11">
        <f t="shared" si="1"/>
        <v>0</v>
      </c>
      <c r="O15" s="12"/>
      <c r="P15" s="27">
        <f t="shared" si="4"/>
        <v>5.22</v>
      </c>
      <c r="Q15" s="27">
        <f t="shared" si="5"/>
        <v>2.33</v>
      </c>
      <c r="R15" s="27">
        <f t="shared" si="6"/>
        <v>7.55</v>
      </c>
      <c r="S15" s="11">
        <f t="shared" si="2"/>
        <v>0</v>
      </c>
      <c r="T15" s="188">
        <f t="shared" si="7"/>
        <v>0</v>
      </c>
    </row>
    <row r="16" spans="1:22" ht="17.100000000000001" customHeight="1" x14ac:dyDescent="0.25">
      <c r="A16" s="320">
        <v>804</v>
      </c>
      <c r="B16" s="320"/>
      <c r="D16" s="233">
        <v>5</v>
      </c>
      <c r="E16" s="310" t="s">
        <v>1182</v>
      </c>
      <c r="F16" s="311" t="s">
        <v>1183</v>
      </c>
      <c r="G16" s="12">
        <f>+SUMIFS('2025 Lighting BDs'!C:C,'2025 Lighting BDs'!B:B,'E-13d'!A16)</f>
        <v>0</v>
      </c>
      <c r="H16" s="12">
        <v>66</v>
      </c>
      <c r="I16" s="12">
        <f t="shared" si="0"/>
        <v>0</v>
      </c>
      <c r="J16" s="226"/>
      <c r="K16" s="19">
        <f>+SUMIFS('2024 Lighting Rates'!B:B,'2024 Lighting Rates'!A:A,A16)</f>
        <v>6.01</v>
      </c>
      <c r="L16" s="19">
        <f>+SUMIFS('2024 Lighting Rates'!C:C,'2024 Lighting Rates'!A:A,A16)</f>
        <v>2.02</v>
      </c>
      <c r="M16" s="19">
        <f t="shared" si="3"/>
        <v>8.0299999999999994</v>
      </c>
      <c r="N16" s="11">
        <f t="shared" si="1"/>
        <v>0</v>
      </c>
      <c r="O16" s="12"/>
      <c r="P16" s="27">
        <f t="shared" si="4"/>
        <v>6.01</v>
      </c>
      <c r="Q16" s="27">
        <f t="shared" si="5"/>
        <v>2.02</v>
      </c>
      <c r="R16" s="27">
        <f t="shared" si="6"/>
        <v>8.0299999999999994</v>
      </c>
      <c r="S16" s="11">
        <f t="shared" si="2"/>
        <v>0</v>
      </c>
      <c r="T16" s="188">
        <f t="shared" si="7"/>
        <v>0</v>
      </c>
    </row>
    <row r="17" spans="1:20" ht="17.100000000000001" customHeight="1" x14ac:dyDescent="0.25">
      <c r="A17" s="320">
        <v>805</v>
      </c>
      <c r="B17" s="320"/>
      <c r="D17" s="233">
        <v>6</v>
      </c>
      <c r="E17" s="310" t="s">
        <v>1184</v>
      </c>
      <c r="F17" s="311" t="s">
        <v>1185</v>
      </c>
      <c r="G17" s="12">
        <f>+SUMIFS('2025 Lighting BDs'!C:C,'2025 Lighting BDs'!B:B,'E-13d'!A17)</f>
        <v>0</v>
      </c>
      <c r="H17" s="12">
        <v>105</v>
      </c>
      <c r="I17" s="12">
        <f t="shared" si="0"/>
        <v>0</v>
      </c>
      <c r="J17" s="226"/>
      <c r="K17" s="19">
        <f>+SUMIFS('2024 Lighting Rates'!B:B,'2024 Lighting Rates'!A:A,A17)</f>
        <v>7.01</v>
      </c>
      <c r="L17" s="19">
        <f>+SUMIFS('2024 Lighting Rates'!C:C,'2024 Lighting Rates'!A:A,A17)</f>
        <v>2.6</v>
      </c>
      <c r="M17" s="19">
        <f t="shared" si="3"/>
        <v>9.61</v>
      </c>
      <c r="N17" s="11">
        <f t="shared" si="1"/>
        <v>0</v>
      </c>
      <c r="O17" s="12"/>
      <c r="P17" s="27">
        <f t="shared" si="4"/>
        <v>7.01</v>
      </c>
      <c r="Q17" s="27">
        <f t="shared" si="5"/>
        <v>2.6</v>
      </c>
      <c r="R17" s="27">
        <f t="shared" si="6"/>
        <v>9.61</v>
      </c>
      <c r="S17" s="11">
        <f t="shared" si="2"/>
        <v>0</v>
      </c>
      <c r="T17" s="188">
        <f t="shared" si="7"/>
        <v>0</v>
      </c>
    </row>
    <row r="18" spans="1:20" ht="17.100000000000001" customHeight="1" x14ac:dyDescent="0.25">
      <c r="A18" s="320">
        <v>806</v>
      </c>
      <c r="B18" s="320"/>
      <c r="D18" s="233">
        <v>7</v>
      </c>
      <c r="E18" s="310" t="s">
        <v>1186</v>
      </c>
      <c r="F18" s="311" t="s">
        <v>1187</v>
      </c>
      <c r="G18" s="12">
        <f>+SUMIFS('2025 Lighting BDs'!C:C,'2025 Lighting BDs'!B:B,'E-13d'!A18)</f>
        <v>0</v>
      </c>
      <c r="H18" s="12">
        <v>163</v>
      </c>
      <c r="I18" s="12">
        <f t="shared" si="0"/>
        <v>0</v>
      </c>
      <c r="J18" s="226"/>
      <c r="K18" s="19">
        <f>+SUMIFS('2024 Lighting Rates'!B:B,'2024 Lighting Rates'!A:A,A18)</f>
        <v>7.32</v>
      </c>
      <c r="L18" s="19">
        <f>+SUMIFS('2024 Lighting Rates'!C:C,'2024 Lighting Rates'!A:A,A18)</f>
        <v>2.99</v>
      </c>
      <c r="M18" s="19">
        <f t="shared" si="3"/>
        <v>10.31</v>
      </c>
      <c r="N18" s="11">
        <f t="shared" si="1"/>
        <v>0</v>
      </c>
      <c r="O18" s="12"/>
      <c r="P18" s="27">
        <f t="shared" si="4"/>
        <v>7.32</v>
      </c>
      <c r="Q18" s="27">
        <f t="shared" si="5"/>
        <v>2.99</v>
      </c>
      <c r="R18" s="27">
        <f t="shared" si="6"/>
        <v>10.31</v>
      </c>
      <c r="S18" s="11">
        <f t="shared" si="2"/>
        <v>0</v>
      </c>
      <c r="T18" s="188">
        <f t="shared" si="7"/>
        <v>0</v>
      </c>
    </row>
    <row r="19" spans="1:20" ht="17.100000000000001" customHeight="1" x14ac:dyDescent="0.25">
      <c r="A19" s="320">
        <v>468</v>
      </c>
      <c r="B19" s="320"/>
      <c r="D19" s="233">
        <v>8</v>
      </c>
      <c r="E19" s="310" t="s">
        <v>1188</v>
      </c>
      <c r="F19" s="311" t="s">
        <v>1185</v>
      </c>
      <c r="G19" s="12">
        <f>+SUMIFS('2025 Lighting BDs'!C:C,'2025 Lighting BDs'!B:B,'E-13d'!A19)</f>
        <v>0</v>
      </c>
      <c r="H19" s="12">
        <v>105</v>
      </c>
      <c r="I19" s="12">
        <f t="shared" si="0"/>
        <v>0</v>
      </c>
      <c r="J19" s="226"/>
      <c r="K19" s="19">
        <f>+SUMIFS('2024 Lighting Rates'!B:B,'2024 Lighting Rates'!A:A,A19)</f>
        <v>7.72</v>
      </c>
      <c r="L19" s="19">
        <f>+SUMIFS('2024 Lighting Rates'!C:C,'2024 Lighting Rates'!A:A,A19)</f>
        <v>2.6</v>
      </c>
      <c r="M19" s="19">
        <f t="shared" si="3"/>
        <v>10.32</v>
      </c>
      <c r="N19" s="11">
        <f t="shared" si="1"/>
        <v>0</v>
      </c>
      <c r="O19" s="12"/>
      <c r="P19" s="27">
        <f t="shared" si="4"/>
        <v>7.72</v>
      </c>
      <c r="Q19" s="27">
        <f t="shared" si="5"/>
        <v>2.6</v>
      </c>
      <c r="R19" s="27">
        <f t="shared" si="6"/>
        <v>10.32</v>
      </c>
      <c r="S19" s="11">
        <f t="shared" si="2"/>
        <v>0</v>
      </c>
      <c r="T19" s="188">
        <f t="shared" si="7"/>
        <v>0</v>
      </c>
    </row>
    <row r="20" spans="1:20" ht="17.100000000000001" customHeight="1" x14ac:dyDescent="0.25">
      <c r="A20" s="320">
        <v>478</v>
      </c>
      <c r="B20" s="320"/>
      <c r="D20" s="233">
        <v>9</v>
      </c>
      <c r="E20" s="310" t="s">
        <v>1189</v>
      </c>
      <c r="F20" s="311" t="s">
        <v>1187</v>
      </c>
      <c r="G20" s="12">
        <f>+SUMIFS('2025 Lighting BDs'!C:C,'2025 Lighting BDs'!B:B,'E-13d'!A20)</f>
        <v>0</v>
      </c>
      <c r="H20" s="12">
        <v>163</v>
      </c>
      <c r="I20" s="12">
        <f t="shared" si="0"/>
        <v>0</v>
      </c>
      <c r="J20" s="226"/>
      <c r="K20" s="19">
        <f>+SUMIFS('2024 Lighting Rates'!B:B,'2024 Lighting Rates'!A:A,A20)</f>
        <v>8.2200000000000006</v>
      </c>
      <c r="L20" s="19">
        <f>+SUMIFS('2024 Lighting Rates'!C:C,'2024 Lighting Rates'!A:A,A20)</f>
        <v>3</v>
      </c>
      <c r="M20" s="19">
        <f t="shared" si="3"/>
        <v>11.22</v>
      </c>
      <c r="N20" s="11">
        <f t="shared" si="1"/>
        <v>0</v>
      </c>
      <c r="O20" s="12"/>
      <c r="P20" s="27">
        <f t="shared" si="4"/>
        <v>8.2200000000000006</v>
      </c>
      <c r="Q20" s="27">
        <f t="shared" si="5"/>
        <v>3</v>
      </c>
      <c r="R20" s="27">
        <f t="shared" si="6"/>
        <v>11.22</v>
      </c>
      <c r="S20" s="11">
        <f t="shared" si="2"/>
        <v>0</v>
      </c>
      <c r="T20" s="188">
        <f t="shared" si="7"/>
        <v>0</v>
      </c>
    </row>
    <row r="21" spans="1:20" ht="17.100000000000001" customHeight="1" x14ac:dyDescent="0.25">
      <c r="A21" s="320">
        <v>809</v>
      </c>
      <c r="B21" s="320"/>
      <c r="D21" s="233">
        <v>10</v>
      </c>
      <c r="E21" s="310" t="s">
        <v>1190</v>
      </c>
      <c r="F21" s="311" t="s">
        <v>1187</v>
      </c>
      <c r="G21" s="12">
        <f>+SUMIFS('2025 Lighting BDs'!C:C,'2025 Lighting BDs'!B:B,'E-13d'!A21)</f>
        <v>0</v>
      </c>
      <c r="H21" s="12">
        <v>163</v>
      </c>
      <c r="I21" s="12">
        <f t="shared" si="0"/>
        <v>0</v>
      </c>
      <c r="J21" s="226"/>
      <c r="K21" s="19">
        <f>+SUMIFS('2024 Lighting Rates'!B:B,'2024 Lighting Rates'!A:A,A21)</f>
        <v>9.35</v>
      </c>
      <c r="L21" s="19">
        <f>+SUMIFS('2024 Lighting Rates'!C:C,'2024 Lighting Rates'!A:A,A21)</f>
        <v>3.02</v>
      </c>
      <c r="M21" s="19">
        <f t="shared" si="3"/>
        <v>12.37</v>
      </c>
      <c r="N21" s="11">
        <f t="shared" si="1"/>
        <v>0</v>
      </c>
      <c r="O21" s="12"/>
      <c r="P21" s="27">
        <f t="shared" si="4"/>
        <v>9.35</v>
      </c>
      <c r="Q21" s="27">
        <f t="shared" si="5"/>
        <v>3.02</v>
      </c>
      <c r="R21" s="27">
        <f t="shared" si="6"/>
        <v>12.37</v>
      </c>
      <c r="S21" s="11">
        <f t="shared" si="2"/>
        <v>0</v>
      </c>
      <c r="T21" s="188">
        <f t="shared" si="7"/>
        <v>0</v>
      </c>
    </row>
    <row r="22" spans="1:20" ht="17.100000000000001" customHeight="1" x14ac:dyDescent="0.25">
      <c r="A22" s="320">
        <v>509</v>
      </c>
      <c r="B22" s="320"/>
      <c r="D22" s="233">
        <v>11</v>
      </c>
      <c r="E22" s="310" t="s">
        <v>1191</v>
      </c>
      <c r="F22" s="311" t="s">
        <v>1177</v>
      </c>
      <c r="G22" s="12">
        <f>+SUMIFS('2025 Lighting BDs'!C:C,'2025 Lighting BDs'!B:B,'E-13d'!A22)</f>
        <v>0</v>
      </c>
      <c r="H22" s="12">
        <v>20</v>
      </c>
      <c r="I22" s="153">
        <f t="shared" si="0"/>
        <v>0</v>
      </c>
      <c r="J22" s="226"/>
      <c r="K22" s="19">
        <f>+SUMIFS('2024 Lighting Rates'!B:B,'2024 Lighting Rates'!A:A,A22)</f>
        <v>4.43</v>
      </c>
      <c r="L22" s="19">
        <f>+SUMIFS('2024 Lighting Rates'!C:C,'2024 Lighting Rates'!A:A,A22)</f>
        <v>2.48</v>
      </c>
      <c r="M22" s="19">
        <f t="shared" si="3"/>
        <v>6.91</v>
      </c>
      <c r="N22" s="11">
        <f t="shared" si="1"/>
        <v>0</v>
      </c>
      <c r="O22" s="12"/>
      <c r="P22" s="27">
        <f t="shared" si="4"/>
        <v>4.43</v>
      </c>
      <c r="Q22" s="27">
        <f t="shared" si="5"/>
        <v>2.48</v>
      </c>
      <c r="R22" s="27">
        <f t="shared" si="6"/>
        <v>6.91</v>
      </c>
      <c r="S22" s="11">
        <f t="shared" si="2"/>
        <v>0</v>
      </c>
      <c r="T22" s="188">
        <f t="shared" si="7"/>
        <v>0</v>
      </c>
    </row>
    <row r="23" spans="1:20" ht="17.100000000000001" customHeight="1" x14ac:dyDescent="0.25">
      <c r="A23" s="320">
        <v>570</v>
      </c>
      <c r="B23" s="320"/>
      <c r="D23" s="233">
        <v>12</v>
      </c>
      <c r="E23" s="310" t="s">
        <v>1192</v>
      </c>
      <c r="F23" s="311" t="s">
        <v>1181</v>
      </c>
      <c r="G23" s="12">
        <f>+SUMIFS('2025 Lighting BDs'!C:C,'2025 Lighting BDs'!B:B,'E-13d'!A23)</f>
        <v>0</v>
      </c>
      <c r="H23" s="12">
        <v>44</v>
      </c>
      <c r="I23" s="12">
        <f t="shared" si="0"/>
        <v>0</v>
      </c>
      <c r="J23" s="226"/>
      <c r="K23" s="19">
        <f>+SUMIFS('2024 Lighting Rates'!B:B,'2024 Lighting Rates'!A:A,A23)</f>
        <v>17.05</v>
      </c>
      <c r="L23" s="19">
        <f>+SUMIFS('2024 Lighting Rates'!C:C,'2024 Lighting Rates'!A:A,A23)</f>
        <v>1.89</v>
      </c>
      <c r="M23" s="19">
        <f t="shared" si="3"/>
        <v>18.940000000000001</v>
      </c>
      <c r="N23" s="11">
        <f t="shared" si="1"/>
        <v>0</v>
      </c>
      <c r="O23" s="12"/>
      <c r="P23" s="27">
        <f t="shared" si="4"/>
        <v>17.05</v>
      </c>
      <c r="Q23" s="27">
        <f t="shared" si="5"/>
        <v>1.89</v>
      </c>
      <c r="R23" s="27">
        <f t="shared" si="6"/>
        <v>18.940000000000001</v>
      </c>
      <c r="S23" s="11">
        <f t="shared" si="2"/>
        <v>0</v>
      </c>
      <c r="T23" s="188">
        <f t="shared" si="7"/>
        <v>0</v>
      </c>
    </row>
    <row r="24" spans="1:20" ht="17.100000000000001" customHeight="1" x14ac:dyDescent="0.25">
      <c r="A24" s="320">
        <v>810</v>
      </c>
      <c r="B24" s="320"/>
      <c r="D24" s="233">
        <v>13</v>
      </c>
      <c r="E24" s="310" t="s">
        <v>1193</v>
      </c>
      <c r="F24" s="311" t="s">
        <v>1179</v>
      </c>
      <c r="G24" s="12">
        <f>+SUMIFS('2025 Lighting BDs'!C:C,'2025 Lighting BDs'!B:B,'E-13d'!A24)</f>
        <v>0</v>
      </c>
      <c r="H24" s="12">
        <v>29</v>
      </c>
      <c r="I24" s="12">
        <f t="shared" si="0"/>
        <v>0</v>
      </c>
      <c r="J24" s="226"/>
      <c r="K24" s="19">
        <f>+SUMIFS('2024 Lighting Rates'!B:B,'2024 Lighting Rates'!A:A,A24)</f>
        <v>6.78</v>
      </c>
      <c r="L24" s="19">
        <f>+SUMIFS('2024 Lighting Rates'!C:C,'2024 Lighting Rates'!A:A,A24)</f>
        <v>2.11</v>
      </c>
      <c r="M24" s="19">
        <f t="shared" si="3"/>
        <v>8.89</v>
      </c>
      <c r="N24" s="11">
        <f t="shared" si="1"/>
        <v>0</v>
      </c>
      <c r="O24" s="15"/>
      <c r="P24" s="27">
        <f t="shared" si="4"/>
        <v>6.78</v>
      </c>
      <c r="Q24" s="27">
        <f t="shared" si="5"/>
        <v>2.11</v>
      </c>
      <c r="R24" s="27">
        <f t="shared" si="6"/>
        <v>8.89</v>
      </c>
      <c r="S24" s="11">
        <f t="shared" si="2"/>
        <v>0</v>
      </c>
      <c r="T24" s="188">
        <f t="shared" si="7"/>
        <v>0</v>
      </c>
    </row>
    <row r="25" spans="1:20" ht="17.100000000000001" customHeight="1" x14ac:dyDescent="0.25">
      <c r="A25" s="320">
        <v>572</v>
      </c>
      <c r="B25" s="320"/>
      <c r="D25" s="233">
        <v>14</v>
      </c>
      <c r="E25" s="310" t="s">
        <v>1194</v>
      </c>
      <c r="F25" s="311" t="s">
        <v>1181</v>
      </c>
      <c r="G25" s="12">
        <f>+SUMIFS('2025 Lighting BDs'!C:C,'2025 Lighting BDs'!B:B,'E-13d'!A25)</f>
        <v>0</v>
      </c>
      <c r="H25" s="12">
        <v>44</v>
      </c>
      <c r="I25" s="153">
        <f t="shared" si="0"/>
        <v>0</v>
      </c>
      <c r="J25" s="226"/>
      <c r="K25" s="19">
        <f>+SUMIFS('2024 Lighting Rates'!B:B,'2024 Lighting Rates'!A:A,A25)</f>
        <v>13.08</v>
      </c>
      <c r="L25" s="19">
        <f>+SUMIFS('2024 Lighting Rates'!C:C,'2024 Lighting Rates'!A:A,A25)</f>
        <v>1.89</v>
      </c>
      <c r="M25" s="19">
        <f t="shared" si="3"/>
        <v>14.97</v>
      </c>
      <c r="N25" s="11">
        <f t="shared" si="1"/>
        <v>0</v>
      </c>
      <c r="O25" s="12"/>
      <c r="P25" s="27">
        <f t="shared" si="4"/>
        <v>13.08</v>
      </c>
      <c r="Q25" s="27">
        <f t="shared" si="5"/>
        <v>1.89</v>
      </c>
      <c r="R25" s="27">
        <f t="shared" si="6"/>
        <v>14.97</v>
      </c>
      <c r="S25" s="11">
        <f t="shared" si="2"/>
        <v>0</v>
      </c>
      <c r="T25" s="188">
        <f t="shared" si="7"/>
        <v>0</v>
      </c>
    </row>
    <row r="26" spans="1:20" ht="17.100000000000001" customHeight="1" x14ac:dyDescent="0.25">
      <c r="A26" s="320">
        <v>573</v>
      </c>
      <c r="B26" s="320"/>
      <c r="D26" s="233">
        <v>15</v>
      </c>
      <c r="E26" s="310" t="s">
        <v>1195</v>
      </c>
      <c r="F26" s="311" t="s">
        <v>1181</v>
      </c>
      <c r="G26" s="12">
        <f>+SUMIFS('2025 Lighting BDs'!C:C,'2025 Lighting BDs'!B:B,'E-13d'!A26)</f>
        <v>0</v>
      </c>
      <c r="H26" s="12">
        <v>44</v>
      </c>
      <c r="I26" s="12">
        <f t="shared" si="0"/>
        <v>0</v>
      </c>
      <c r="J26" s="226"/>
      <c r="K26" s="19">
        <f>+SUMIFS('2024 Lighting Rates'!B:B,'2024 Lighting Rates'!A:A,A26)</f>
        <v>12.99</v>
      </c>
      <c r="L26" s="19">
        <f>+SUMIFS('2024 Lighting Rates'!C:C,'2024 Lighting Rates'!A:A,A26)</f>
        <v>1.89</v>
      </c>
      <c r="M26" s="19">
        <f>+K26+L26</f>
        <v>14.88</v>
      </c>
      <c r="N26" s="11">
        <f t="shared" si="1"/>
        <v>0</v>
      </c>
      <c r="O26" s="12"/>
      <c r="P26" s="27">
        <f t="shared" si="4"/>
        <v>12.99</v>
      </c>
      <c r="Q26" s="27">
        <f t="shared" si="5"/>
        <v>1.89</v>
      </c>
      <c r="R26" s="27">
        <f t="shared" si="6"/>
        <v>14.88</v>
      </c>
      <c r="S26" s="11">
        <f t="shared" si="2"/>
        <v>0</v>
      </c>
      <c r="T26" s="188">
        <f t="shared" si="7"/>
        <v>0</v>
      </c>
    </row>
    <row r="27" spans="1:20" ht="17.100000000000001" customHeight="1" x14ac:dyDescent="0.25">
      <c r="A27" s="320">
        <v>550</v>
      </c>
      <c r="B27" s="320"/>
      <c r="D27" s="233">
        <v>16</v>
      </c>
      <c r="E27" s="310" t="s">
        <v>1196</v>
      </c>
      <c r="F27" s="311" t="s">
        <v>1181</v>
      </c>
      <c r="G27" s="12">
        <f>+SUMIFS('2025 Lighting BDs'!C:C,'2025 Lighting BDs'!B:B,'E-13d'!A27)</f>
        <v>0</v>
      </c>
      <c r="H27" s="12">
        <v>44</v>
      </c>
      <c r="I27" s="12">
        <f t="shared" si="0"/>
        <v>0</v>
      </c>
      <c r="J27" s="226"/>
      <c r="K27" s="19">
        <f>+SUMIFS('2024 Lighting Rates'!B:B,'2024 Lighting Rates'!A:A,A27)</f>
        <v>11.53</v>
      </c>
      <c r="L27" s="19">
        <f>+SUMIFS('2024 Lighting Rates'!C:C,'2024 Lighting Rates'!A:A,A27)</f>
        <v>1.89</v>
      </c>
      <c r="M27" s="19">
        <f>+K27+L27</f>
        <v>13.42</v>
      </c>
      <c r="N27" s="11">
        <f t="shared" si="1"/>
        <v>0</v>
      </c>
      <c r="O27" s="12"/>
      <c r="P27" s="27">
        <f t="shared" si="4"/>
        <v>11.53</v>
      </c>
      <c r="Q27" s="27">
        <f t="shared" si="5"/>
        <v>1.89</v>
      </c>
      <c r="R27" s="27">
        <f t="shared" si="6"/>
        <v>13.42</v>
      </c>
      <c r="S27" s="11">
        <f t="shared" si="2"/>
        <v>0</v>
      </c>
      <c r="T27" s="188">
        <f t="shared" si="7"/>
        <v>0</v>
      </c>
    </row>
    <row r="28" spans="1:20" ht="17.100000000000001" customHeight="1" x14ac:dyDescent="0.25">
      <c r="A28" s="320">
        <v>566</v>
      </c>
      <c r="B28" s="320"/>
      <c r="D28" s="233">
        <v>17</v>
      </c>
      <c r="E28" s="310" t="s">
        <v>1197</v>
      </c>
      <c r="F28" s="311" t="s">
        <v>1185</v>
      </c>
      <c r="G28" s="12">
        <f>+SUMIFS('2025 Lighting BDs'!C:C,'2025 Lighting BDs'!B:B,'E-13d'!A28)</f>
        <v>0</v>
      </c>
      <c r="H28" s="12">
        <v>106</v>
      </c>
      <c r="I28" s="12">
        <f t="shared" si="0"/>
        <v>0</v>
      </c>
      <c r="J28" s="226"/>
      <c r="K28" s="19">
        <f>+SUMIFS('2024 Lighting Rates'!B:B,'2024 Lighting Rates'!A:A,A28)</f>
        <v>12.5</v>
      </c>
      <c r="L28" s="19">
        <f>+SUMIFS('2024 Lighting Rates'!C:C,'2024 Lighting Rates'!A:A,A28)</f>
        <v>3.18</v>
      </c>
      <c r="M28" s="19">
        <f>+K28+L28</f>
        <v>15.68</v>
      </c>
      <c r="N28" s="11">
        <f t="shared" si="1"/>
        <v>0</v>
      </c>
      <c r="O28" s="12"/>
      <c r="P28" s="27">
        <f t="shared" si="4"/>
        <v>12.5</v>
      </c>
      <c r="Q28" s="27">
        <f t="shared" si="5"/>
        <v>3.18</v>
      </c>
      <c r="R28" s="27">
        <f t="shared" si="6"/>
        <v>15.68</v>
      </c>
      <c r="S28" s="11">
        <f t="shared" si="2"/>
        <v>0</v>
      </c>
      <c r="T28" s="188">
        <f t="shared" si="7"/>
        <v>0</v>
      </c>
    </row>
    <row r="29" spans="1:20" ht="17.100000000000001" customHeight="1" x14ac:dyDescent="0.25">
      <c r="A29" s="320">
        <v>552</v>
      </c>
      <c r="B29" s="320"/>
      <c r="D29" s="233">
        <v>18</v>
      </c>
      <c r="E29" s="310" t="s">
        <v>1198</v>
      </c>
      <c r="F29" s="311" t="s">
        <v>1187</v>
      </c>
      <c r="G29" s="12">
        <f>+SUMIFS('2025 Lighting BDs'!C:C,'2025 Lighting BDs'!B:B,'E-13d'!A29)</f>
        <v>0</v>
      </c>
      <c r="H29" s="12">
        <v>163</v>
      </c>
      <c r="I29" s="153">
        <f t="shared" si="0"/>
        <v>0</v>
      </c>
      <c r="J29" s="226"/>
      <c r="K29" s="19">
        <f>+SUMIFS('2024 Lighting Rates'!B:B,'2024 Lighting Rates'!A:A,A29)</f>
        <v>10.6</v>
      </c>
      <c r="L29" s="19">
        <f>+SUMIFS('2024 Lighting Rates'!C:C,'2024 Lighting Rates'!A:A,A29)</f>
        <v>2.44</v>
      </c>
      <c r="M29" s="19">
        <f>+K29+L29</f>
        <v>13.04</v>
      </c>
      <c r="N29" s="11">
        <f t="shared" si="1"/>
        <v>0</v>
      </c>
      <c r="O29" s="12"/>
      <c r="P29" s="27">
        <f t="shared" si="4"/>
        <v>10.6</v>
      </c>
      <c r="Q29" s="27">
        <f t="shared" si="5"/>
        <v>2.44</v>
      </c>
      <c r="R29" s="27">
        <f t="shared" si="6"/>
        <v>13.04</v>
      </c>
      <c r="S29" s="11">
        <f t="shared" si="2"/>
        <v>0</v>
      </c>
      <c r="T29" s="188">
        <f t="shared" si="7"/>
        <v>0</v>
      </c>
    </row>
    <row r="30" spans="1:20" ht="17.100000000000001" customHeight="1" x14ac:dyDescent="0.25">
      <c r="A30" s="320"/>
      <c r="B30" s="320"/>
      <c r="D30" s="233">
        <v>19</v>
      </c>
      <c r="E30" s="310" t="s">
        <v>1199</v>
      </c>
      <c r="M30" s="19"/>
      <c r="N30" s="11">
        <f>SUM(N13:N29)</f>
        <v>0</v>
      </c>
      <c r="O30" s="27"/>
      <c r="S30" s="11">
        <f>SUM(S13:S29)</f>
        <v>0</v>
      </c>
      <c r="T30" s="188">
        <f t="shared" si="7"/>
        <v>0</v>
      </c>
    </row>
    <row r="31" spans="1:20" ht="17.100000000000001" customHeight="1" x14ac:dyDescent="0.25">
      <c r="A31" s="320"/>
      <c r="B31" s="320"/>
      <c r="D31" s="233">
        <v>20</v>
      </c>
      <c r="E31" s="233"/>
      <c r="F31" s="233"/>
      <c r="G31" s="233"/>
      <c r="H31" s="233"/>
      <c r="I31" s="233"/>
      <c r="J31" s="233"/>
      <c r="K31" s="37"/>
      <c r="L31" s="37"/>
      <c r="M31" s="233"/>
      <c r="N31" s="321"/>
      <c r="O31" s="27"/>
      <c r="P31" s="322"/>
      <c r="Q31" s="233"/>
      <c r="R31" s="233"/>
      <c r="S31" s="233"/>
      <c r="T31" s="233"/>
    </row>
    <row r="32" spans="1:20" ht="17.100000000000001" customHeight="1" x14ac:dyDescent="0.25">
      <c r="A32" s="320"/>
      <c r="B32" s="320"/>
      <c r="D32" s="233">
        <v>21</v>
      </c>
      <c r="H32" s="12"/>
      <c r="I32" s="12"/>
      <c r="J32" s="12"/>
      <c r="K32" s="30"/>
      <c r="L32" s="30"/>
      <c r="M32" s="27"/>
      <c r="N32" s="12"/>
      <c r="O32" s="27"/>
      <c r="P32" s="19"/>
      <c r="Q32" s="19"/>
      <c r="R32" s="27"/>
      <c r="S32" s="12"/>
      <c r="T32" s="190"/>
    </row>
    <row r="33" spans="1:20" ht="17.100000000000001" customHeight="1" x14ac:dyDescent="0.25">
      <c r="A33" s="320"/>
      <c r="B33" s="320"/>
      <c r="D33" s="233">
        <v>22</v>
      </c>
      <c r="E33" s="233" t="s">
        <v>1200</v>
      </c>
      <c r="F33" s="233"/>
      <c r="G33" s="153"/>
      <c r="H33" s="153"/>
      <c r="I33" s="153"/>
      <c r="J33" s="153"/>
      <c r="K33" s="19"/>
      <c r="L33" s="19"/>
      <c r="M33" s="19"/>
      <c r="N33" s="19"/>
      <c r="O33" s="15"/>
      <c r="P33" s="15"/>
      <c r="Q33" s="15"/>
      <c r="R33" s="15"/>
      <c r="S33" s="15"/>
      <c r="T33" s="15"/>
    </row>
    <row r="34" spans="1:20" ht="17.100000000000001" customHeight="1" x14ac:dyDescent="0.25">
      <c r="A34" s="320">
        <v>704</v>
      </c>
      <c r="B34" s="320"/>
      <c r="D34" s="233">
        <v>23</v>
      </c>
      <c r="E34" s="233" t="s">
        <v>1201</v>
      </c>
      <c r="F34" s="311" t="s">
        <v>1202</v>
      </c>
      <c r="G34" s="12">
        <f>+SUMIFS('2025 Lighting BDs'!C:C,'2025 Lighting BDs'!B:B,'E-13d'!A34)</f>
        <v>0</v>
      </c>
      <c r="H34" s="153">
        <v>138</v>
      </c>
      <c r="I34" s="153">
        <f t="shared" ref="I34:I47" si="8">+H34*G34</f>
        <v>0</v>
      </c>
      <c r="J34" s="153"/>
      <c r="K34" s="19">
        <f>+SUMIFS('2024 Lighting Rates'!B:B,'2024 Lighting Rates'!A:A,A34)</f>
        <v>10.83</v>
      </c>
      <c r="L34" s="19">
        <f>+SUMIFS('2024 Lighting Rates'!C:C,'2024 Lighting Rates'!A:A,A34)</f>
        <v>4.99</v>
      </c>
      <c r="M34" s="19">
        <f t="shared" ref="M34:M47" si="9">+K34+L34</f>
        <v>15.82</v>
      </c>
      <c r="N34" s="19">
        <f t="shared" ref="N34:N47" si="10">+M34*G34</f>
        <v>0</v>
      </c>
      <c r="O34" s="15"/>
      <c r="P34" s="27">
        <f t="shared" ref="P34:P47" si="11">+K34</f>
        <v>10.83</v>
      </c>
      <c r="Q34" s="27">
        <f t="shared" ref="Q34:Q47" si="12">+L34</f>
        <v>4.99</v>
      </c>
      <c r="R34" s="27">
        <f t="shared" ref="R34:R47" si="13">+P34+Q34</f>
        <v>15.82</v>
      </c>
      <c r="S34" s="15">
        <f t="shared" ref="S34:S47" si="14">+R34*G34</f>
        <v>0</v>
      </c>
      <c r="T34" s="188">
        <f t="shared" ref="T34:T48" si="15">IF(S34=0,0,(S34-N34)/N34)</f>
        <v>0</v>
      </c>
    </row>
    <row r="35" spans="1:20" ht="17.100000000000001" customHeight="1" x14ac:dyDescent="0.25">
      <c r="A35" s="320">
        <v>520</v>
      </c>
      <c r="B35" s="320"/>
      <c r="D35" s="233">
        <v>24</v>
      </c>
      <c r="E35" s="233" t="s">
        <v>1203</v>
      </c>
      <c r="F35" s="311" t="s">
        <v>1187</v>
      </c>
      <c r="G35" s="12">
        <f>+SUMIFS('2025 Lighting BDs'!C:C,'2025 Lighting BDs'!B:B,'E-13d'!A35)</f>
        <v>0</v>
      </c>
      <c r="H35" s="153">
        <v>159</v>
      </c>
      <c r="I35" s="153">
        <f t="shared" si="8"/>
        <v>0</v>
      </c>
      <c r="J35" s="153"/>
      <c r="K35" s="19">
        <f>+SUMIFS('2024 Lighting Rates'!B:B,'2024 Lighting Rates'!A:A,A35)</f>
        <v>8.67</v>
      </c>
      <c r="L35" s="19">
        <f>+SUMIFS('2024 Lighting Rates'!C:C,'2024 Lighting Rates'!A:A,A35)</f>
        <v>4.01</v>
      </c>
      <c r="M35" s="19">
        <f t="shared" si="9"/>
        <v>12.68</v>
      </c>
      <c r="N35" s="162">
        <f t="shared" si="10"/>
        <v>0</v>
      </c>
      <c r="O35" s="233"/>
      <c r="P35" s="27">
        <f t="shared" si="11"/>
        <v>8.67</v>
      </c>
      <c r="Q35" s="27">
        <f t="shared" si="12"/>
        <v>4.01</v>
      </c>
      <c r="R35" s="27">
        <f t="shared" si="13"/>
        <v>12.68</v>
      </c>
      <c r="S35" s="15">
        <f t="shared" si="14"/>
        <v>0</v>
      </c>
      <c r="T35" s="188">
        <f t="shared" si="15"/>
        <v>0</v>
      </c>
    </row>
    <row r="36" spans="1:20" ht="17.100000000000001" customHeight="1" x14ac:dyDescent="0.25">
      <c r="A36" s="320">
        <v>705</v>
      </c>
      <c r="B36" s="320"/>
      <c r="D36" s="233">
        <v>25</v>
      </c>
      <c r="E36" s="233" t="s">
        <v>1204</v>
      </c>
      <c r="F36" s="311" t="s">
        <v>1202</v>
      </c>
      <c r="G36" s="12">
        <f>+SUMIFS('2025 Lighting BDs'!C:C,'2025 Lighting BDs'!B:B,'E-13d'!A36)</f>
        <v>0</v>
      </c>
      <c r="H36" s="153">
        <v>138</v>
      </c>
      <c r="I36" s="153">
        <f t="shared" si="8"/>
        <v>0</v>
      </c>
      <c r="J36" s="153"/>
      <c r="K36" s="19">
        <f>+SUMIFS('2024 Lighting Rates'!B:B,'2024 Lighting Rates'!A:A,A36)</f>
        <v>12.3</v>
      </c>
      <c r="L36" s="19">
        <f>+SUMIFS('2024 Lighting Rates'!C:C,'2024 Lighting Rates'!A:A,A36)</f>
        <v>5.04</v>
      </c>
      <c r="M36" s="19">
        <f t="shared" si="9"/>
        <v>17.34</v>
      </c>
      <c r="N36" s="162">
        <f t="shared" si="10"/>
        <v>0</v>
      </c>
      <c r="O36" s="233"/>
      <c r="P36" s="27">
        <f t="shared" si="11"/>
        <v>12.3</v>
      </c>
      <c r="Q36" s="27">
        <f t="shared" si="12"/>
        <v>5.04</v>
      </c>
      <c r="R36" s="27">
        <f t="shared" si="13"/>
        <v>17.34</v>
      </c>
      <c r="S36" s="15">
        <f t="shared" si="14"/>
        <v>0</v>
      </c>
      <c r="T36" s="188">
        <f t="shared" si="15"/>
        <v>0</v>
      </c>
    </row>
    <row r="37" spans="1:20" ht="17.100000000000001" customHeight="1" x14ac:dyDescent="0.25">
      <c r="A37" s="320">
        <v>556</v>
      </c>
      <c r="B37" s="320"/>
      <c r="D37" s="233">
        <v>26</v>
      </c>
      <c r="E37" s="233" t="s">
        <v>1205</v>
      </c>
      <c r="F37" s="311" t="s">
        <v>1187</v>
      </c>
      <c r="G37" s="12">
        <f>+SUMIFS('2025 Lighting BDs'!C:C,'2025 Lighting BDs'!B:B,'E-13d'!A37)</f>
        <v>0</v>
      </c>
      <c r="H37" s="153">
        <v>159</v>
      </c>
      <c r="I37" s="153">
        <f t="shared" si="8"/>
        <v>0</v>
      </c>
      <c r="J37" s="153"/>
      <c r="K37" s="19">
        <f>+SUMIFS('2024 Lighting Rates'!B:B,'2024 Lighting Rates'!A:A,A37)</f>
        <v>12.04</v>
      </c>
      <c r="L37" s="19">
        <f>+SUMIFS('2024 Lighting Rates'!C:C,'2024 Lighting Rates'!A:A,A37)</f>
        <v>4.0199999999999996</v>
      </c>
      <c r="M37" s="19">
        <f t="shared" si="9"/>
        <v>16.059999999999999</v>
      </c>
      <c r="N37" s="162">
        <f t="shared" si="10"/>
        <v>0</v>
      </c>
      <c r="O37" s="233"/>
      <c r="P37" s="27">
        <f t="shared" si="11"/>
        <v>12.04</v>
      </c>
      <c r="Q37" s="27">
        <f t="shared" si="12"/>
        <v>4.0199999999999996</v>
      </c>
      <c r="R37" s="27">
        <f t="shared" si="13"/>
        <v>16.059999999999999</v>
      </c>
      <c r="S37" s="15">
        <f t="shared" si="14"/>
        <v>0</v>
      </c>
      <c r="T37" s="188">
        <f t="shared" si="15"/>
        <v>0</v>
      </c>
    </row>
    <row r="38" spans="1:20" ht="17.100000000000001" customHeight="1" x14ac:dyDescent="0.25">
      <c r="A38" s="320">
        <v>558</v>
      </c>
      <c r="B38" s="320"/>
      <c r="D38" s="233">
        <v>27</v>
      </c>
      <c r="E38" s="233" t="s">
        <v>1206</v>
      </c>
      <c r="F38" s="311" t="s">
        <v>1207</v>
      </c>
      <c r="G38" s="12">
        <f>+SUMIFS('2025 Lighting BDs'!C:C,'2025 Lighting BDs'!B:B,'E-13d'!A38)</f>
        <v>0</v>
      </c>
      <c r="H38" s="153">
        <v>383</v>
      </c>
      <c r="I38" s="153">
        <f t="shared" si="8"/>
        <v>0</v>
      </c>
      <c r="J38" s="153"/>
      <c r="K38" s="19">
        <f>+SUMIFS('2024 Lighting Rates'!B:B,'2024 Lighting Rates'!A:A,A38)</f>
        <v>15.11</v>
      </c>
      <c r="L38" s="19">
        <f>+SUMIFS('2024 Lighting Rates'!C:C,'2024 Lighting Rates'!A:A,A38)</f>
        <v>8.17</v>
      </c>
      <c r="M38" s="19">
        <f t="shared" si="9"/>
        <v>23.28</v>
      </c>
      <c r="N38" s="162">
        <f t="shared" si="10"/>
        <v>0</v>
      </c>
      <c r="O38" s="233"/>
      <c r="P38" s="27">
        <f t="shared" si="11"/>
        <v>15.11</v>
      </c>
      <c r="Q38" s="27">
        <f t="shared" si="12"/>
        <v>8.17</v>
      </c>
      <c r="R38" s="27">
        <f t="shared" si="13"/>
        <v>23.28</v>
      </c>
      <c r="S38" s="15">
        <f t="shared" si="14"/>
        <v>0</v>
      </c>
      <c r="T38" s="188">
        <f t="shared" si="15"/>
        <v>0</v>
      </c>
    </row>
    <row r="39" spans="1:20" ht="17.100000000000001" customHeight="1" x14ac:dyDescent="0.25">
      <c r="A39" s="320">
        <v>701</v>
      </c>
      <c r="B39" s="320"/>
      <c r="D39" s="233">
        <v>28</v>
      </c>
      <c r="E39" s="233" t="s">
        <v>1208</v>
      </c>
      <c r="F39" s="311" t="s">
        <v>1183</v>
      </c>
      <c r="G39" s="12">
        <f>+SUMIFS('2025 Lighting BDs'!C:C,'2025 Lighting BDs'!B:B,'E-13d'!A39)</f>
        <v>0</v>
      </c>
      <c r="H39" s="153">
        <v>67</v>
      </c>
      <c r="I39" s="153">
        <f t="shared" si="8"/>
        <v>0</v>
      </c>
      <c r="J39" s="153"/>
      <c r="K39" s="19">
        <f>+SUMIFS('2024 Lighting Rates'!B:B,'2024 Lighting Rates'!A:A,A39)</f>
        <v>15.25</v>
      </c>
      <c r="L39" s="19">
        <f>+SUMIFS('2024 Lighting Rates'!C:C,'2024 Lighting Rates'!A:A,A39)</f>
        <v>3.92</v>
      </c>
      <c r="M39" s="19">
        <f t="shared" si="9"/>
        <v>19.170000000000002</v>
      </c>
      <c r="N39" s="162">
        <f t="shared" si="10"/>
        <v>0</v>
      </c>
      <c r="O39" s="233"/>
      <c r="P39" s="27">
        <f t="shared" si="11"/>
        <v>15.25</v>
      </c>
      <c r="Q39" s="27">
        <f t="shared" si="12"/>
        <v>3.92</v>
      </c>
      <c r="R39" s="27">
        <f t="shared" si="13"/>
        <v>19.170000000000002</v>
      </c>
      <c r="S39" s="15">
        <f t="shared" si="14"/>
        <v>0</v>
      </c>
      <c r="T39" s="188">
        <f t="shared" si="15"/>
        <v>0</v>
      </c>
    </row>
    <row r="40" spans="1:20" ht="17.100000000000001" customHeight="1" x14ac:dyDescent="0.25">
      <c r="A40" s="320">
        <v>574</v>
      </c>
      <c r="B40" s="320"/>
      <c r="D40" s="233">
        <v>29</v>
      </c>
      <c r="E40" s="233" t="s">
        <v>1209</v>
      </c>
      <c r="F40" s="311" t="s">
        <v>1210</v>
      </c>
      <c r="G40" s="12">
        <f>+SUMIFS('2025 Lighting BDs'!C:C,'2025 Lighting BDs'!B:B,'E-13d'!A40)</f>
        <v>0</v>
      </c>
      <c r="H40" s="153">
        <v>74</v>
      </c>
      <c r="I40" s="153">
        <f t="shared" si="8"/>
        <v>0</v>
      </c>
      <c r="J40" s="153"/>
      <c r="K40" s="19">
        <f>+SUMIFS('2024 Lighting Rates'!B:B,'2024 Lighting Rates'!A:A,A40)</f>
        <v>15.68</v>
      </c>
      <c r="L40" s="19">
        <f>+SUMIFS('2024 Lighting Rates'!C:C,'2024 Lighting Rates'!A:A,A40)</f>
        <v>3.73</v>
      </c>
      <c r="M40" s="19">
        <f t="shared" si="9"/>
        <v>19.41</v>
      </c>
      <c r="N40" s="162">
        <f t="shared" si="10"/>
        <v>0</v>
      </c>
      <c r="O40" s="233"/>
      <c r="P40" s="27">
        <f t="shared" si="11"/>
        <v>15.68</v>
      </c>
      <c r="Q40" s="27">
        <f t="shared" si="12"/>
        <v>3.73</v>
      </c>
      <c r="R40" s="27">
        <f t="shared" si="13"/>
        <v>19.41</v>
      </c>
      <c r="S40" s="15">
        <f t="shared" si="14"/>
        <v>0</v>
      </c>
      <c r="T40" s="188">
        <f t="shared" si="15"/>
        <v>0</v>
      </c>
    </row>
    <row r="41" spans="1:20" ht="17.100000000000001" customHeight="1" x14ac:dyDescent="0.25">
      <c r="A41" s="320">
        <v>700</v>
      </c>
      <c r="B41" s="320"/>
      <c r="D41" s="233">
        <v>30</v>
      </c>
      <c r="E41" s="233" t="s">
        <v>1211</v>
      </c>
      <c r="F41" s="311" t="s">
        <v>1183</v>
      </c>
      <c r="G41" s="12">
        <f>+SUMIFS('2025 Lighting BDs'!C:C,'2025 Lighting BDs'!B:B,'E-13d'!A41)</f>
        <v>0</v>
      </c>
      <c r="H41" s="153">
        <v>67</v>
      </c>
      <c r="I41" s="153">
        <f t="shared" si="8"/>
        <v>0</v>
      </c>
      <c r="J41" s="153"/>
      <c r="K41" s="19">
        <f>+SUMIFS('2024 Lighting Rates'!B:B,'2024 Lighting Rates'!A:A,A41)</f>
        <v>13.42</v>
      </c>
      <c r="L41" s="19">
        <f>+SUMIFS('2024 Lighting Rates'!C:C,'2024 Lighting Rates'!A:A,A41)</f>
        <v>3.92</v>
      </c>
      <c r="M41" s="19">
        <f t="shared" si="9"/>
        <v>17.34</v>
      </c>
      <c r="N41" s="162">
        <f t="shared" si="10"/>
        <v>0</v>
      </c>
      <c r="O41" s="233"/>
      <c r="P41" s="27">
        <f t="shared" si="11"/>
        <v>13.42</v>
      </c>
      <c r="Q41" s="27">
        <f t="shared" si="12"/>
        <v>3.92</v>
      </c>
      <c r="R41" s="27">
        <f t="shared" si="13"/>
        <v>17.34</v>
      </c>
      <c r="S41" s="15">
        <f t="shared" si="14"/>
        <v>0</v>
      </c>
      <c r="T41" s="188">
        <f t="shared" si="15"/>
        <v>0</v>
      </c>
    </row>
    <row r="42" spans="1:20" ht="17.100000000000001" customHeight="1" x14ac:dyDescent="0.25">
      <c r="A42" s="320">
        <v>575</v>
      </c>
      <c r="B42" s="320"/>
      <c r="D42" s="233">
        <v>31</v>
      </c>
      <c r="E42" s="233" t="s">
        <v>1212</v>
      </c>
      <c r="F42" s="311" t="s">
        <v>1210</v>
      </c>
      <c r="G42" s="12">
        <f>+SUMIFS('2025 Lighting BDs'!C:C,'2025 Lighting BDs'!B:B,'E-13d'!A42)</f>
        <v>0</v>
      </c>
      <c r="H42" s="153">
        <v>74</v>
      </c>
      <c r="I42" s="153">
        <f t="shared" si="8"/>
        <v>0</v>
      </c>
      <c r="J42" s="153"/>
      <c r="K42" s="19">
        <f>+SUMIFS('2024 Lighting Rates'!B:B,'2024 Lighting Rates'!A:A,A42)</f>
        <v>13.49</v>
      </c>
      <c r="L42" s="19">
        <f>+SUMIFS('2024 Lighting Rates'!C:C,'2024 Lighting Rates'!A:A,A42)</f>
        <v>3.74</v>
      </c>
      <c r="M42" s="19">
        <f t="shared" si="9"/>
        <v>17.23</v>
      </c>
      <c r="N42" s="162">
        <f t="shared" si="10"/>
        <v>0</v>
      </c>
      <c r="O42" s="233"/>
      <c r="P42" s="27">
        <f t="shared" si="11"/>
        <v>13.49</v>
      </c>
      <c r="Q42" s="27">
        <f t="shared" si="12"/>
        <v>3.74</v>
      </c>
      <c r="R42" s="27">
        <f t="shared" si="13"/>
        <v>17.23</v>
      </c>
      <c r="S42" s="15">
        <f t="shared" si="14"/>
        <v>0</v>
      </c>
      <c r="T42" s="188">
        <f t="shared" si="15"/>
        <v>0</v>
      </c>
    </row>
    <row r="43" spans="1:20" ht="17.100000000000001" customHeight="1" x14ac:dyDescent="0.25">
      <c r="A43" s="320">
        <v>702</v>
      </c>
      <c r="B43" s="320"/>
      <c r="D43" s="233">
        <v>32</v>
      </c>
      <c r="E43" s="233" t="s">
        <v>1213</v>
      </c>
      <c r="F43" s="311" t="s">
        <v>1183</v>
      </c>
      <c r="G43" s="12">
        <f>+SUMIFS('2025 Lighting BDs'!C:C,'2025 Lighting BDs'!B:B,'E-13d'!A43)</f>
        <v>0</v>
      </c>
      <c r="H43" s="153">
        <v>67</v>
      </c>
      <c r="I43" s="153">
        <f t="shared" si="8"/>
        <v>0</v>
      </c>
      <c r="J43" s="153"/>
      <c r="K43" s="19">
        <f>+SUMIFS('2024 Lighting Rates'!B:B,'2024 Lighting Rates'!A:A,A43)</f>
        <v>10.38</v>
      </c>
      <c r="L43" s="19">
        <f>+SUMIFS('2024 Lighting Rates'!C:C,'2024 Lighting Rates'!A:A,A43)</f>
        <v>3.92</v>
      </c>
      <c r="M43" s="19">
        <f t="shared" si="9"/>
        <v>14.3</v>
      </c>
      <c r="N43" s="162">
        <f t="shared" si="10"/>
        <v>0</v>
      </c>
      <c r="O43" s="233"/>
      <c r="P43" s="27">
        <f t="shared" si="11"/>
        <v>10.38</v>
      </c>
      <c r="Q43" s="27">
        <f t="shared" si="12"/>
        <v>3.92</v>
      </c>
      <c r="R43" s="27">
        <f t="shared" si="13"/>
        <v>14.3</v>
      </c>
      <c r="S43" s="15">
        <f t="shared" si="14"/>
        <v>0</v>
      </c>
      <c r="T43" s="188">
        <f t="shared" si="15"/>
        <v>0</v>
      </c>
    </row>
    <row r="44" spans="1:20" ht="17.100000000000001" customHeight="1" x14ac:dyDescent="0.25">
      <c r="A44" s="320">
        <v>564</v>
      </c>
      <c r="B44" s="320"/>
      <c r="D44" s="233">
        <v>33</v>
      </c>
      <c r="E44" s="233" t="s">
        <v>1214</v>
      </c>
      <c r="F44" s="311" t="s">
        <v>1210</v>
      </c>
      <c r="G44" s="12">
        <f>+SUMIFS('2025 Lighting BDs'!C:C,'2025 Lighting BDs'!B:B,'E-13d'!A44)</f>
        <v>0</v>
      </c>
      <c r="H44" s="153">
        <v>74</v>
      </c>
      <c r="I44" s="153">
        <f t="shared" si="8"/>
        <v>0</v>
      </c>
      <c r="J44" s="153"/>
      <c r="K44" s="19">
        <f>+SUMIFS('2024 Lighting Rates'!B:B,'2024 Lighting Rates'!A:A,A44)</f>
        <v>11.44</v>
      </c>
      <c r="L44" s="19">
        <f>+SUMIFS('2024 Lighting Rates'!C:C,'2024 Lighting Rates'!A:A,A44)</f>
        <v>3.7</v>
      </c>
      <c r="M44" s="19">
        <f t="shared" si="9"/>
        <v>15.14</v>
      </c>
      <c r="N44" s="162">
        <f t="shared" si="10"/>
        <v>0</v>
      </c>
      <c r="O44" s="233"/>
      <c r="P44" s="27">
        <f t="shared" si="11"/>
        <v>11.44</v>
      </c>
      <c r="Q44" s="27">
        <f t="shared" si="12"/>
        <v>3.7</v>
      </c>
      <c r="R44" s="27">
        <f t="shared" si="13"/>
        <v>15.14</v>
      </c>
      <c r="S44" s="15">
        <f t="shared" si="14"/>
        <v>0</v>
      </c>
      <c r="T44" s="188">
        <f t="shared" si="15"/>
        <v>0</v>
      </c>
    </row>
    <row r="45" spans="1:20" ht="17.100000000000001" customHeight="1" x14ac:dyDescent="0.25">
      <c r="A45" s="320">
        <v>703</v>
      </c>
      <c r="B45" s="320"/>
      <c r="D45" s="233">
        <v>34</v>
      </c>
      <c r="E45" s="233" t="s">
        <v>1215</v>
      </c>
      <c r="F45" s="311" t="s">
        <v>1202</v>
      </c>
      <c r="G45" s="12">
        <f>+SUMIFS('2025 Lighting BDs'!C:C,'2025 Lighting BDs'!B:B,'E-13d'!A45)</f>
        <v>0</v>
      </c>
      <c r="H45" s="153">
        <v>138</v>
      </c>
      <c r="I45" s="153">
        <f t="shared" si="8"/>
        <v>0</v>
      </c>
      <c r="J45" s="153"/>
      <c r="K45" s="19">
        <f>+SUMIFS('2024 Lighting Rates'!B:B,'2024 Lighting Rates'!A:A,A45)</f>
        <v>13.74</v>
      </c>
      <c r="L45" s="19">
        <f>+SUMIFS('2024 Lighting Rates'!C:C,'2024 Lighting Rates'!A:A,A45)</f>
        <v>4.93</v>
      </c>
      <c r="M45" s="19">
        <f t="shared" si="9"/>
        <v>18.670000000000002</v>
      </c>
      <c r="N45" s="162">
        <f t="shared" si="10"/>
        <v>0</v>
      </c>
      <c r="O45" s="233"/>
      <c r="P45" s="27">
        <f t="shared" si="11"/>
        <v>13.74</v>
      </c>
      <c r="Q45" s="27">
        <f t="shared" si="12"/>
        <v>4.93</v>
      </c>
      <c r="R45" s="27">
        <f t="shared" si="13"/>
        <v>18.670000000000002</v>
      </c>
      <c r="S45" s="15">
        <f t="shared" si="14"/>
        <v>0</v>
      </c>
      <c r="T45" s="188">
        <f t="shared" si="15"/>
        <v>0</v>
      </c>
    </row>
    <row r="46" spans="1:20" ht="17.100000000000001" customHeight="1" x14ac:dyDescent="0.25">
      <c r="A46" s="320">
        <v>554</v>
      </c>
      <c r="B46" s="320"/>
      <c r="D46" s="233">
        <v>35</v>
      </c>
      <c r="E46" s="233" t="s">
        <v>1216</v>
      </c>
      <c r="F46" s="311" t="s">
        <v>1187</v>
      </c>
      <c r="G46" s="12">
        <f>+SUMIFS('2025 Lighting BDs'!C:C,'2025 Lighting BDs'!B:B,'E-13d'!A46)</f>
        <v>0</v>
      </c>
      <c r="H46" s="153">
        <v>159</v>
      </c>
      <c r="I46" s="153">
        <f t="shared" si="8"/>
        <v>0</v>
      </c>
      <c r="J46" s="153"/>
      <c r="K46" s="19">
        <f>+SUMIFS('2024 Lighting Rates'!B:B,'2024 Lighting Rates'!A:A,A46)</f>
        <v>14.41</v>
      </c>
      <c r="L46" s="19">
        <f>+SUMIFS('2024 Lighting Rates'!C:C,'2024 Lighting Rates'!A:A,A46)</f>
        <v>3.97</v>
      </c>
      <c r="M46" s="19">
        <f t="shared" si="9"/>
        <v>18.38</v>
      </c>
      <c r="N46" s="162">
        <f t="shared" si="10"/>
        <v>0</v>
      </c>
      <c r="O46" s="233"/>
      <c r="P46" s="27">
        <f t="shared" si="11"/>
        <v>14.41</v>
      </c>
      <c r="Q46" s="27">
        <f t="shared" si="12"/>
        <v>3.97</v>
      </c>
      <c r="R46" s="27">
        <f t="shared" si="13"/>
        <v>18.38</v>
      </c>
      <c r="S46" s="15">
        <f t="shared" si="14"/>
        <v>0</v>
      </c>
      <c r="T46" s="188">
        <f t="shared" si="15"/>
        <v>0</v>
      </c>
    </row>
    <row r="47" spans="1:20" ht="17.100000000000001" customHeight="1" x14ac:dyDescent="0.25">
      <c r="A47" s="320">
        <v>576</v>
      </c>
      <c r="B47" s="320"/>
      <c r="D47" s="233">
        <v>36</v>
      </c>
      <c r="E47" s="233" t="s">
        <v>1217</v>
      </c>
      <c r="F47" s="311" t="s">
        <v>1207</v>
      </c>
      <c r="G47" s="12">
        <f>+SUMIFS('2025 Lighting BDs'!C:C,'2025 Lighting BDs'!B:B,'E-13d'!A47)</f>
        <v>0</v>
      </c>
      <c r="H47" s="153">
        <v>383</v>
      </c>
      <c r="I47" s="153">
        <f t="shared" si="8"/>
        <v>0</v>
      </c>
      <c r="J47" s="153"/>
      <c r="K47" s="19">
        <f>+SUMIFS('2024 Lighting Rates'!B:B,'2024 Lighting Rates'!A:A,A47)</f>
        <v>23.74</v>
      </c>
      <c r="L47" s="19">
        <f>+SUMIFS('2024 Lighting Rates'!C:C,'2024 Lighting Rates'!A:A,A47)</f>
        <v>8.17</v>
      </c>
      <c r="M47" s="19">
        <f t="shared" si="9"/>
        <v>31.909999999999997</v>
      </c>
      <c r="N47" s="19">
        <f t="shared" si="10"/>
        <v>0</v>
      </c>
      <c r="O47" s="233"/>
      <c r="P47" s="27">
        <f t="shared" si="11"/>
        <v>23.74</v>
      </c>
      <c r="Q47" s="27">
        <f t="shared" si="12"/>
        <v>8.17</v>
      </c>
      <c r="R47" s="27">
        <f t="shared" si="13"/>
        <v>31.909999999999997</v>
      </c>
      <c r="S47" s="15">
        <f t="shared" si="14"/>
        <v>0</v>
      </c>
      <c r="T47" s="188">
        <f t="shared" si="15"/>
        <v>0</v>
      </c>
    </row>
    <row r="48" spans="1:20" ht="17.100000000000001" customHeight="1" x14ac:dyDescent="0.25">
      <c r="A48" s="320"/>
      <c r="B48" s="320"/>
      <c r="D48" s="233">
        <v>37</v>
      </c>
      <c r="E48" s="310" t="s">
        <v>1199</v>
      </c>
      <c r="F48" s="233"/>
      <c r="H48" s="233"/>
      <c r="I48" s="233"/>
      <c r="J48" s="233"/>
      <c r="K48" s="233"/>
      <c r="L48" s="233"/>
      <c r="M48" s="233"/>
      <c r="N48" s="323">
        <f>SUM(N34:N47)</f>
        <v>0</v>
      </c>
      <c r="O48" s="323"/>
      <c r="P48" s="233"/>
      <c r="Q48" s="233"/>
      <c r="R48" s="233"/>
      <c r="S48" s="323">
        <f>SUM(S34:S47)</f>
        <v>0</v>
      </c>
      <c r="T48" s="188">
        <f t="shared" si="15"/>
        <v>0</v>
      </c>
    </row>
    <row r="49" spans="1:20" ht="17.100000000000001" customHeight="1" x14ac:dyDescent="0.25">
      <c r="A49" s="320"/>
      <c r="B49" s="320"/>
      <c r="D49" s="233">
        <v>38</v>
      </c>
      <c r="E49" s="310"/>
      <c r="F49" s="233"/>
      <c r="H49" s="233"/>
      <c r="I49" s="233"/>
      <c r="J49" s="233"/>
      <c r="K49" s="233"/>
      <c r="L49" s="233"/>
      <c r="M49" s="233"/>
      <c r="N49" s="323"/>
      <c r="O49" s="323"/>
      <c r="P49" s="233"/>
      <c r="Q49" s="233"/>
      <c r="R49" s="233"/>
      <c r="S49" s="323"/>
      <c r="T49" s="233"/>
    </row>
    <row r="50" spans="1:20" ht="17.100000000000001" customHeight="1" x14ac:dyDescent="0.25">
      <c r="A50" s="320"/>
      <c r="B50" s="320"/>
      <c r="D50" s="233">
        <v>39</v>
      </c>
      <c r="E50" s="310"/>
      <c r="F50" s="233"/>
      <c r="H50" s="233"/>
      <c r="I50" s="233"/>
      <c r="J50" s="233"/>
      <c r="K50" s="233"/>
      <c r="L50" s="233"/>
      <c r="M50" s="233"/>
      <c r="N50" s="323"/>
      <c r="O50" s="323"/>
      <c r="P50" s="233"/>
      <c r="Q50" s="233"/>
      <c r="R50" s="233"/>
      <c r="S50" s="323"/>
      <c r="T50" s="233"/>
    </row>
    <row r="51" spans="1:20" ht="17.100000000000001" customHeight="1" thickBot="1" x14ac:dyDescent="0.3">
      <c r="A51" s="320"/>
      <c r="B51" s="320"/>
      <c r="D51" s="306">
        <v>40</v>
      </c>
      <c r="E51" s="306"/>
      <c r="F51" s="306"/>
      <c r="G51" s="324"/>
      <c r="H51" s="324"/>
      <c r="I51" s="324"/>
      <c r="J51" s="306"/>
      <c r="K51" s="306"/>
      <c r="L51" s="306"/>
      <c r="M51" s="306"/>
      <c r="N51" s="306"/>
      <c r="O51" s="325"/>
      <c r="P51" s="325"/>
      <c r="Q51" s="306"/>
      <c r="R51" s="306"/>
      <c r="S51" s="306"/>
      <c r="T51" s="326" t="s">
        <v>1218</v>
      </c>
    </row>
    <row r="52" spans="1:20" ht="17.100000000000001" customHeight="1" x14ac:dyDescent="0.25">
      <c r="A52" s="320"/>
      <c r="B52" s="320"/>
      <c r="D52" s="233" t="s">
        <v>1219</v>
      </c>
      <c r="E52" s="233"/>
      <c r="F52" s="233"/>
      <c r="G52" s="321"/>
      <c r="H52" s="233"/>
      <c r="I52" s="233"/>
      <c r="J52" s="233"/>
      <c r="K52" s="233"/>
      <c r="L52" s="233"/>
      <c r="M52" s="233"/>
      <c r="N52" s="233"/>
      <c r="O52" s="233"/>
      <c r="P52" s="233"/>
      <c r="Q52" s="233"/>
      <c r="R52" s="233" t="s">
        <v>1220</v>
      </c>
      <c r="S52" s="233"/>
      <c r="T52" s="233"/>
    </row>
    <row r="53" spans="1:20" ht="17.100000000000001" customHeight="1" thickBot="1" x14ac:dyDescent="0.3">
      <c r="A53" s="320"/>
      <c r="B53" s="320"/>
      <c r="D53" s="306" t="str">
        <f>+$D$1</f>
        <v>SCHEDULE E-13d</v>
      </c>
      <c r="E53" s="306"/>
      <c r="F53" s="306"/>
      <c r="G53" s="306"/>
      <c r="H53" s="306"/>
      <c r="I53" s="306" t="str">
        <f>+$I$1</f>
        <v>REVENUE BY RATE SCHEDULE - LIGHTING SCHEDULE CALCULATION</v>
      </c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 t="s">
        <v>1221</v>
      </c>
    </row>
    <row r="54" spans="1:20" ht="17.100000000000001" customHeight="1" x14ac:dyDescent="0.25">
      <c r="A54" s="320"/>
      <c r="B54" s="320"/>
      <c r="D54" s="233" t="s">
        <v>307</v>
      </c>
      <c r="E54" s="233"/>
      <c r="F54" s="233"/>
      <c r="I54" s="311" t="s">
        <v>1222</v>
      </c>
      <c r="J54" s="233" t="s">
        <v>1491</v>
      </c>
      <c r="K54" s="233"/>
      <c r="L54" s="309"/>
      <c r="M54" s="309"/>
      <c r="N54" s="233"/>
      <c r="O54" s="233"/>
      <c r="P54" s="309"/>
      <c r="Q54" s="309" t="s">
        <v>309</v>
      </c>
      <c r="R54" s="233"/>
      <c r="S54" s="233"/>
      <c r="T54" s="310"/>
    </row>
    <row r="55" spans="1:20" ht="17.100000000000001" customHeight="1" x14ac:dyDescent="0.25">
      <c r="A55" s="320"/>
      <c r="B55" s="320"/>
      <c r="D55" s="233"/>
      <c r="E55" s="233"/>
      <c r="F55" s="233"/>
      <c r="G55" s="233"/>
      <c r="H55" s="233" t="str">
        <f>IF(+$H$3="","",$H$3)</f>
        <v/>
      </c>
      <c r="I55" s="233"/>
      <c r="J55" s="233" t="s">
        <v>1492</v>
      </c>
      <c r="K55" s="233"/>
      <c r="L55" s="311"/>
      <c r="M55" s="310"/>
      <c r="N55" s="233"/>
      <c r="O55" s="233"/>
      <c r="P55" s="233"/>
      <c r="Q55" s="312"/>
      <c r="R55" s="311" t="s">
        <v>919</v>
      </c>
      <c r="S55" s="310" t="s">
        <v>920</v>
      </c>
      <c r="T55" s="311"/>
    </row>
    <row r="56" spans="1:20" ht="17.100000000000001" customHeight="1" x14ac:dyDescent="0.25">
      <c r="A56" s="320"/>
      <c r="B56" s="320"/>
      <c r="D56" s="233" t="s">
        <v>310</v>
      </c>
      <c r="E56" s="233"/>
      <c r="F56" s="233"/>
      <c r="G56" s="233"/>
      <c r="H56" s="233" t="str">
        <f>IF(+$H$4="","",$H$4)</f>
        <v/>
      </c>
      <c r="I56" s="233"/>
      <c r="J56" s="233" t="s">
        <v>1493</v>
      </c>
      <c r="K56" s="233"/>
      <c r="L56" s="311"/>
      <c r="M56" s="310"/>
      <c r="N56" s="311"/>
      <c r="O56" s="311"/>
      <c r="P56" s="233"/>
      <c r="Q56" s="311"/>
      <c r="R56" s="311"/>
      <c r="S56" s="310" t="s">
        <v>937</v>
      </c>
      <c r="T56" s="311"/>
    </row>
    <row r="57" spans="1:20" ht="17.100000000000001" customHeight="1" x14ac:dyDescent="0.25">
      <c r="A57" s="320"/>
      <c r="B57" s="320"/>
      <c r="D57" s="233"/>
      <c r="E57" s="233"/>
      <c r="F57" s="233"/>
      <c r="G57" s="233"/>
      <c r="H57" s="233" t="str">
        <f>IF(+$H$5="","",$H$5)</f>
        <v/>
      </c>
      <c r="I57" s="233"/>
      <c r="J57" s="233" t="s">
        <v>1494</v>
      </c>
      <c r="K57" s="233"/>
      <c r="L57" s="311"/>
      <c r="M57" s="310"/>
      <c r="N57" s="311"/>
      <c r="O57" s="311"/>
      <c r="P57" s="233"/>
      <c r="Q57" s="311"/>
      <c r="R57" s="311"/>
      <c r="S57" s="310" t="s">
        <v>938</v>
      </c>
      <c r="T57" s="311"/>
    </row>
    <row r="58" spans="1:20" ht="17.100000000000001" customHeight="1" thickBot="1" x14ac:dyDescent="0.3">
      <c r="A58" s="320"/>
      <c r="B58" s="320"/>
      <c r="D58" s="306" t="str">
        <f>+$D$6</f>
        <v>DOCKET No. 20240026-EI</v>
      </c>
      <c r="E58" s="306"/>
      <c r="F58" s="306"/>
      <c r="G58" s="306"/>
      <c r="H58" s="306" t="str">
        <f>IF(+$H$8="","",$H$8)</f>
        <v/>
      </c>
      <c r="I58" s="306"/>
      <c r="J58" s="306"/>
      <c r="K58" s="314"/>
      <c r="L58" s="306"/>
      <c r="M58" s="306"/>
      <c r="N58" s="306"/>
      <c r="O58" s="306"/>
      <c r="P58" s="306"/>
      <c r="Q58" s="306"/>
      <c r="R58" s="233"/>
      <c r="S58" s="233" t="s">
        <v>311</v>
      </c>
      <c r="T58" s="306"/>
    </row>
    <row r="59" spans="1:20" ht="17.100000000000001" customHeight="1" x14ac:dyDescent="0.25">
      <c r="A59" s="320"/>
      <c r="B59" s="320"/>
      <c r="D59" s="315"/>
      <c r="E59" s="595" t="s">
        <v>1163</v>
      </c>
      <c r="F59" s="595"/>
      <c r="G59" s="595"/>
      <c r="H59" s="595"/>
      <c r="I59" s="595"/>
      <c r="J59" s="595"/>
      <c r="K59" s="595"/>
      <c r="L59" s="595"/>
      <c r="M59" s="595"/>
      <c r="N59" s="595"/>
      <c r="O59" s="595"/>
      <c r="P59" s="595"/>
      <c r="Q59" s="595"/>
      <c r="R59" s="595"/>
      <c r="S59" s="595"/>
      <c r="T59" s="595"/>
    </row>
    <row r="60" spans="1:20" ht="17.100000000000001" customHeight="1" x14ac:dyDescent="0.25">
      <c r="A60" s="320"/>
      <c r="B60" s="320"/>
      <c r="D60" s="233"/>
      <c r="E60" s="226"/>
      <c r="F60" s="317"/>
      <c r="G60" s="317"/>
      <c r="H60" s="317"/>
      <c r="I60" s="317"/>
      <c r="J60" s="317"/>
      <c r="K60" s="596" t="s">
        <v>1164</v>
      </c>
      <c r="L60" s="596"/>
      <c r="M60" s="596"/>
      <c r="N60" s="596"/>
      <c r="O60" s="317"/>
      <c r="P60" s="596" t="s">
        <v>873</v>
      </c>
      <c r="Q60" s="596"/>
      <c r="R60" s="596"/>
      <c r="S60" s="596"/>
      <c r="T60" s="317"/>
    </row>
    <row r="61" spans="1:20" ht="17.100000000000001" customHeight="1" x14ac:dyDescent="0.25">
      <c r="A61" s="320"/>
      <c r="B61" s="320"/>
      <c r="D61" s="233"/>
      <c r="E61" s="226"/>
      <c r="F61" s="317"/>
      <c r="G61" s="226" t="s">
        <v>1165</v>
      </c>
      <c r="H61" s="317" t="s">
        <v>1166</v>
      </c>
      <c r="I61" s="226"/>
      <c r="J61" s="226"/>
      <c r="K61" s="226" t="s">
        <v>1167</v>
      </c>
      <c r="L61" s="226" t="s">
        <v>1167</v>
      </c>
      <c r="M61" s="226" t="s">
        <v>1168</v>
      </c>
      <c r="N61" s="317" t="s">
        <v>807</v>
      </c>
      <c r="O61" s="317"/>
      <c r="P61" s="226" t="s">
        <v>1167</v>
      </c>
      <c r="Q61" s="226" t="s">
        <v>1167</v>
      </c>
      <c r="R61" s="226" t="s">
        <v>1168</v>
      </c>
      <c r="S61" s="226" t="s">
        <v>807</v>
      </c>
      <c r="T61" s="226"/>
    </row>
    <row r="62" spans="1:20" ht="17.100000000000001" customHeight="1" x14ac:dyDescent="0.25">
      <c r="A62" s="320"/>
      <c r="B62" s="320"/>
      <c r="D62" s="233" t="s">
        <v>314</v>
      </c>
      <c r="E62" s="226" t="s">
        <v>315</v>
      </c>
      <c r="F62" s="226"/>
      <c r="G62" s="226" t="s">
        <v>1169</v>
      </c>
      <c r="H62" s="226" t="s">
        <v>1167</v>
      </c>
      <c r="I62" s="317" t="s">
        <v>1165</v>
      </c>
      <c r="J62" s="317"/>
      <c r="K62" s="317" t="s">
        <v>1170</v>
      </c>
      <c r="L62" s="317" t="s">
        <v>1171</v>
      </c>
      <c r="M62" s="317" t="s">
        <v>1167</v>
      </c>
      <c r="N62" s="226" t="s">
        <v>336</v>
      </c>
      <c r="O62" s="226"/>
      <c r="P62" s="317" t="s">
        <v>1170</v>
      </c>
      <c r="Q62" s="317" t="s">
        <v>1171</v>
      </c>
      <c r="R62" s="317" t="s">
        <v>1167</v>
      </c>
      <c r="S62" s="317" t="s">
        <v>336</v>
      </c>
      <c r="T62" s="317" t="s">
        <v>857</v>
      </c>
    </row>
    <row r="63" spans="1:20" ht="17.100000000000001" customHeight="1" thickBot="1" x14ac:dyDescent="0.3">
      <c r="A63" s="320"/>
      <c r="B63" s="320"/>
      <c r="D63" s="306" t="s">
        <v>320</v>
      </c>
      <c r="E63" s="314" t="s">
        <v>1170</v>
      </c>
      <c r="F63" s="314"/>
      <c r="G63" s="314" t="s">
        <v>1172</v>
      </c>
      <c r="H63" s="314" t="s">
        <v>711</v>
      </c>
      <c r="I63" s="319" t="s">
        <v>711</v>
      </c>
      <c r="J63" s="319"/>
      <c r="K63" s="319" t="s">
        <v>1173</v>
      </c>
      <c r="L63" s="319" t="s">
        <v>1173</v>
      </c>
      <c r="M63" s="319" t="s">
        <v>1173</v>
      </c>
      <c r="N63" s="319" t="s">
        <v>318</v>
      </c>
      <c r="O63" s="319"/>
      <c r="P63" s="319" t="s">
        <v>1173</v>
      </c>
      <c r="Q63" s="319" t="s">
        <v>1173</v>
      </c>
      <c r="R63" s="319" t="s">
        <v>1173</v>
      </c>
      <c r="S63" s="319" t="s">
        <v>318</v>
      </c>
      <c r="T63" s="319" t="s">
        <v>326</v>
      </c>
    </row>
    <row r="64" spans="1:20" ht="17.100000000000001" customHeight="1" x14ac:dyDescent="0.25">
      <c r="A64" s="320"/>
      <c r="B64" s="320"/>
      <c r="D64" s="233">
        <v>1</v>
      </c>
      <c r="E64" s="327" t="s">
        <v>1223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</row>
    <row r="65" spans="1:20" ht="17.100000000000001" customHeight="1" x14ac:dyDescent="0.25">
      <c r="A65" s="320"/>
      <c r="B65" s="320"/>
      <c r="D65" s="233">
        <v>2</v>
      </c>
      <c r="E65" s="597" t="s">
        <v>1224</v>
      </c>
      <c r="F65" s="597"/>
      <c r="G65" s="233"/>
      <c r="H65" s="233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</row>
    <row r="66" spans="1:20" ht="17.100000000000001" customHeight="1" x14ac:dyDescent="0.25">
      <c r="A66" s="320">
        <v>860</v>
      </c>
      <c r="B66" s="320"/>
      <c r="D66" s="233">
        <v>3</v>
      </c>
      <c r="E66" s="233" t="s">
        <v>1225</v>
      </c>
      <c r="F66" s="311" t="s">
        <v>1177</v>
      </c>
      <c r="G66" s="12">
        <f>+SUMIFS('2025 Lighting BDs'!C:C,'2025 Lighting BDs'!B:B,'E-13d'!A66)</f>
        <v>0</v>
      </c>
      <c r="H66" s="12">
        <v>10</v>
      </c>
      <c r="I66" s="153">
        <f t="shared" ref="I66:I82" si="16">+H66*G66</f>
        <v>0</v>
      </c>
      <c r="J66" s="13"/>
      <c r="K66" s="19">
        <f>+SUMIFS('2024 Lighting Rates'!B:B,'2024 Lighting Rates'!A:A,A66)</f>
        <v>4.54</v>
      </c>
      <c r="L66" s="19">
        <f>+SUMIFS('2024 Lighting Rates'!C:C,'2024 Lighting Rates'!A:A,A66)</f>
        <v>2.48</v>
      </c>
      <c r="M66" s="27">
        <f t="shared" ref="M66:M78" si="17">+K66+L66</f>
        <v>7.02</v>
      </c>
      <c r="N66" s="11">
        <f t="shared" ref="N66:N82" si="18">+M66*G66</f>
        <v>0</v>
      </c>
      <c r="O66" s="15"/>
      <c r="P66" s="27">
        <f t="shared" ref="P66:P82" si="19">+K66</f>
        <v>4.54</v>
      </c>
      <c r="Q66" s="27">
        <f t="shared" ref="Q66:Q82" si="20">+L66</f>
        <v>2.48</v>
      </c>
      <c r="R66" s="27">
        <f t="shared" ref="R66:R82" si="21">+P66+Q66</f>
        <v>7.02</v>
      </c>
      <c r="S66" s="11">
        <f t="shared" ref="S66:S82" si="22">+R66*G66</f>
        <v>0</v>
      </c>
      <c r="T66" s="188">
        <f t="shared" ref="T66:T83" si="23">IF(S66=0,0,(S66-N66)/N66)</f>
        <v>0</v>
      </c>
    </row>
    <row r="67" spans="1:20" ht="17.100000000000001" customHeight="1" x14ac:dyDescent="0.25">
      <c r="A67" s="320">
        <v>862</v>
      </c>
      <c r="B67" s="320"/>
      <c r="D67" s="233">
        <v>4</v>
      </c>
      <c r="E67" s="233" t="s">
        <v>1226</v>
      </c>
      <c r="F67" s="311" t="s">
        <v>1179</v>
      </c>
      <c r="G67" s="12">
        <f>+SUMIFS('2025 Lighting BDs'!C:C,'2025 Lighting BDs'!B:B,'E-13d'!A67)</f>
        <v>0</v>
      </c>
      <c r="H67" s="12">
        <v>14</v>
      </c>
      <c r="I67" s="153">
        <f t="shared" si="16"/>
        <v>0</v>
      </c>
      <c r="J67" s="13"/>
      <c r="K67" s="19">
        <f>+SUMIFS('2024 Lighting Rates'!B:B,'2024 Lighting Rates'!A:A,A67)</f>
        <v>4.6100000000000003</v>
      </c>
      <c r="L67" s="19">
        <f>+SUMIFS('2024 Lighting Rates'!C:C,'2024 Lighting Rates'!A:A,A67)</f>
        <v>2.11</v>
      </c>
      <c r="M67" s="27">
        <f t="shared" si="17"/>
        <v>6.7200000000000006</v>
      </c>
      <c r="N67" s="11">
        <f t="shared" si="18"/>
        <v>0</v>
      </c>
      <c r="O67" s="12"/>
      <c r="P67" s="27">
        <f t="shared" si="19"/>
        <v>4.6100000000000003</v>
      </c>
      <c r="Q67" s="27">
        <f t="shared" si="20"/>
        <v>2.11</v>
      </c>
      <c r="R67" s="27">
        <f t="shared" si="21"/>
        <v>6.7200000000000006</v>
      </c>
      <c r="S67" s="11">
        <f t="shared" si="22"/>
        <v>0</v>
      </c>
      <c r="T67" s="188">
        <f t="shared" si="23"/>
        <v>0</v>
      </c>
    </row>
    <row r="68" spans="1:20" ht="17.100000000000001" customHeight="1" x14ac:dyDescent="0.25">
      <c r="A68" s="320">
        <v>863</v>
      </c>
      <c r="B68" s="320"/>
      <c r="D68" s="233">
        <v>5</v>
      </c>
      <c r="E68" s="233" t="s">
        <v>1227</v>
      </c>
      <c r="F68" s="311" t="s">
        <v>1181</v>
      </c>
      <c r="G68" s="12">
        <f>+SUMIFS('2025 Lighting BDs'!C:C,'2025 Lighting BDs'!B:B,'E-13d'!A68)</f>
        <v>0</v>
      </c>
      <c r="H68" s="12">
        <v>22</v>
      </c>
      <c r="I68" s="153">
        <f t="shared" si="16"/>
        <v>0</v>
      </c>
      <c r="J68" s="13"/>
      <c r="K68" s="19">
        <f>+SUMIFS('2024 Lighting Rates'!B:B,'2024 Lighting Rates'!A:A,A68)</f>
        <v>5.22</v>
      </c>
      <c r="L68" s="19">
        <f>+SUMIFS('2024 Lighting Rates'!C:C,'2024 Lighting Rates'!A:A,A68)</f>
        <v>2.33</v>
      </c>
      <c r="M68" s="27">
        <f t="shared" si="17"/>
        <v>7.55</v>
      </c>
      <c r="N68" s="11">
        <f t="shared" si="18"/>
        <v>0</v>
      </c>
      <c r="O68" s="12"/>
      <c r="P68" s="27">
        <f t="shared" si="19"/>
        <v>5.22</v>
      </c>
      <c r="Q68" s="27">
        <f t="shared" si="20"/>
        <v>2.33</v>
      </c>
      <c r="R68" s="27">
        <f t="shared" si="21"/>
        <v>7.55</v>
      </c>
      <c r="S68" s="11">
        <f t="shared" si="22"/>
        <v>0</v>
      </c>
      <c r="T68" s="188">
        <f t="shared" si="23"/>
        <v>0</v>
      </c>
    </row>
    <row r="69" spans="1:20" ht="17.100000000000001" customHeight="1" x14ac:dyDescent="0.25">
      <c r="A69" s="320">
        <v>864</v>
      </c>
      <c r="B69" s="320"/>
      <c r="D69" s="233">
        <v>6</v>
      </c>
      <c r="E69" s="233" t="s">
        <v>1228</v>
      </c>
      <c r="F69" s="311" t="s">
        <v>1183</v>
      </c>
      <c r="G69" s="12">
        <f>+SUMIFS('2025 Lighting BDs'!C:C,'2025 Lighting BDs'!B:B,'E-13d'!A69)</f>
        <v>0</v>
      </c>
      <c r="H69" s="12">
        <v>33</v>
      </c>
      <c r="I69" s="154">
        <f t="shared" si="16"/>
        <v>0</v>
      </c>
      <c r="J69" s="13"/>
      <c r="K69" s="19">
        <f>+SUMIFS('2024 Lighting Rates'!B:B,'2024 Lighting Rates'!A:A,A69)</f>
        <v>6.01</v>
      </c>
      <c r="L69" s="19">
        <f>+SUMIFS('2024 Lighting Rates'!C:C,'2024 Lighting Rates'!A:A,A69)</f>
        <v>2.02</v>
      </c>
      <c r="M69" s="27">
        <f t="shared" si="17"/>
        <v>8.0299999999999994</v>
      </c>
      <c r="N69" s="11">
        <f t="shared" si="18"/>
        <v>0</v>
      </c>
      <c r="O69" s="12"/>
      <c r="P69" s="27">
        <f t="shared" si="19"/>
        <v>6.01</v>
      </c>
      <c r="Q69" s="27">
        <f t="shared" si="20"/>
        <v>2.02</v>
      </c>
      <c r="R69" s="27">
        <f t="shared" si="21"/>
        <v>8.0299999999999994</v>
      </c>
      <c r="S69" s="11">
        <f t="shared" si="22"/>
        <v>0</v>
      </c>
      <c r="T69" s="188">
        <f t="shared" si="23"/>
        <v>0</v>
      </c>
    </row>
    <row r="70" spans="1:20" ht="17.100000000000001" customHeight="1" x14ac:dyDescent="0.25">
      <c r="A70" s="320">
        <v>865</v>
      </c>
      <c r="B70" s="320"/>
      <c r="D70" s="233">
        <v>7</v>
      </c>
      <c r="E70" s="233" t="s">
        <v>1229</v>
      </c>
      <c r="F70" s="311" t="s">
        <v>1185</v>
      </c>
      <c r="G70" s="12">
        <f>+SUMIFS('2025 Lighting BDs'!C:C,'2025 Lighting BDs'!B:B,'E-13d'!A70)</f>
        <v>0</v>
      </c>
      <c r="H70" s="12">
        <v>52</v>
      </c>
      <c r="I70" s="153">
        <f t="shared" si="16"/>
        <v>0</v>
      </c>
      <c r="J70" s="13"/>
      <c r="K70" s="19">
        <f>+SUMIFS('2024 Lighting Rates'!B:B,'2024 Lighting Rates'!A:A,A70)</f>
        <v>7.01</v>
      </c>
      <c r="L70" s="19">
        <f>+SUMIFS('2024 Lighting Rates'!C:C,'2024 Lighting Rates'!A:A,A70)</f>
        <v>2.6</v>
      </c>
      <c r="M70" s="27">
        <f t="shared" si="17"/>
        <v>9.61</v>
      </c>
      <c r="N70" s="11">
        <f t="shared" si="18"/>
        <v>0</v>
      </c>
      <c r="O70" s="12"/>
      <c r="P70" s="27">
        <f t="shared" si="19"/>
        <v>7.01</v>
      </c>
      <c r="Q70" s="27">
        <f t="shared" si="20"/>
        <v>2.6</v>
      </c>
      <c r="R70" s="27">
        <f t="shared" si="21"/>
        <v>9.61</v>
      </c>
      <c r="S70" s="11">
        <f t="shared" si="22"/>
        <v>0</v>
      </c>
      <c r="T70" s="188">
        <f t="shared" si="23"/>
        <v>0</v>
      </c>
    </row>
    <row r="71" spans="1:20" ht="17.100000000000001" customHeight="1" x14ac:dyDescent="0.25">
      <c r="A71" s="320">
        <v>866</v>
      </c>
      <c r="B71" s="320"/>
      <c r="D71" s="233">
        <v>8</v>
      </c>
      <c r="E71" s="233" t="s">
        <v>1230</v>
      </c>
      <c r="F71" s="311" t="s">
        <v>1187</v>
      </c>
      <c r="G71" s="12">
        <f>+SUMIFS('2025 Lighting BDs'!C:C,'2025 Lighting BDs'!B:B,'E-13d'!A71)</f>
        <v>0</v>
      </c>
      <c r="H71" s="12">
        <v>81</v>
      </c>
      <c r="I71" s="154">
        <f t="shared" si="16"/>
        <v>0</v>
      </c>
      <c r="J71" s="13"/>
      <c r="K71" s="19">
        <f>+SUMIFS('2024 Lighting Rates'!B:B,'2024 Lighting Rates'!A:A,A71)</f>
        <v>7.32</v>
      </c>
      <c r="L71" s="19">
        <f>+SUMIFS('2024 Lighting Rates'!C:C,'2024 Lighting Rates'!A:A,A71)</f>
        <v>2.99</v>
      </c>
      <c r="M71" s="27">
        <f t="shared" si="17"/>
        <v>10.31</v>
      </c>
      <c r="N71" s="11">
        <f t="shared" si="18"/>
        <v>0</v>
      </c>
      <c r="O71" s="12"/>
      <c r="P71" s="27">
        <f t="shared" si="19"/>
        <v>7.32</v>
      </c>
      <c r="Q71" s="27">
        <f t="shared" si="20"/>
        <v>2.99</v>
      </c>
      <c r="R71" s="27">
        <f t="shared" si="21"/>
        <v>10.31</v>
      </c>
      <c r="S71" s="11">
        <f t="shared" si="22"/>
        <v>0</v>
      </c>
      <c r="T71" s="188">
        <f t="shared" si="23"/>
        <v>0</v>
      </c>
    </row>
    <row r="72" spans="1:20" ht="17.100000000000001" customHeight="1" x14ac:dyDescent="0.25">
      <c r="A72" s="320">
        <v>454</v>
      </c>
      <c r="B72" s="320"/>
      <c r="D72" s="233">
        <v>9</v>
      </c>
      <c r="E72" s="233" t="s">
        <v>1231</v>
      </c>
      <c r="F72" s="311" t="s">
        <v>1185</v>
      </c>
      <c r="G72" s="12">
        <f>+SUMIFS('2025 Lighting BDs'!C:C,'2025 Lighting BDs'!B:B,'E-13d'!A72)</f>
        <v>0</v>
      </c>
      <c r="H72" s="12">
        <v>52</v>
      </c>
      <c r="I72" s="153">
        <f t="shared" si="16"/>
        <v>0</v>
      </c>
      <c r="J72" s="13"/>
      <c r="K72" s="19">
        <f>+SUMIFS('2024 Lighting Rates'!B:B,'2024 Lighting Rates'!A:A,A72)</f>
        <v>7.72</v>
      </c>
      <c r="L72" s="19">
        <f>+SUMIFS('2024 Lighting Rates'!C:C,'2024 Lighting Rates'!A:A,A72)</f>
        <v>2.6</v>
      </c>
      <c r="M72" s="27">
        <f t="shared" si="17"/>
        <v>10.32</v>
      </c>
      <c r="N72" s="11">
        <f t="shared" si="18"/>
        <v>0</v>
      </c>
      <c r="O72" s="12"/>
      <c r="P72" s="27">
        <f t="shared" si="19"/>
        <v>7.72</v>
      </c>
      <c r="Q72" s="27">
        <f t="shared" si="20"/>
        <v>2.6</v>
      </c>
      <c r="R72" s="27">
        <f t="shared" si="21"/>
        <v>10.32</v>
      </c>
      <c r="S72" s="11">
        <f t="shared" si="22"/>
        <v>0</v>
      </c>
      <c r="T72" s="188">
        <f t="shared" si="23"/>
        <v>0</v>
      </c>
    </row>
    <row r="73" spans="1:20" ht="17.100000000000001" customHeight="1" x14ac:dyDescent="0.25">
      <c r="A73" s="320">
        <v>484</v>
      </c>
      <c r="B73" s="320"/>
      <c r="D73" s="233">
        <v>10</v>
      </c>
      <c r="E73" s="233" t="s">
        <v>1232</v>
      </c>
      <c r="F73" s="311" t="s">
        <v>1187</v>
      </c>
      <c r="G73" s="12">
        <f>+SUMIFS('2025 Lighting BDs'!C:C,'2025 Lighting BDs'!B:B,'E-13d'!A73)</f>
        <v>0</v>
      </c>
      <c r="H73" s="12">
        <v>81</v>
      </c>
      <c r="I73" s="153">
        <f t="shared" si="16"/>
        <v>0</v>
      </c>
      <c r="J73" s="13"/>
      <c r="K73" s="19">
        <f>+SUMIFS('2024 Lighting Rates'!B:B,'2024 Lighting Rates'!A:A,A73)</f>
        <v>8.2200000000000006</v>
      </c>
      <c r="L73" s="19">
        <f>+SUMIFS('2024 Lighting Rates'!C:C,'2024 Lighting Rates'!A:A,A73)</f>
        <v>3</v>
      </c>
      <c r="M73" s="27">
        <f t="shared" si="17"/>
        <v>11.22</v>
      </c>
      <c r="N73" s="11">
        <f t="shared" si="18"/>
        <v>0</v>
      </c>
      <c r="O73" s="12"/>
      <c r="P73" s="27">
        <f t="shared" si="19"/>
        <v>8.2200000000000006</v>
      </c>
      <c r="Q73" s="27">
        <f t="shared" si="20"/>
        <v>3</v>
      </c>
      <c r="R73" s="27">
        <f t="shared" si="21"/>
        <v>11.22</v>
      </c>
      <c r="S73" s="11">
        <f t="shared" si="22"/>
        <v>0</v>
      </c>
      <c r="T73" s="188">
        <f t="shared" si="23"/>
        <v>0</v>
      </c>
    </row>
    <row r="74" spans="1:20" ht="17.100000000000001" customHeight="1" x14ac:dyDescent="0.25">
      <c r="A74" s="320">
        <v>869</v>
      </c>
      <c r="B74" s="320"/>
      <c r="D74" s="233">
        <v>11</v>
      </c>
      <c r="E74" s="233" t="s">
        <v>1233</v>
      </c>
      <c r="F74" s="311" t="s">
        <v>1187</v>
      </c>
      <c r="G74" s="12">
        <f>+SUMIFS('2025 Lighting BDs'!C:C,'2025 Lighting BDs'!B:B,'E-13d'!A74)</f>
        <v>0</v>
      </c>
      <c r="H74" s="12">
        <v>81</v>
      </c>
      <c r="I74" s="12">
        <f>+H74*G74</f>
        <v>0</v>
      </c>
      <c r="J74" s="13"/>
      <c r="K74" s="19">
        <f>+SUMIFS('2024 Lighting Rates'!B:B,'2024 Lighting Rates'!A:A,A74)</f>
        <v>9.35</v>
      </c>
      <c r="L74" s="19">
        <f>+SUMIFS('2024 Lighting Rates'!C:C,'2024 Lighting Rates'!A:A,A74)</f>
        <v>3.02</v>
      </c>
      <c r="M74" s="27">
        <f t="shared" si="17"/>
        <v>12.37</v>
      </c>
      <c r="N74" s="11">
        <f t="shared" si="18"/>
        <v>0</v>
      </c>
      <c r="O74" s="12"/>
      <c r="P74" s="27">
        <f t="shared" si="19"/>
        <v>9.35</v>
      </c>
      <c r="Q74" s="27">
        <f t="shared" si="20"/>
        <v>3.02</v>
      </c>
      <c r="R74" s="27">
        <f t="shared" si="21"/>
        <v>12.37</v>
      </c>
      <c r="S74" s="11">
        <f t="shared" si="22"/>
        <v>0</v>
      </c>
      <c r="T74" s="188">
        <f t="shared" si="23"/>
        <v>0</v>
      </c>
    </row>
    <row r="75" spans="1:20" ht="17.100000000000001" customHeight="1" x14ac:dyDescent="0.25">
      <c r="A75" s="320">
        <v>508</v>
      </c>
      <c r="B75" s="320"/>
      <c r="D75" s="233">
        <v>12</v>
      </c>
      <c r="E75" s="233" t="s">
        <v>1234</v>
      </c>
      <c r="F75" s="311" t="s">
        <v>1177</v>
      </c>
      <c r="G75" s="12">
        <f>+SUMIFS('2025 Lighting BDs'!C:C,'2025 Lighting BDs'!B:B,'E-13d'!A75)</f>
        <v>0</v>
      </c>
      <c r="H75" s="12">
        <v>10</v>
      </c>
      <c r="I75" s="153">
        <f t="shared" si="16"/>
        <v>0</v>
      </c>
      <c r="J75" s="13"/>
      <c r="K75" s="19">
        <f>+SUMIFS('2024 Lighting Rates'!B:B,'2024 Lighting Rates'!A:A,A75)</f>
        <v>4.43</v>
      </c>
      <c r="L75" s="19">
        <f>+SUMIFS('2024 Lighting Rates'!C:C,'2024 Lighting Rates'!A:A,A75)</f>
        <v>2.48</v>
      </c>
      <c r="M75" s="27">
        <f t="shared" si="17"/>
        <v>6.91</v>
      </c>
      <c r="N75" s="11">
        <f t="shared" si="18"/>
        <v>0</v>
      </c>
      <c r="O75" s="12"/>
      <c r="P75" s="27">
        <f t="shared" si="19"/>
        <v>4.43</v>
      </c>
      <c r="Q75" s="27">
        <f t="shared" si="20"/>
        <v>2.48</v>
      </c>
      <c r="R75" s="27">
        <f t="shared" si="21"/>
        <v>6.91</v>
      </c>
      <c r="S75" s="11">
        <f t="shared" si="22"/>
        <v>0</v>
      </c>
      <c r="T75" s="188">
        <f t="shared" si="23"/>
        <v>0</v>
      </c>
    </row>
    <row r="76" spans="1:20" ht="17.100000000000001" customHeight="1" x14ac:dyDescent="0.25">
      <c r="A76" s="320">
        <v>530</v>
      </c>
      <c r="B76" s="320"/>
      <c r="D76" s="233">
        <v>13</v>
      </c>
      <c r="E76" s="233" t="s">
        <v>1235</v>
      </c>
      <c r="F76" s="311" t="s">
        <v>1181</v>
      </c>
      <c r="G76" s="12">
        <f>+SUMIFS('2025 Lighting BDs'!C:C,'2025 Lighting BDs'!B:B,'E-13d'!A76)</f>
        <v>0</v>
      </c>
      <c r="H76" s="12">
        <v>22</v>
      </c>
      <c r="I76" s="153">
        <f t="shared" si="16"/>
        <v>0</v>
      </c>
      <c r="J76" s="13"/>
      <c r="K76" s="19">
        <f>+SUMIFS('2024 Lighting Rates'!B:B,'2024 Lighting Rates'!A:A,A76)</f>
        <v>17.05</v>
      </c>
      <c r="L76" s="19">
        <f>+SUMIFS('2024 Lighting Rates'!C:C,'2024 Lighting Rates'!A:A,A76)</f>
        <v>1.89</v>
      </c>
      <c r="M76" s="27">
        <f t="shared" si="17"/>
        <v>18.940000000000001</v>
      </c>
      <c r="N76" s="11">
        <f t="shared" si="18"/>
        <v>0</v>
      </c>
      <c r="O76" s="12"/>
      <c r="P76" s="27">
        <f t="shared" si="19"/>
        <v>17.05</v>
      </c>
      <c r="Q76" s="27">
        <f t="shared" si="20"/>
        <v>1.89</v>
      </c>
      <c r="R76" s="27">
        <f t="shared" si="21"/>
        <v>18.940000000000001</v>
      </c>
      <c r="S76" s="11">
        <f t="shared" si="22"/>
        <v>0</v>
      </c>
      <c r="T76" s="188">
        <f t="shared" si="23"/>
        <v>0</v>
      </c>
    </row>
    <row r="77" spans="1:20" ht="17.100000000000001" customHeight="1" x14ac:dyDescent="0.25">
      <c r="A77" s="320">
        <v>870</v>
      </c>
      <c r="B77" s="320"/>
      <c r="D77" s="233">
        <v>14</v>
      </c>
      <c r="E77" s="233" t="s">
        <v>1236</v>
      </c>
      <c r="F77" s="311" t="s">
        <v>1179</v>
      </c>
      <c r="G77" s="12">
        <f>+SUMIFS('2025 Lighting BDs'!C:C,'2025 Lighting BDs'!B:B,'E-13d'!A77)</f>
        <v>0</v>
      </c>
      <c r="H77" s="12">
        <v>14</v>
      </c>
      <c r="I77" s="153">
        <f t="shared" si="16"/>
        <v>0</v>
      </c>
      <c r="J77" s="233"/>
      <c r="K77" s="19">
        <f>+SUMIFS('2024 Lighting Rates'!B:B,'2024 Lighting Rates'!A:A,A77)</f>
        <v>6.78</v>
      </c>
      <c r="L77" s="19">
        <f>+SUMIFS('2024 Lighting Rates'!C:C,'2024 Lighting Rates'!A:A,A77)</f>
        <v>2.11</v>
      </c>
      <c r="M77" s="27">
        <f t="shared" si="17"/>
        <v>8.89</v>
      </c>
      <c r="N77" s="11">
        <f t="shared" si="18"/>
        <v>0</v>
      </c>
      <c r="O77" s="233"/>
      <c r="P77" s="27">
        <f t="shared" si="19"/>
        <v>6.78</v>
      </c>
      <c r="Q77" s="27">
        <f t="shared" si="20"/>
        <v>2.11</v>
      </c>
      <c r="R77" s="27">
        <f t="shared" si="21"/>
        <v>8.89</v>
      </c>
      <c r="S77" s="11">
        <f t="shared" si="22"/>
        <v>0</v>
      </c>
      <c r="T77" s="188">
        <f t="shared" si="23"/>
        <v>0</v>
      </c>
    </row>
    <row r="78" spans="1:20" ht="17.100000000000001" customHeight="1" x14ac:dyDescent="0.25">
      <c r="A78" s="320">
        <v>532</v>
      </c>
      <c r="B78" s="320"/>
      <c r="D78" s="233">
        <v>15</v>
      </c>
      <c r="E78" s="233" t="s">
        <v>1237</v>
      </c>
      <c r="F78" s="311" t="s">
        <v>1181</v>
      </c>
      <c r="G78" s="12">
        <f>+SUMIFS('2025 Lighting BDs'!C:C,'2025 Lighting BDs'!B:B,'E-13d'!A78)</f>
        <v>0</v>
      </c>
      <c r="H78" s="12">
        <v>22</v>
      </c>
      <c r="I78" s="153">
        <f t="shared" si="16"/>
        <v>0</v>
      </c>
      <c r="J78" s="233"/>
      <c r="K78" s="19">
        <f>+SUMIFS('2024 Lighting Rates'!B:B,'2024 Lighting Rates'!A:A,A78)</f>
        <v>13.08</v>
      </c>
      <c r="L78" s="19">
        <f>+SUMIFS('2024 Lighting Rates'!C:C,'2024 Lighting Rates'!A:A,A78)</f>
        <v>1.89</v>
      </c>
      <c r="M78" s="27">
        <f t="shared" si="17"/>
        <v>14.97</v>
      </c>
      <c r="N78" s="11">
        <f t="shared" si="18"/>
        <v>0</v>
      </c>
      <c r="O78" s="233"/>
      <c r="P78" s="27">
        <f t="shared" si="19"/>
        <v>13.08</v>
      </c>
      <c r="Q78" s="27">
        <f t="shared" si="20"/>
        <v>1.89</v>
      </c>
      <c r="R78" s="27">
        <f t="shared" si="21"/>
        <v>14.97</v>
      </c>
      <c r="S78" s="11">
        <f t="shared" si="22"/>
        <v>0</v>
      </c>
      <c r="T78" s="188">
        <f t="shared" si="23"/>
        <v>0</v>
      </c>
    </row>
    <row r="79" spans="1:20" ht="17.100000000000001" customHeight="1" x14ac:dyDescent="0.25">
      <c r="A79" s="320">
        <v>533</v>
      </c>
      <c r="B79" s="320"/>
      <c r="D79" s="233">
        <v>16</v>
      </c>
      <c r="E79" s="233" t="s">
        <v>1238</v>
      </c>
      <c r="F79" s="311" t="s">
        <v>1181</v>
      </c>
      <c r="G79" s="12">
        <f>+SUMIFS('2025 Lighting BDs'!C:C,'2025 Lighting BDs'!B:B,'E-13d'!A79)</f>
        <v>0</v>
      </c>
      <c r="H79" s="12">
        <v>22</v>
      </c>
      <c r="I79" s="153">
        <f t="shared" si="16"/>
        <v>0</v>
      </c>
      <c r="J79" s="12"/>
      <c r="K79" s="19">
        <f>+SUMIFS('2024 Lighting Rates'!B:B,'2024 Lighting Rates'!A:A,A79)</f>
        <v>12.99</v>
      </c>
      <c r="L79" s="19">
        <f>+SUMIFS('2024 Lighting Rates'!C:C,'2024 Lighting Rates'!A:A,A79)</f>
        <v>1.89</v>
      </c>
      <c r="M79" s="27">
        <f>+K79+L79</f>
        <v>14.88</v>
      </c>
      <c r="N79" s="11">
        <f t="shared" si="18"/>
        <v>0</v>
      </c>
      <c r="O79" s="12"/>
      <c r="P79" s="27">
        <f t="shared" si="19"/>
        <v>12.99</v>
      </c>
      <c r="Q79" s="27">
        <f t="shared" si="20"/>
        <v>1.89</v>
      </c>
      <c r="R79" s="27">
        <f t="shared" si="21"/>
        <v>14.88</v>
      </c>
      <c r="S79" s="11">
        <f t="shared" si="22"/>
        <v>0</v>
      </c>
      <c r="T79" s="188">
        <f t="shared" si="23"/>
        <v>0</v>
      </c>
    </row>
    <row r="80" spans="1:20" ht="17.100000000000001" customHeight="1" x14ac:dyDescent="0.25">
      <c r="A80" s="320">
        <v>534</v>
      </c>
      <c r="B80" s="320"/>
      <c r="D80" s="233">
        <v>17</v>
      </c>
      <c r="E80" s="233" t="s">
        <v>1239</v>
      </c>
      <c r="F80" s="311" t="s">
        <v>1181</v>
      </c>
      <c r="G80" s="12">
        <f>+SUMIFS('2025 Lighting BDs'!C:C,'2025 Lighting BDs'!B:B,'E-13d'!A80)</f>
        <v>0</v>
      </c>
      <c r="H80" s="12">
        <v>22</v>
      </c>
      <c r="I80" s="153">
        <f t="shared" si="16"/>
        <v>0</v>
      </c>
      <c r="J80" s="12"/>
      <c r="K80" s="19">
        <f>+SUMIFS('2024 Lighting Rates'!B:B,'2024 Lighting Rates'!A:A,A80)</f>
        <v>11.53</v>
      </c>
      <c r="L80" s="19">
        <f>+SUMIFS('2024 Lighting Rates'!C:C,'2024 Lighting Rates'!A:A,A80)</f>
        <v>1.89</v>
      </c>
      <c r="M80" s="27">
        <f>+K80+L80</f>
        <v>13.42</v>
      </c>
      <c r="N80" s="11">
        <f t="shared" si="18"/>
        <v>0</v>
      </c>
      <c r="O80" s="12"/>
      <c r="P80" s="27">
        <f t="shared" si="19"/>
        <v>11.53</v>
      </c>
      <c r="Q80" s="27">
        <f t="shared" si="20"/>
        <v>1.89</v>
      </c>
      <c r="R80" s="27">
        <f t="shared" si="21"/>
        <v>13.42</v>
      </c>
      <c r="S80" s="11">
        <f t="shared" si="22"/>
        <v>0</v>
      </c>
      <c r="T80" s="188">
        <f t="shared" si="23"/>
        <v>0</v>
      </c>
    </row>
    <row r="81" spans="1:20" ht="17.100000000000001" customHeight="1" x14ac:dyDescent="0.25">
      <c r="A81" s="320">
        <v>536</v>
      </c>
      <c r="B81" s="320"/>
      <c r="D81" s="233">
        <v>18</v>
      </c>
      <c r="E81" s="233" t="s">
        <v>1240</v>
      </c>
      <c r="F81" s="311" t="s">
        <v>1185</v>
      </c>
      <c r="G81" s="12">
        <f>+SUMIFS('2025 Lighting BDs'!C:C,'2025 Lighting BDs'!B:B,'E-13d'!A81)</f>
        <v>0</v>
      </c>
      <c r="H81" s="12">
        <v>52</v>
      </c>
      <c r="I81" s="153">
        <f t="shared" si="16"/>
        <v>0</v>
      </c>
      <c r="J81" s="12"/>
      <c r="K81" s="19">
        <f>+SUMIFS('2024 Lighting Rates'!B:B,'2024 Lighting Rates'!A:A,A81)</f>
        <v>12.5</v>
      </c>
      <c r="L81" s="19">
        <f>+SUMIFS('2024 Lighting Rates'!C:C,'2024 Lighting Rates'!A:A,A81)</f>
        <v>3.18</v>
      </c>
      <c r="M81" s="27">
        <f>+K81+L81</f>
        <v>15.68</v>
      </c>
      <c r="N81" s="11">
        <f t="shared" si="18"/>
        <v>0</v>
      </c>
      <c r="O81" s="12"/>
      <c r="P81" s="27">
        <f t="shared" si="19"/>
        <v>12.5</v>
      </c>
      <c r="Q81" s="27">
        <f t="shared" si="20"/>
        <v>3.18</v>
      </c>
      <c r="R81" s="27">
        <f t="shared" si="21"/>
        <v>15.68</v>
      </c>
      <c r="S81" s="11">
        <f t="shared" si="22"/>
        <v>0</v>
      </c>
      <c r="T81" s="188">
        <f t="shared" si="23"/>
        <v>0</v>
      </c>
    </row>
    <row r="82" spans="1:20" ht="17.100000000000001" customHeight="1" x14ac:dyDescent="0.25">
      <c r="A82" s="320">
        <v>538</v>
      </c>
      <c r="B82" s="320"/>
      <c r="D82" s="233">
        <v>19</v>
      </c>
      <c r="E82" s="233" t="s">
        <v>1241</v>
      </c>
      <c r="F82" s="311" t="s">
        <v>1187</v>
      </c>
      <c r="G82" s="12">
        <f>+SUMIFS('2025 Lighting BDs'!C:C,'2025 Lighting BDs'!B:B,'E-13d'!A82)</f>
        <v>0</v>
      </c>
      <c r="H82" s="12">
        <v>81</v>
      </c>
      <c r="I82" s="153">
        <f t="shared" si="16"/>
        <v>0</v>
      </c>
      <c r="J82" s="12"/>
      <c r="K82" s="19">
        <f>+SUMIFS('2024 Lighting Rates'!B:B,'2024 Lighting Rates'!A:A,A82)</f>
        <v>10.6</v>
      </c>
      <c r="L82" s="19">
        <f>+SUMIFS('2024 Lighting Rates'!C:C,'2024 Lighting Rates'!A:A,A82)</f>
        <v>2.44</v>
      </c>
      <c r="M82" s="27">
        <f>+K82+L82</f>
        <v>13.04</v>
      </c>
      <c r="N82" s="11">
        <f t="shared" si="18"/>
        <v>0</v>
      </c>
      <c r="O82" s="12"/>
      <c r="P82" s="27">
        <f t="shared" si="19"/>
        <v>10.6</v>
      </c>
      <c r="Q82" s="27">
        <f t="shared" si="20"/>
        <v>2.44</v>
      </c>
      <c r="R82" s="27">
        <f t="shared" si="21"/>
        <v>13.04</v>
      </c>
      <c r="S82" s="11">
        <f t="shared" si="22"/>
        <v>0</v>
      </c>
      <c r="T82" s="188">
        <f t="shared" si="23"/>
        <v>0</v>
      </c>
    </row>
    <row r="83" spans="1:20" ht="17.100000000000001" customHeight="1" x14ac:dyDescent="0.25">
      <c r="A83" s="320"/>
      <c r="B83" s="320"/>
      <c r="D83" s="233">
        <v>20</v>
      </c>
      <c r="E83" s="310" t="s">
        <v>1199</v>
      </c>
      <c r="N83" s="11">
        <f>SUM(N66:N82)</f>
        <v>0</v>
      </c>
      <c r="O83" s="12"/>
      <c r="S83" s="11">
        <f>SUM(S66:S82)</f>
        <v>0</v>
      </c>
      <c r="T83" s="188">
        <f t="shared" si="23"/>
        <v>0</v>
      </c>
    </row>
    <row r="84" spans="1:20" ht="17.100000000000001" customHeight="1" x14ac:dyDescent="0.25">
      <c r="A84" s="320"/>
      <c r="B84" s="320"/>
      <c r="D84" s="233">
        <v>21</v>
      </c>
      <c r="E84" s="233"/>
      <c r="F84" s="233"/>
      <c r="G84" s="12"/>
      <c r="H84" s="12"/>
      <c r="I84" s="13"/>
      <c r="J84" s="13"/>
      <c r="K84" s="37"/>
      <c r="L84" s="37"/>
      <c r="M84" s="19"/>
      <c r="N84" s="30"/>
      <c r="O84" s="12"/>
      <c r="P84" s="19"/>
      <c r="Q84" s="19"/>
      <c r="R84" s="19"/>
      <c r="S84" s="30"/>
      <c r="T84" s="190"/>
    </row>
    <row r="85" spans="1:20" ht="17.100000000000001" customHeight="1" x14ac:dyDescent="0.25">
      <c r="A85" s="320"/>
      <c r="B85" s="320"/>
      <c r="D85" s="233">
        <v>22</v>
      </c>
      <c r="E85" s="597" t="s">
        <v>1242</v>
      </c>
      <c r="F85" s="597"/>
      <c r="G85" s="12"/>
      <c r="H85" s="12"/>
      <c r="I85" s="13"/>
      <c r="J85" s="13"/>
      <c r="K85" s="37"/>
      <c r="L85" s="37"/>
      <c r="M85" s="19"/>
      <c r="N85" s="30"/>
      <c r="O85" s="154"/>
      <c r="P85" s="155"/>
      <c r="Q85" s="19"/>
      <c r="R85" s="19"/>
      <c r="S85" s="30"/>
      <c r="T85" s="190"/>
    </row>
    <row r="86" spans="1:20" ht="17.100000000000001" customHeight="1" x14ac:dyDescent="0.25">
      <c r="A86" s="320">
        <v>724</v>
      </c>
      <c r="B86" s="320"/>
      <c r="D86" s="233">
        <v>23</v>
      </c>
      <c r="E86" s="329" t="s">
        <v>1243</v>
      </c>
      <c r="F86" s="311" t="s">
        <v>1202</v>
      </c>
      <c r="G86" s="12">
        <f>+SUMIFS('2025 Lighting BDs'!C:C,'2025 Lighting BDs'!B:B,'E-13d'!A86)</f>
        <v>0</v>
      </c>
      <c r="H86" s="12">
        <v>69</v>
      </c>
      <c r="I86" s="153">
        <f t="shared" ref="I86:I99" si="24">+H86*G86</f>
        <v>0</v>
      </c>
      <c r="J86" s="13"/>
      <c r="K86" s="19">
        <f>+SUMIFS('2024 Lighting Rates'!B:B,'2024 Lighting Rates'!A:A,A86)</f>
        <v>10.83</v>
      </c>
      <c r="L86" s="19">
        <f>+SUMIFS('2024 Lighting Rates'!C:C,'2024 Lighting Rates'!A:A,A86)</f>
        <v>4.99</v>
      </c>
      <c r="M86" s="27">
        <f t="shared" ref="M86:M99" si="25">+K86+L86</f>
        <v>15.82</v>
      </c>
      <c r="N86" s="11">
        <f t="shared" ref="N86:N99" si="26">+M86*G86</f>
        <v>0</v>
      </c>
      <c r="O86" s="12"/>
      <c r="P86" s="27">
        <f t="shared" ref="P86:P99" si="27">+K86</f>
        <v>10.83</v>
      </c>
      <c r="Q86" s="27">
        <f t="shared" ref="Q86:Q99" si="28">+L86</f>
        <v>4.99</v>
      </c>
      <c r="R86" s="27">
        <f t="shared" ref="R86:R99" si="29">+P86+Q86</f>
        <v>15.82</v>
      </c>
      <c r="S86" s="19">
        <f t="shared" ref="S86:S99" si="30">+R86*G86</f>
        <v>0</v>
      </c>
      <c r="T86" s="188">
        <f t="shared" ref="T86:T100" si="31">IF(S86=0,0,(S86-N86)/N86)</f>
        <v>0</v>
      </c>
    </row>
    <row r="87" spans="1:20" ht="17.100000000000001" customHeight="1" x14ac:dyDescent="0.25">
      <c r="A87" s="320">
        <v>522</v>
      </c>
      <c r="B87" s="320"/>
      <c r="D87" s="233">
        <v>24</v>
      </c>
      <c r="E87" s="329" t="s">
        <v>1244</v>
      </c>
      <c r="F87" s="311" t="s">
        <v>1187</v>
      </c>
      <c r="G87" s="12">
        <f>+SUMIFS('2025 Lighting BDs'!C:C,'2025 Lighting BDs'!B:B,'E-13d'!A87)</f>
        <v>0</v>
      </c>
      <c r="H87" s="12">
        <v>79</v>
      </c>
      <c r="I87" s="153">
        <f t="shared" si="24"/>
        <v>0</v>
      </c>
      <c r="J87" s="13"/>
      <c r="K87" s="19">
        <f>+SUMIFS('2024 Lighting Rates'!B:B,'2024 Lighting Rates'!A:A,A87)</f>
        <v>8.67</v>
      </c>
      <c r="L87" s="19">
        <f>+SUMIFS('2024 Lighting Rates'!C:C,'2024 Lighting Rates'!A:A,A87)</f>
        <v>4.01</v>
      </c>
      <c r="M87" s="27">
        <f t="shared" si="25"/>
        <v>12.68</v>
      </c>
      <c r="N87" s="11">
        <f t="shared" si="26"/>
        <v>0</v>
      </c>
      <c r="O87" s="12"/>
      <c r="P87" s="27">
        <f t="shared" si="27"/>
        <v>8.67</v>
      </c>
      <c r="Q87" s="27">
        <f t="shared" si="28"/>
        <v>4.01</v>
      </c>
      <c r="R87" s="27">
        <f t="shared" si="29"/>
        <v>12.68</v>
      </c>
      <c r="S87" s="19">
        <f t="shared" si="30"/>
        <v>0</v>
      </c>
      <c r="T87" s="188">
        <f t="shared" si="31"/>
        <v>0</v>
      </c>
    </row>
    <row r="88" spans="1:20" ht="17.100000000000001" customHeight="1" x14ac:dyDescent="0.25">
      <c r="A88" s="320">
        <v>725</v>
      </c>
      <c r="B88" s="320"/>
      <c r="D88" s="233">
        <v>25</v>
      </c>
      <c r="E88" s="329" t="s">
        <v>1245</v>
      </c>
      <c r="F88" s="311" t="s">
        <v>1202</v>
      </c>
      <c r="G88" s="12">
        <f>+SUMIFS('2025 Lighting BDs'!C:C,'2025 Lighting BDs'!B:B,'E-13d'!A88)</f>
        <v>0</v>
      </c>
      <c r="H88" s="12">
        <v>69</v>
      </c>
      <c r="I88" s="153">
        <f t="shared" si="24"/>
        <v>0</v>
      </c>
      <c r="J88" s="13"/>
      <c r="K88" s="19">
        <f>+SUMIFS('2024 Lighting Rates'!B:B,'2024 Lighting Rates'!A:A,A88)</f>
        <v>12.3</v>
      </c>
      <c r="L88" s="19">
        <f>+SUMIFS('2024 Lighting Rates'!C:C,'2024 Lighting Rates'!A:A,A88)</f>
        <v>5.04</v>
      </c>
      <c r="M88" s="27">
        <f t="shared" si="25"/>
        <v>17.34</v>
      </c>
      <c r="N88" s="11">
        <f t="shared" si="26"/>
        <v>0</v>
      </c>
      <c r="O88" s="12"/>
      <c r="P88" s="27">
        <f t="shared" si="27"/>
        <v>12.3</v>
      </c>
      <c r="Q88" s="27">
        <f t="shared" si="28"/>
        <v>5.04</v>
      </c>
      <c r="R88" s="27">
        <f t="shared" si="29"/>
        <v>17.34</v>
      </c>
      <c r="S88" s="19">
        <f t="shared" si="30"/>
        <v>0</v>
      </c>
      <c r="T88" s="188">
        <f t="shared" si="31"/>
        <v>0</v>
      </c>
    </row>
    <row r="89" spans="1:20" ht="17.100000000000001" customHeight="1" x14ac:dyDescent="0.25">
      <c r="A89" s="320">
        <v>541</v>
      </c>
      <c r="B89" s="320"/>
      <c r="D89" s="233">
        <v>26</v>
      </c>
      <c r="E89" s="329" t="s">
        <v>1246</v>
      </c>
      <c r="F89" s="311" t="s">
        <v>1187</v>
      </c>
      <c r="G89" s="12">
        <f>+SUMIFS('2025 Lighting BDs'!C:C,'2025 Lighting BDs'!B:B,'E-13d'!A89)</f>
        <v>0</v>
      </c>
      <c r="H89" s="12">
        <v>79</v>
      </c>
      <c r="I89" s="153">
        <f t="shared" si="24"/>
        <v>0</v>
      </c>
      <c r="J89" s="233"/>
      <c r="K89" s="19">
        <f>+SUMIFS('2024 Lighting Rates'!B:B,'2024 Lighting Rates'!A:A,A89)</f>
        <v>12.04</v>
      </c>
      <c r="L89" s="19">
        <f>+SUMIFS('2024 Lighting Rates'!C:C,'2024 Lighting Rates'!A:A,A89)</f>
        <v>4.0199999999999996</v>
      </c>
      <c r="M89" s="27">
        <f t="shared" si="25"/>
        <v>16.059999999999999</v>
      </c>
      <c r="N89" s="11">
        <f t="shared" si="26"/>
        <v>0</v>
      </c>
      <c r="O89" s="233"/>
      <c r="P89" s="27">
        <f t="shared" si="27"/>
        <v>12.04</v>
      </c>
      <c r="Q89" s="27">
        <f t="shared" si="28"/>
        <v>4.0199999999999996</v>
      </c>
      <c r="R89" s="27">
        <f t="shared" si="29"/>
        <v>16.059999999999999</v>
      </c>
      <c r="S89" s="19">
        <f t="shared" si="30"/>
        <v>0</v>
      </c>
      <c r="T89" s="188">
        <f t="shared" si="31"/>
        <v>0</v>
      </c>
    </row>
    <row r="90" spans="1:20" ht="17.100000000000001" customHeight="1" x14ac:dyDescent="0.25">
      <c r="A90" s="320">
        <v>578</v>
      </c>
      <c r="B90" s="320"/>
      <c r="D90" s="233">
        <v>27</v>
      </c>
      <c r="E90" s="329" t="s">
        <v>1247</v>
      </c>
      <c r="F90" s="311" t="s">
        <v>1207</v>
      </c>
      <c r="G90" s="12">
        <f>+SUMIFS('2025 Lighting BDs'!C:C,'2025 Lighting BDs'!B:B,'E-13d'!A90)</f>
        <v>0</v>
      </c>
      <c r="H90" s="12">
        <v>191</v>
      </c>
      <c r="I90" s="12">
        <f t="shared" si="24"/>
        <v>0</v>
      </c>
      <c r="J90" s="12"/>
      <c r="K90" s="19">
        <f>+SUMIFS('2024 Lighting Rates'!B:B,'2024 Lighting Rates'!A:A,A90)</f>
        <v>15.11</v>
      </c>
      <c r="L90" s="19">
        <f>+SUMIFS('2024 Lighting Rates'!C:C,'2024 Lighting Rates'!A:A,A90)</f>
        <v>8.17</v>
      </c>
      <c r="M90" s="27">
        <f t="shared" si="25"/>
        <v>23.28</v>
      </c>
      <c r="N90" s="11">
        <f t="shared" si="26"/>
        <v>0</v>
      </c>
      <c r="O90" s="12"/>
      <c r="P90" s="27">
        <f t="shared" si="27"/>
        <v>15.11</v>
      </c>
      <c r="Q90" s="27">
        <f t="shared" si="28"/>
        <v>8.17</v>
      </c>
      <c r="R90" s="27">
        <f t="shared" si="29"/>
        <v>23.28</v>
      </c>
      <c r="S90" s="162">
        <f t="shared" si="30"/>
        <v>0</v>
      </c>
      <c r="T90" s="188">
        <f t="shared" si="31"/>
        <v>0</v>
      </c>
    </row>
    <row r="91" spans="1:20" ht="17.100000000000001" customHeight="1" x14ac:dyDescent="0.25">
      <c r="A91" s="320">
        <v>721</v>
      </c>
      <c r="B91" s="320"/>
      <c r="D91" s="233">
        <v>28</v>
      </c>
      <c r="E91" s="329" t="s">
        <v>1248</v>
      </c>
      <c r="F91" s="311" t="s">
        <v>1183</v>
      </c>
      <c r="G91" s="12">
        <f>+SUMIFS('2025 Lighting BDs'!C:C,'2025 Lighting BDs'!B:B,'E-13d'!A91)</f>
        <v>0</v>
      </c>
      <c r="H91" s="12">
        <v>34</v>
      </c>
      <c r="I91" s="153">
        <f t="shared" si="24"/>
        <v>0</v>
      </c>
      <c r="J91" s="12"/>
      <c r="K91" s="19">
        <f>+SUMIFS('2024 Lighting Rates'!B:B,'2024 Lighting Rates'!A:A,A91)</f>
        <v>15.25</v>
      </c>
      <c r="L91" s="19">
        <f>+SUMIFS('2024 Lighting Rates'!C:C,'2024 Lighting Rates'!A:A,A91)</f>
        <v>3.92</v>
      </c>
      <c r="M91" s="27">
        <f t="shared" si="25"/>
        <v>19.170000000000002</v>
      </c>
      <c r="N91" s="11">
        <f t="shared" si="26"/>
        <v>0</v>
      </c>
      <c r="O91" s="12"/>
      <c r="P91" s="27">
        <f t="shared" si="27"/>
        <v>15.25</v>
      </c>
      <c r="Q91" s="27">
        <f t="shared" si="28"/>
        <v>3.92</v>
      </c>
      <c r="R91" s="27">
        <f t="shared" si="29"/>
        <v>19.170000000000002</v>
      </c>
      <c r="S91" s="162">
        <f t="shared" si="30"/>
        <v>0</v>
      </c>
      <c r="T91" s="188">
        <f t="shared" si="31"/>
        <v>0</v>
      </c>
    </row>
    <row r="92" spans="1:20" ht="17.100000000000001" customHeight="1" x14ac:dyDescent="0.25">
      <c r="A92" s="320">
        <v>548</v>
      </c>
      <c r="B92" s="320"/>
      <c r="D92" s="233">
        <v>29</v>
      </c>
      <c r="E92" s="329" t="s">
        <v>1249</v>
      </c>
      <c r="F92" s="311" t="s">
        <v>1210</v>
      </c>
      <c r="G92" s="12">
        <f>+SUMIFS('2025 Lighting BDs'!C:C,'2025 Lighting BDs'!B:B,'E-13d'!A92)</f>
        <v>0</v>
      </c>
      <c r="H92" s="12">
        <v>37</v>
      </c>
      <c r="I92" s="12">
        <f t="shared" si="24"/>
        <v>0</v>
      </c>
      <c r="J92" s="12"/>
      <c r="K92" s="19">
        <f>+SUMIFS('2024 Lighting Rates'!B:B,'2024 Lighting Rates'!A:A,A92)</f>
        <v>15.68</v>
      </c>
      <c r="L92" s="19">
        <f>+SUMIFS('2024 Lighting Rates'!C:C,'2024 Lighting Rates'!A:A,A92)</f>
        <v>3.73</v>
      </c>
      <c r="M92" s="19">
        <f t="shared" si="25"/>
        <v>19.41</v>
      </c>
      <c r="N92" s="11">
        <f t="shared" si="26"/>
        <v>0</v>
      </c>
      <c r="O92" s="12"/>
      <c r="P92" s="27">
        <f t="shared" si="27"/>
        <v>15.68</v>
      </c>
      <c r="Q92" s="27">
        <f t="shared" si="28"/>
        <v>3.73</v>
      </c>
      <c r="R92" s="27">
        <f t="shared" si="29"/>
        <v>19.41</v>
      </c>
      <c r="S92" s="162">
        <f t="shared" si="30"/>
        <v>0</v>
      </c>
      <c r="T92" s="188">
        <f t="shared" si="31"/>
        <v>0</v>
      </c>
    </row>
    <row r="93" spans="1:20" ht="17.100000000000001" customHeight="1" x14ac:dyDescent="0.25">
      <c r="A93" s="320">
        <v>720</v>
      </c>
      <c r="B93" s="320"/>
      <c r="D93" s="233">
        <v>30</v>
      </c>
      <c r="E93" s="329" t="s">
        <v>1250</v>
      </c>
      <c r="F93" s="311" t="s">
        <v>1183</v>
      </c>
      <c r="G93" s="12">
        <f>+SUMIFS('2025 Lighting BDs'!C:C,'2025 Lighting BDs'!B:B,'E-13d'!A93)</f>
        <v>0</v>
      </c>
      <c r="H93" s="12">
        <v>34</v>
      </c>
      <c r="I93" s="153">
        <f t="shared" si="24"/>
        <v>0</v>
      </c>
      <c r="J93" s="12"/>
      <c r="K93" s="19">
        <f>+SUMIFS('2024 Lighting Rates'!B:B,'2024 Lighting Rates'!A:A,A93)</f>
        <v>13.42</v>
      </c>
      <c r="L93" s="19">
        <f>+SUMIFS('2024 Lighting Rates'!C:C,'2024 Lighting Rates'!A:A,A93)</f>
        <v>3.92</v>
      </c>
      <c r="M93" s="27">
        <f t="shared" si="25"/>
        <v>17.34</v>
      </c>
      <c r="N93" s="11">
        <f t="shared" si="26"/>
        <v>0</v>
      </c>
      <c r="O93" s="12"/>
      <c r="P93" s="27">
        <f t="shared" si="27"/>
        <v>13.42</v>
      </c>
      <c r="Q93" s="27">
        <f t="shared" si="28"/>
        <v>3.92</v>
      </c>
      <c r="R93" s="27">
        <f t="shared" si="29"/>
        <v>17.34</v>
      </c>
      <c r="S93" s="19">
        <f t="shared" si="30"/>
        <v>0</v>
      </c>
      <c r="T93" s="188">
        <f t="shared" si="31"/>
        <v>0</v>
      </c>
    </row>
    <row r="94" spans="1:20" ht="17.100000000000001" customHeight="1" x14ac:dyDescent="0.25">
      <c r="A94" s="320">
        <v>568</v>
      </c>
      <c r="B94" s="320"/>
      <c r="D94" s="233">
        <v>31</v>
      </c>
      <c r="E94" s="329" t="s">
        <v>1251</v>
      </c>
      <c r="F94" s="311" t="s">
        <v>1210</v>
      </c>
      <c r="G94" s="12">
        <f>+SUMIFS('2025 Lighting BDs'!C:C,'2025 Lighting BDs'!B:B,'E-13d'!A94)</f>
        <v>0</v>
      </c>
      <c r="H94" s="12">
        <v>37</v>
      </c>
      <c r="I94" s="153">
        <f t="shared" si="24"/>
        <v>0</v>
      </c>
      <c r="J94" s="12"/>
      <c r="K94" s="19">
        <f>+SUMIFS('2024 Lighting Rates'!B:B,'2024 Lighting Rates'!A:A,A94)</f>
        <v>13.49</v>
      </c>
      <c r="L94" s="19">
        <f>+SUMIFS('2024 Lighting Rates'!C:C,'2024 Lighting Rates'!A:A,A94)</f>
        <v>3.74</v>
      </c>
      <c r="M94" s="27">
        <f t="shared" si="25"/>
        <v>17.23</v>
      </c>
      <c r="N94" s="11">
        <f t="shared" si="26"/>
        <v>0</v>
      </c>
      <c r="O94" s="12"/>
      <c r="P94" s="27">
        <f t="shared" si="27"/>
        <v>13.49</v>
      </c>
      <c r="Q94" s="27">
        <f t="shared" si="28"/>
        <v>3.74</v>
      </c>
      <c r="R94" s="27">
        <f t="shared" si="29"/>
        <v>17.23</v>
      </c>
      <c r="S94" s="19">
        <f t="shared" si="30"/>
        <v>0</v>
      </c>
      <c r="T94" s="188">
        <f t="shared" si="31"/>
        <v>0</v>
      </c>
    </row>
    <row r="95" spans="1:20" ht="17.100000000000001" customHeight="1" x14ac:dyDescent="0.25">
      <c r="A95" s="320">
        <v>722</v>
      </c>
      <c r="B95" s="320"/>
      <c r="D95" s="233">
        <v>32</v>
      </c>
      <c r="E95" s="330" t="s">
        <v>1252</v>
      </c>
      <c r="F95" s="311" t="s">
        <v>1183</v>
      </c>
      <c r="G95" s="12">
        <f>+SUMIFS('2025 Lighting BDs'!C:C,'2025 Lighting BDs'!B:B,'E-13d'!A95)</f>
        <v>0</v>
      </c>
      <c r="H95" s="12">
        <v>34</v>
      </c>
      <c r="I95" s="153">
        <f t="shared" si="24"/>
        <v>0</v>
      </c>
      <c r="J95" s="12"/>
      <c r="K95" s="19">
        <f>+SUMIFS('2024 Lighting Rates'!B:B,'2024 Lighting Rates'!A:A,A95)</f>
        <v>10.38</v>
      </c>
      <c r="L95" s="19">
        <f>+SUMIFS('2024 Lighting Rates'!C:C,'2024 Lighting Rates'!A:A,A95)</f>
        <v>3.92</v>
      </c>
      <c r="M95" s="27">
        <f t="shared" si="25"/>
        <v>14.3</v>
      </c>
      <c r="N95" s="11">
        <f t="shared" si="26"/>
        <v>0</v>
      </c>
      <c r="O95" s="12"/>
      <c r="P95" s="27">
        <f t="shared" si="27"/>
        <v>10.38</v>
      </c>
      <c r="Q95" s="27">
        <f t="shared" si="28"/>
        <v>3.92</v>
      </c>
      <c r="R95" s="27">
        <f t="shared" si="29"/>
        <v>14.3</v>
      </c>
      <c r="S95" s="19">
        <f t="shared" si="30"/>
        <v>0</v>
      </c>
      <c r="T95" s="188">
        <f t="shared" si="31"/>
        <v>0</v>
      </c>
    </row>
    <row r="96" spans="1:20" ht="17.100000000000001" customHeight="1" x14ac:dyDescent="0.25">
      <c r="A96" s="320">
        <v>549</v>
      </c>
      <c r="B96" s="320"/>
      <c r="D96" s="233">
        <v>33</v>
      </c>
      <c r="E96" s="329" t="s">
        <v>1253</v>
      </c>
      <c r="F96" s="311" t="s">
        <v>1210</v>
      </c>
      <c r="G96" s="12">
        <f>+SUMIFS('2025 Lighting BDs'!C:C,'2025 Lighting BDs'!B:B,'E-13d'!A96)</f>
        <v>0</v>
      </c>
      <c r="H96" s="12">
        <v>37</v>
      </c>
      <c r="I96" s="153">
        <f t="shared" si="24"/>
        <v>0</v>
      </c>
      <c r="J96" s="12"/>
      <c r="K96" s="19">
        <f>+SUMIFS('2024 Lighting Rates'!B:B,'2024 Lighting Rates'!A:A,A96)</f>
        <v>11.44</v>
      </c>
      <c r="L96" s="19">
        <f>+SUMIFS('2024 Lighting Rates'!C:C,'2024 Lighting Rates'!A:A,A96)</f>
        <v>3.7</v>
      </c>
      <c r="M96" s="27">
        <f t="shared" si="25"/>
        <v>15.14</v>
      </c>
      <c r="N96" s="11">
        <f t="shared" si="26"/>
        <v>0</v>
      </c>
      <c r="O96" s="12"/>
      <c r="P96" s="27">
        <f t="shared" si="27"/>
        <v>11.44</v>
      </c>
      <c r="Q96" s="27">
        <f t="shared" si="28"/>
        <v>3.7</v>
      </c>
      <c r="R96" s="27">
        <f t="shared" si="29"/>
        <v>15.14</v>
      </c>
      <c r="S96" s="19">
        <f t="shared" si="30"/>
        <v>0</v>
      </c>
      <c r="T96" s="188">
        <f t="shared" si="31"/>
        <v>0</v>
      </c>
    </row>
    <row r="97" spans="1:20" ht="17.100000000000001" customHeight="1" x14ac:dyDescent="0.25">
      <c r="A97" s="320">
        <v>723</v>
      </c>
      <c r="B97" s="320"/>
      <c r="D97" s="233">
        <v>34</v>
      </c>
      <c r="E97" s="329" t="s">
        <v>1254</v>
      </c>
      <c r="F97" s="311" t="s">
        <v>1202</v>
      </c>
      <c r="G97" s="12">
        <f>+SUMIFS('2025 Lighting BDs'!C:C,'2025 Lighting BDs'!B:B,'E-13d'!A97)</f>
        <v>0</v>
      </c>
      <c r="H97" s="12">
        <v>69</v>
      </c>
      <c r="I97" s="153">
        <f t="shared" si="24"/>
        <v>0</v>
      </c>
      <c r="J97" s="12"/>
      <c r="K97" s="19">
        <f>+SUMIFS('2024 Lighting Rates'!B:B,'2024 Lighting Rates'!A:A,A97)</f>
        <v>13.74</v>
      </c>
      <c r="L97" s="19">
        <f>+SUMIFS('2024 Lighting Rates'!C:C,'2024 Lighting Rates'!A:A,A97)</f>
        <v>4.93</v>
      </c>
      <c r="M97" s="27">
        <f t="shared" si="25"/>
        <v>18.670000000000002</v>
      </c>
      <c r="N97" s="11">
        <f t="shared" si="26"/>
        <v>0</v>
      </c>
      <c r="O97" s="12"/>
      <c r="P97" s="27">
        <f t="shared" si="27"/>
        <v>13.74</v>
      </c>
      <c r="Q97" s="27">
        <f t="shared" si="28"/>
        <v>4.93</v>
      </c>
      <c r="R97" s="27">
        <f t="shared" si="29"/>
        <v>18.670000000000002</v>
      </c>
      <c r="S97" s="19">
        <f t="shared" si="30"/>
        <v>0</v>
      </c>
      <c r="T97" s="188">
        <f t="shared" si="31"/>
        <v>0</v>
      </c>
    </row>
    <row r="98" spans="1:20" ht="17.100000000000001" customHeight="1" x14ac:dyDescent="0.25">
      <c r="A98" s="320">
        <v>540</v>
      </c>
      <c r="B98" s="320"/>
      <c r="D98" s="233">
        <v>35</v>
      </c>
      <c r="E98" s="329" t="s">
        <v>1255</v>
      </c>
      <c r="F98" s="311" t="s">
        <v>1187</v>
      </c>
      <c r="G98" s="12">
        <f>+SUMIFS('2025 Lighting BDs'!C:C,'2025 Lighting BDs'!B:B,'E-13d'!A98)</f>
        <v>0</v>
      </c>
      <c r="H98" s="12">
        <v>79</v>
      </c>
      <c r="I98" s="153">
        <f t="shared" si="24"/>
        <v>0</v>
      </c>
      <c r="J98" s="12"/>
      <c r="K98" s="19">
        <f>+SUMIFS('2024 Lighting Rates'!B:B,'2024 Lighting Rates'!A:A,A98)</f>
        <v>14.41</v>
      </c>
      <c r="L98" s="19">
        <f>+SUMIFS('2024 Lighting Rates'!C:C,'2024 Lighting Rates'!A:A,A98)</f>
        <v>3.97</v>
      </c>
      <c r="M98" s="27">
        <f t="shared" si="25"/>
        <v>18.38</v>
      </c>
      <c r="N98" s="11">
        <f t="shared" si="26"/>
        <v>0</v>
      </c>
      <c r="O98" s="12"/>
      <c r="P98" s="27">
        <f t="shared" si="27"/>
        <v>14.41</v>
      </c>
      <c r="Q98" s="27">
        <f t="shared" si="28"/>
        <v>3.97</v>
      </c>
      <c r="R98" s="27">
        <f t="shared" si="29"/>
        <v>18.38</v>
      </c>
      <c r="S98" s="19">
        <f t="shared" si="30"/>
        <v>0</v>
      </c>
      <c r="T98" s="188">
        <f t="shared" si="31"/>
        <v>0</v>
      </c>
    </row>
    <row r="99" spans="1:20" ht="17.100000000000001" customHeight="1" x14ac:dyDescent="0.25">
      <c r="A99" s="320">
        <v>577</v>
      </c>
      <c r="B99" s="320"/>
      <c r="D99" s="233">
        <v>36</v>
      </c>
      <c r="E99" s="329" t="s">
        <v>1256</v>
      </c>
      <c r="F99" s="311" t="s">
        <v>1207</v>
      </c>
      <c r="G99" s="12">
        <f>+SUMIFS('2025 Lighting BDs'!C:C,'2025 Lighting BDs'!B:B,'E-13d'!A99)</f>
        <v>0</v>
      </c>
      <c r="H99" s="12">
        <v>191</v>
      </c>
      <c r="I99" s="153">
        <f t="shared" si="24"/>
        <v>0</v>
      </c>
      <c r="J99" s="12"/>
      <c r="K99" s="19">
        <f>+SUMIFS('2024 Lighting Rates'!B:B,'2024 Lighting Rates'!A:A,A99)</f>
        <v>23.74</v>
      </c>
      <c r="L99" s="19">
        <f>+SUMIFS('2024 Lighting Rates'!C:C,'2024 Lighting Rates'!A:A,A99)</f>
        <v>8.17</v>
      </c>
      <c r="M99" s="27">
        <f t="shared" si="25"/>
        <v>31.909999999999997</v>
      </c>
      <c r="N99" s="11">
        <f t="shared" si="26"/>
        <v>0</v>
      </c>
      <c r="O99" s="12"/>
      <c r="P99" s="27">
        <f t="shared" si="27"/>
        <v>23.74</v>
      </c>
      <c r="Q99" s="27">
        <f t="shared" si="28"/>
        <v>8.17</v>
      </c>
      <c r="R99" s="27">
        <f t="shared" si="29"/>
        <v>31.909999999999997</v>
      </c>
      <c r="S99" s="19">
        <f t="shared" si="30"/>
        <v>0</v>
      </c>
      <c r="T99" s="188">
        <f t="shared" si="31"/>
        <v>0</v>
      </c>
    </row>
    <row r="100" spans="1:20" ht="17.100000000000001" customHeight="1" x14ac:dyDescent="0.25">
      <c r="A100" s="320"/>
      <c r="B100" s="320"/>
      <c r="D100" s="233">
        <v>37</v>
      </c>
      <c r="E100" s="310" t="s">
        <v>1199</v>
      </c>
      <c r="F100" s="233"/>
      <c r="G100" s="233"/>
      <c r="H100" s="233"/>
      <c r="I100" s="12"/>
      <c r="J100" s="12"/>
      <c r="K100" s="12"/>
      <c r="L100" s="12"/>
      <c r="M100" s="12"/>
      <c r="N100" s="12">
        <f>SUM(N86:N99)</f>
        <v>0</v>
      </c>
      <c r="O100" s="331"/>
      <c r="P100" s="12"/>
      <c r="Q100" s="12"/>
      <c r="R100" s="12"/>
      <c r="S100" s="12">
        <f>SUM(S86:S99)</f>
        <v>0</v>
      </c>
      <c r="T100" s="188">
        <f t="shared" si="31"/>
        <v>0</v>
      </c>
    </row>
    <row r="101" spans="1:20" ht="17.100000000000001" customHeight="1" x14ac:dyDescent="0.25">
      <c r="A101" s="320"/>
      <c r="B101" s="320"/>
      <c r="D101" s="233">
        <v>38</v>
      </c>
      <c r="E101" s="310"/>
      <c r="F101" s="233"/>
      <c r="G101" s="233"/>
      <c r="H101" s="233"/>
      <c r="I101" s="12"/>
      <c r="J101" s="12"/>
      <c r="K101" s="12"/>
      <c r="L101" s="12"/>
      <c r="M101" s="12"/>
      <c r="N101" s="12"/>
      <c r="O101" s="331"/>
      <c r="P101" s="12"/>
      <c r="Q101" s="12"/>
      <c r="R101" s="12"/>
      <c r="S101" s="12"/>
      <c r="T101" s="12"/>
    </row>
    <row r="102" spans="1:20" ht="17.100000000000001" customHeight="1" x14ac:dyDescent="0.25">
      <c r="A102" s="320"/>
      <c r="B102" s="320"/>
      <c r="D102" s="233">
        <v>39</v>
      </c>
      <c r="E102" s="310"/>
      <c r="F102" s="233"/>
      <c r="G102" s="233"/>
      <c r="H102" s="233"/>
      <c r="I102" s="12"/>
      <c r="J102" s="12"/>
      <c r="K102" s="12"/>
      <c r="L102" s="12"/>
      <c r="M102" s="12"/>
      <c r="N102" s="12"/>
      <c r="O102" s="331"/>
      <c r="P102" s="12"/>
      <c r="Q102" s="12"/>
      <c r="R102" s="12"/>
      <c r="S102" s="12"/>
      <c r="T102" s="12"/>
    </row>
    <row r="103" spans="1:20" ht="17.100000000000001" customHeight="1" thickBot="1" x14ac:dyDescent="0.3">
      <c r="A103" s="320"/>
      <c r="B103" s="320"/>
      <c r="D103" s="306">
        <v>40</v>
      </c>
      <c r="E103" s="332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24">
        <f>O103-O100</f>
        <v>0</v>
      </c>
      <c r="Q103" s="306"/>
      <c r="R103" s="306"/>
      <c r="S103" s="306"/>
      <c r="T103" s="326" t="s">
        <v>1257</v>
      </c>
    </row>
    <row r="104" spans="1:20" ht="17.100000000000001" customHeight="1" x14ac:dyDescent="0.25">
      <c r="A104" s="320"/>
      <c r="B104" s="320"/>
      <c r="D104" s="233" t="s">
        <v>1219</v>
      </c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 t="s">
        <v>1220</v>
      </c>
      <c r="S104" s="233"/>
      <c r="T104" s="233"/>
    </row>
    <row r="105" spans="1:20" ht="17.100000000000001" customHeight="1" thickBot="1" x14ac:dyDescent="0.3">
      <c r="A105" s="320"/>
      <c r="B105" s="320"/>
      <c r="D105" s="306" t="str">
        <f>+$D$1</f>
        <v>SCHEDULE E-13d</v>
      </c>
      <c r="E105" s="306"/>
      <c r="F105" s="306"/>
      <c r="G105" s="306"/>
      <c r="H105" s="306"/>
      <c r="I105" s="306" t="str">
        <f>+$I$1</f>
        <v>REVENUE BY RATE SCHEDULE - LIGHTING SCHEDULE CALCULATION</v>
      </c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 t="s">
        <v>1258</v>
      </c>
    </row>
    <row r="106" spans="1:20" ht="17.100000000000001" customHeight="1" x14ac:dyDescent="0.25">
      <c r="A106" s="320"/>
      <c r="B106" s="320"/>
      <c r="D106" s="233" t="s">
        <v>307</v>
      </c>
      <c r="E106" s="233"/>
      <c r="F106" s="233"/>
      <c r="I106" s="311" t="s">
        <v>1222</v>
      </c>
      <c r="J106" s="233" t="s">
        <v>1491</v>
      </c>
      <c r="K106" s="233"/>
      <c r="L106" s="309"/>
      <c r="M106" s="309"/>
      <c r="N106" s="233"/>
      <c r="O106" s="233"/>
      <c r="P106" s="309"/>
      <c r="Q106" s="309" t="s">
        <v>309</v>
      </c>
      <c r="R106" s="233"/>
      <c r="S106" s="233"/>
      <c r="T106" s="310"/>
    </row>
    <row r="107" spans="1:20" ht="17.100000000000001" customHeight="1" x14ac:dyDescent="0.25">
      <c r="A107" s="320"/>
      <c r="B107" s="320"/>
      <c r="D107" s="233"/>
      <c r="E107" s="233"/>
      <c r="F107" s="233"/>
      <c r="G107" s="233"/>
      <c r="H107" s="233" t="str">
        <f>IF(+$H$3="","",$H$3)</f>
        <v/>
      </c>
      <c r="I107" s="233"/>
      <c r="J107" s="233" t="s">
        <v>1492</v>
      </c>
      <c r="K107" s="233"/>
      <c r="L107" s="311"/>
      <c r="M107" s="310"/>
      <c r="N107" s="233"/>
      <c r="O107" s="233"/>
      <c r="P107" s="233"/>
      <c r="Q107" s="312"/>
      <c r="R107" s="311" t="s">
        <v>919</v>
      </c>
      <c r="S107" s="310" t="s">
        <v>920</v>
      </c>
      <c r="T107" s="311"/>
    </row>
    <row r="108" spans="1:20" ht="17.100000000000001" customHeight="1" x14ac:dyDescent="0.25">
      <c r="A108" s="320"/>
      <c r="B108" s="320"/>
      <c r="D108" s="233" t="s">
        <v>310</v>
      </c>
      <c r="E108" s="233"/>
      <c r="F108" s="233"/>
      <c r="G108" s="233"/>
      <c r="H108" s="233" t="str">
        <f>IF(+$H$4="","",$H$4)</f>
        <v/>
      </c>
      <c r="I108" s="233"/>
      <c r="J108" s="233" t="s">
        <v>1493</v>
      </c>
      <c r="K108" s="233"/>
      <c r="L108" s="311"/>
      <c r="M108" s="310"/>
      <c r="N108" s="311"/>
      <c r="O108" s="311"/>
      <c r="P108" s="233"/>
      <c r="Q108" s="311"/>
      <c r="R108" s="311"/>
      <c r="S108" s="310" t="s">
        <v>937</v>
      </c>
      <c r="T108" s="311"/>
    </row>
    <row r="109" spans="1:20" ht="17.100000000000001" customHeight="1" x14ac:dyDescent="0.25">
      <c r="A109" s="320"/>
      <c r="B109" s="320"/>
      <c r="D109" s="233"/>
      <c r="E109" s="233"/>
      <c r="F109" s="233"/>
      <c r="G109" s="233"/>
      <c r="H109" s="233" t="str">
        <f>IF(+$H$5="","",$H$5)</f>
        <v/>
      </c>
      <c r="I109" s="233"/>
      <c r="J109" s="233" t="s">
        <v>1494</v>
      </c>
      <c r="K109" s="233"/>
      <c r="L109" s="311"/>
      <c r="M109" s="310"/>
      <c r="N109" s="311"/>
      <c r="O109" s="311"/>
      <c r="P109" s="233"/>
      <c r="Q109" s="311"/>
      <c r="R109" s="311"/>
      <c r="S109" s="310" t="s">
        <v>938</v>
      </c>
      <c r="T109" s="311"/>
    </row>
    <row r="110" spans="1:20" ht="17.100000000000001" customHeight="1" thickBot="1" x14ac:dyDescent="0.3">
      <c r="A110" s="320"/>
      <c r="B110" s="320"/>
      <c r="D110" s="306" t="str">
        <f>+$D$6</f>
        <v>DOCKET No. 20240026-EI</v>
      </c>
      <c r="E110" s="306"/>
      <c r="F110" s="306"/>
      <c r="G110" s="306"/>
      <c r="H110" s="306" t="str">
        <f>IF(+$H$8="","",$H$8)</f>
        <v/>
      </c>
      <c r="I110" s="306"/>
      <c r="J110" s="306"/>
      <c r="K110" s="314"/>
      <c r="L110" s="306"/>
      <c r="M110" s="306"/>
      <c r="N110" s="306"/>
      <c r="O110" s="306"/>
      <c r="P110" s="306"/>
      <c r="Q110" s="306"/>
      <c r="R110" s="233"/>
      <c r="S110" s="233" t="s">
        <v>311</v>
      </c>
      <c r="T110" s="306"/>
    </row>
    <row r="111" spans="1:20" ht="17.100000000000001" customHeight="1" x14ac:dyDescent="0.25">
      <c r="A111" s="320"/>
      <c r="B111" s="320"/>
      <c r="D111" s="315"/>
      <c r="E111" s="595" t="s">
        <v>1163</v>
      </c>
      <c r="F111" s="595"/>
      <c r="G111" s="595"/>
      <c r="H111" s="595"/>
      <c r="I111" s="595"/>
      <c r="J111" s="595"/>
      <c r="K111" s="595"/>
      <c r="L111" s="595"/>
      <c r="M111" s="595"/>
      <c r="N111" s="595"/>
      <c r="O111" s="595"/>
      <c r="P111" s="595"/>
      <c r="Q111" s="595"/>
      <c r="R111" s="595"/>
      <c r="S111" s="595"/>
      <c r="T111" s="595"/>
    </row>
    <row r="112" spans="1:20" ht="17.100000000000001" customHeight="1" x14ac:dyDescent="0.25">
      <c r="A112" s="320"/>
      <c r="B112" s="320"/>
      <c r="D112" s="233"/>
      <c r="E112" s="226"/>
      <c r="F112" s="317"/>
      <c r="G112" s="317"/>
      <c r="H112" s="317"/>
      <c r="I112" s="317"/>
      <c r="J112" s="317"/>
      <c r="K112" s="596" t="s">
        <v>1164</v>
      </c>
      <c r="L112" s="596"/>
      <c r="M112" s="596"/>
      <c r="N112" s="596"/>
      <c r="O112" s="317"/>
      <c r="P112" s="596" t="s">
        <v>873</v>
      </c>
      <c r="Q112" s="596"/>
      <c r="R112" s="596"/>
      <c r="S112" s="596"/>
      <c r="T112" s="317"/>
    </row>
    <row r="113" spans="1:20" ht="17.100000000000001" customHeight="1" x14ac:dyDescent="0.25">
      <c r="A113" s="320"/>
      <c r="B113" s="320"/>
      <c r="D113" s="233"/>
      <c r="E113" s="226"/>
      <c r="F113" s="317"/>
      <c r="G113" s="226" t="s">
        <v>1165</v>
      </c>
      <c r="H113" s="317" t="s">
        <v>1166</v>
      </c>
      <c r="I113" s="226"/>
      <c r="J113" s="226"/>
      <c r="K113" s="226" t="s">
        <v>1167</v>
      </c>
      <c r="L113" s="226" t="s">
        <v>1167</v>
      </c>
      <c r="M113" s="226" t="s">
        <v>1168</v>
      </c>
      <c r="N113" s="317" t="s">
        <v>807</v>
      </c>
      <c r="O113" s="317"/>
      <c r="P113" s="226" t="s">
        <v>1167</v>
      </c>
      <c r="Q113" s="226" t="s">
        <v>1167</v>
      </c>
      <c r="R113" s="226" t="s">
        <v>1168</v>
      </c>
      <c r="S113" s="226" t="s">
        <v>807</v>
      </c>
      <c r="T113" s="226"/>
    </row>
    <row r="114" spans="1:20" ht="17.100000000000001" customHeight="1" x14ac:dyDescent="0.25">
      <c r="A114" s="320"/>
      <c r="B114" s="320"/>
      <c r="D114" s="233" t="s">
        <v>314</v>
      </c>
      <c r="E114" s="226" t="s">
        <v>315</v>
      </c>
      <c r="F114" s="226"/>
      <c r="G114" s="226" t="s">
        <v>1169</v>
      </c>
      <c r="H114" s="226" t="s">
        <v>1167</v>
      </c>
      <c r="I114" s="317" t="s">
        <v>1165</v>
      </c>
      <c r="J114" s="317"/>
      <c r="K114" s="317" t="s">
        <v>1170</v>
      </c>
      <c r="L114" s="317" t="s">
        <v>1171</v>
      </c>
      <c r="M114" s="317" t="s">
        <v>1167</v>
      </c>
      <c r="N114" s="226" t="s">
        <v>336</v>
      </c>
      <c r="O114" s="226"/>
      <c r="P114" s="317" t="s">
        <v>1170</v>
      </c>
      <c r="Q114" s="317" t="s">
        <v>1171</v>
      </c>
      <c r="R114" s="317" t="s">
        <v>1167</v>
      </c>
      <c r="S114" s="317" t="s">
        <v>336</v>
      </c>
      <c r="T114" s="317" t="s">
        <v>857</v>
      </c>
    </row>
    <row r="115" spans="1:20" ht="17.100000000000001" customHeight="1" thickBot="1" x14ac:dyDescent="0.3">
      <c r="A115" s="320"/>
      <c r="B115" s="320"/>
      <c r="D115" s="306" t="s">
        <v>320</v>
      </c>
      <c r="E115" s="314" t="s">
        <v>1170</v>
      </c>
      <c r="F115" s="314"/>
      <c r="G115" s="314" t="s">
        <v>1172</v>
      </c>
      <c r="H115" s="314" t="s">
        <v>711</v>
      </c>
      <c r="I115" s="319" t="s">
        <v>711</v>
      </c>
      <c r="J115" s="319"/>
      <c r="K115" s="319" t="s">
        <v>1173</v>
      </c>
      <c r="L115" s="319" t="s">
        <v>1173</v>
      </c>
      <c r="M115" s="319" t="s">
        <v>1173</v>
      </c>
      <c r="N115" s="319" t="s">
        <v>318</v>
      </c>
      <c r="O115" s="319"/>
      <c r="P115" s="319" t="s">
        <v>1173</v>
      </c>
      <c r="Q115" s="319" t="s">
        <v>1173</v>
      </c>
      <c r="R115" s="319" t="s">
        <v>1173</v>
      </c>
      <c r="S115" s="319" t="s">
        <v>318</v>
      </c>
      <c r="T115" s="319" t="s">
        <v>326</v>
      </c>
    </row>
    <row r="116" spans="1:20" ht="17.100000000000001" customHeight="1" x14ac:dyDescent="0.25">
      <c r="A116" s="320"/>
      <c r="B116" s="320"/>
      <c r="D116" s="233">
        <v>1</v>
      </c>
      <c r="E116" s="327" t="s">
        <v>1259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1:20" ht="17.100000000000001" customHeight="1" x14ac:dyDescent="0.25">
      <c r="A117" s="320"/>
      <c r="B117" s="320"/>
      <c r="D117" s="233">
        <v>2</v>
      </c>
      <c r="E117" s="597" t="s">
        <v>1260</v>
      </c>
      <c r="F117" s="597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</row>
    <row r="118" spans="1:20" ht="17.100000000000001" customHeight="1" x14ac:dyDescent="0.25">
      <c r="A118" s="320">
        <v>828</v>
      </c>
      <c r="B118" s="320"/>
      <c r="D118" s="233">
        <v>3</v>
      </c>
      <c r="E118" s="333" t="s">
        <v>1261</v>
      </c>
      <c r="F118" s="311" t="s">
        <v>1262</v>
      </c>
      <c r="G118" s="12">
        <f>+SUMIFS('2025 Lighting BDs'!C:C,'2025 Lighting BDs'!B:B,'E-13d'!A118)</f>
        <v>18438</v>
      </c>
      <c r="H118" s="12">
        <v>20</v>
      </c>
      <c r="I118" s="12">
        <f t="shared" ref="I118:I134" si="32">+H118*G118</f>
        <v>368760</v>
      </c>
      <c r="J118" s="13"/>
      <c r="K118" s="19">
        <f>+SUMIFS('2024 Lighting Rates'!B:B,'2024 Lighting Rates'!A:A,A118)</f>
        <v>11.03</v>
      </c>
      <c r="L118" s="19">
        <f>+SUMIFS('2024 Lighting Rates'!C:C,'2024 Lighting Rates'!A:A,A118)</f>
        <v>1.74</v>
      </c>
      <c r="M118" s="27">
        <f t="shared" ref="M118:M134" si="33">+K118+L118</f>
        <v>12.77</v>
      </c>
      <c r="N118" s="11">
        <f t="shared" ref="N118:N134" si="34">+M118*G118</f>
        <v>235453.25999999998</v>
      </c>
      <c r="O118" s="15"/>
      <c r="P118" s="27">
        <f t="shared" ref="P118:P134" si="35">+K118</f>
        <v>11.03</v>
      </c>
      <c r="Q118" s="27">
        <f t="shared" ref="Q118:Q134" si="36">+L118</f>
        <v>1.74</v>
      </c>
      <c r="R118" s="27">
        <f t="shared" ref="R118:R134" si="37">+P118+Q118</f>
        <v>12.77</v>
      </c>
      <c r="S118" s="162">
        <f t="shared" ref="S118:S134" si="38">+R118*G118</f>
        <v>235453.25999999998</v>
      </c>
      <c r="T118" s="188">
        <f t="shared" ref="T118:T135" si="39">IF(S118=0,0,(S118-N118)/N118)</f>
        <v>0</v>
      </c>
    </row>
    <row r="119" spans="1:20" ht="17.100000000000001" customHeight="1" x14ac:dyDescent="0.25">
      <c r="A119" s="320">
        <v>820</v>
      </c>
      <c r="B119" s="320"/>
      <c r="D119" s="233">
        <v>4</v>
      </c>
      <c r="E119" s="334" t="s">
        <v>1263</v>
      </c>
      <c r="F119" s="311" t="s">
        <v>1264</v>
      </c>
      <c r="G119" s="12">
        <f>+SUMIFS('2025 Lighting BDs'!C:C,'2025 Lighting BDs'!B:B,'E-13d'!A119)</f>
        <v>27841</v>
      </c>
      <c r="H119" s="12">
        <v>36</v>
      </c>
      <c r="I119" s="12">
        <f t="shared" si="32"/>
        <v>1002276</v>
      </c>
      <c r="J119" s="13"/>
      <c r="K119" s="19">
        <f>+SUMIFS('2024 Lighting Rates'!B:B,'2024 Lighting Rates'!A:A,A119)</f>
        <v>16.59</v>
      </c>
      <c r="L119" s="19">
        <f>+SUMIFS('2024 Lighting Rates'!C:C,'2024 Lighting Rates'!A:A,A119)</f>
        <v>1.19</v>
      </c>
      <c r="M119" s="27">
        <f t="shared" si="33"/>
        <v>17.78</v>
      </c>
      <c r="N119" s="11">
        <f t="shared" si="34"/>
        <v>495012.98000000004</v>
      </c>
      <c r="O119" s="12"/>
      <c r="P119" s="27">
        <f t="shared" si="35"/>
        <v>16.59</v>
      </c>
      <c r="Q119" s="27">
        <f t="shared" si="36"/>
        <v>1.19</v>
      </c>
      <c r="R119" s="27">
        <f t="shared" si="37"/>
        <v>17.78</v>
      </c>
      <c r="S119" s="162">
        <f t="shared" si="38"/>
        <v>495012.98000000004</v>
      </c>
      <c r="T119" s="188">
        <f t="shared" si="39"/>
        <v>0</v>
      </c>
    </row>
    <row r="120" spans="1:20" ht="17.100000000000001" customHeight="1" x14ac:dyDescent="0.25">
      <c r="A120" s="320">
        <v>821</v>
      </c>
      <c r="B120" s="320"/>
      <c r="D120" s="233">
        <v>5</v>
      </c>
      <c r="E120" s="334" t="s">
        <v>1265</v>
      </c>
      <c r="F120" s="311" t="s">
        <v>1266</v>
      </c>
      <c r="G120" s="12">
        <f>+SUMIFS('2025 Lighting BDs'!C:C,'2025 Lighting BDs'!B:B,'E-13d'!A120)</f>
        <v>284</v>
      </c>
      <c r="H120" s="12">
        <v>37</v>
      </c>
      <c r="I120" s="12">
        <f t="shared" si="32"/>
        <v>10508</v>
      </c>
      <c r="J120" s="13"/>
      <c r="K120" s="19">
        <f>+SUMIFS('2024 Lighting Rates'!B:B,'2024 Lighting Rates'!A:A,A120)</f>
        <v>16.59</v>
      </c>
      <c r="L120" s="19">
        <f>+SUMIFS('2024 Lighting Rates'!C:C,'2024 Lighting Rates'!A:A,A120)</f>
        <v>1.2</v>
      </c>
      <c r="M120" s="27">
        <f t="shared" si="33"/>
        <v>17.79</v>
      </c>
      <c r="N120" s="11">
        <f t="shared" si="34"/>
        <v>5052.3599999999997</v>
      </c>
      <c r="O120" s="12"/>
      <c r="P120" s="27">
        <f t="shared" si="35"/>
        <v>16.59</v>
      </c>
      <c r="Q120" s="27">
        <f t="shared" si="36"/>
        <v>1.2</v>
      </c>
      <c r="R120" s="27">
        <f t="shared" si="37"/>
        <v>17.79</v>
      </c>
      <c r="S120" s="162">
        <f t="shared" si="38"/>
        <v>5052.3599999999997</v>
      </c>
      <c r="T120" s="188">
        <f t="shared" si="39"/>
        <v>0</v>
      </c>
    </row>
    <row r="121" spans="1:20" ht="17.100000000000001" customHeight="1" x14ac:dyDescent="0.25">
      <c r="A121" s="320">
        <v>829</v>
      </c>
      <c r="B121" s="320"/>
      <c r="D121" s="233">
        <v>6</v>
      </c>
      <c r="E121" s="334" t="s">
        <v>1267</v>
      </c>
      <c r="F121" s="311" t="s">
        <v>1268</v>
      </c>
      <c r="G121" s="12">
        <f>+SUMIFS('2025 Lighting BDs'!C:C,'2025 Lighting BDs'!B:B,'E-13d'!A121)</f>
        <v>5139</v>
      </c>
      <c r="H121" s="12">
        <v>55</v>
      </c>
      <c r="I121" s="12">
        <f t="shared" si="32"/>
        <v>282645</v>
      </c>
      <c r="J121" s="13"/>
      <c r="K121" s="19">
        <f>+SUMIFS('2024 Lighting Rates'!B:B,'2024 Lighting Rates'!A:A,A121)</f>
        <v>16.53</v>
      </c>
      <c r="L121" s="19">
        <f>+SUMIFS('2024 Lighting Rates'!C:C,'2024 Lighting Rates'!A:A,A121)</f>
        <v>2.2599999999999998</v>
      </c>
      <c r="M121" s="27">
        <f t="shared" si="33"/>
        <v>18.79</v>
      </c>
      <c r="N121" s="11">
        <f t="shared" si="34"/>
        <v>96561.81</v>
      </c>
      <c r="O121" s="12"/>
      <c r="P121" s="27">
        <f t="shared" si="35"/>
        <v>16.53</v>
      </c>
      <c r="Q121" s="27">
        <f t="shared" si="36"/>
        <v>2.2599999999999998</v>
      </c>
      <c r="R121" s="27">
        <f t="shared" si="37"/>
        <v>18.79</v>
      </c>
      <c r="S121" s="162">
        <f t="shared" si="38"/>
        <v>96561.81</v>
      </c>
      <c r="T121" s="188">
        <f t="shared" si="39"/>
        <v>0</v>
      </c>
    </row>
    <row r="122" spans="1:20" ht="17.100000000000001" customHeight="1" x14ac:dyDescent="0.25">
      <c r="A122" s="320">
        <v>822</v>
      </c>
      <c r="B122" s="320"/>
      <c r="D122" s="233">
        <v>7</v>
      </c>
      <c r="E122" s="334" t="s">
        <v>1269</v>
      </c>
      <c r="F122" s="311" t="s">
        <v>1270</v>
      </c>
      <c r="G122" s="12">
        <f>+SUMIFS('2025 Lighting BDs'!C:C,'2025 Lighting BDs'!B:B,'E-13d'!A122)</f>
        <v>391</v>
      </c>
      <c r="H122" s="12">
        <v>69</v>
      </c>
      <c r="I122" s="12">
        <f t="shared" si="32"/>
        <v>26979</v>
      </c>
      <c r="J122" s="13"/>
      <c r="K122" s="19">
        <f>+SUMIFS('2024 Lighting Rates'!B:B,'2024 Lighting Rates'!A:A,A122)</f>
        <v>20.97</v>
      </c>
      <c r="L122" s="19">
        <f>+SUMIFS('2024 Lighting Rates'!C:C,'2024 Lighting Rates'!A:A,A122)</f>
        <v>1.26</v>
      </c>
      <c r="M122" s="27">
        <f t="shared" si="33"/>
        <v>22.23</v>
      </c>
      <c r="N122" s="11">
        <f t="shared" si="34"/>
        <v>8691.93</v>
      </c>
      <c r="O122" s="12"/>
      <c r="P122" s="27">
        <f t="shared" si="35"/>
        <v>20.97</v>
      </c>
      <c r="Q122" s="27">
        <f t="shared" si="36"/>
        <v>1.26</v>
      </c>
      <c r="R122" s="27">
        <f t="shared" si="37"/>
        <v>22.23</v>
      </c>
      <c r="S122" s="162">
        <f t="shared" si="38"/>
        <v>8691.93</v>
      </c>
      <c r="T122" s="188">
        <f t="shared" si="39"/>
        <v>0</v>
      </c>
    </row>
    <row r="123" spans="1:20" ht="17.100000000000001" customHeight="1" x14ac:dyDescent="0.25">
      <c r="A123" s="320">
        <v>823</v>
      </c>
      <c r="B123" s="320"/>
      <c r="D123" s="233">
        <v>8</v>
      </c>
      <c r="E123" s="334" t="s">
        <v>1271</v>
      </c>
      <c r="F123" s="311" t="s">
        <v>1272</v>
      </c>
      <c r="G123" s="12">
        <f>+SUMIFS('2025 Lighting BDs'!C:C,'2025 Lighting BDs'!B:B,'E-13d'!A123)</f>
        <v>24904</v>
      </c>
      <c r="H123" s="12">
        <v>72</v>
      </c>
      <c r="I123" s="12">
        <f t="shared" si="32"/>
        <v>1793088</v>
      </c>
      <c r="J123" s="13"/>
      <c r="K123" s="19">
        <f>+SUMIFS('2024 Lighting Rates'!B:B,'2024 Lighting Rates'!A:A,A123)</f>
        <v>24.17</v>
      </c>
      <c r="L123" s="19">
        <f>+SUMIFS('2024 Lighting Rates'!C:C,'2024 Lighting Rates'!A:A,A123)</f>
        <v>1.38</v>
      </c>
      <c r="M123" s="27">
        <f t="shared" si="33"/>
        <v>25.55</v>
      </c>
      <c r="N123" s="11">
        <f t="shared" si="34"/>
        <v>636297.20000000007</v>
      </c>
      <c r="O123" s="12"/>
      <c r="P123" s="27">
        <f t="shared" si="35"/>
        <v>24.17</v>
      </c>
      <c r="Q123" s="27">
        <f t="shared" si="36"/>
        <v>1.38</v>
      </c>
      <c r="R123" s="27">
        <f t="shared" si="37"/>
        <v>25.55</v>
      </c>
      <c r="S123" s="162">
        <f t="shared" si="38"/>
        <v>636297.20000000007</v>
      </c>
      <c r="T123" s="188">
        <f t="shared" si="39"/>
        <v>0</v>
      </c>
    </row>
    <row r="124" spans="1:20" ht="17.100000000000001" customHeight="1" x14ac:dyDescent="0.25">
      <c r="A124" s="320">
        <v>835</v>
      </c>
      <c r="B124" s="320"/>
      <c r="D124" s="233">
        <v>9</v>
      </c>
      <c r="E124" s="334" t="s">
        <v>1273</v>
      </c>
      <c r="F124" s="311" t="s">
        <v>1274</v>
      </c>
      <c r="G124" s="12">
        <f>+SUMIFS('2025 Lighting BDs'!C:C,'2025 Lighting BDs'!B:B,'E-13d'!A124)</f>
        <v>7792</v>
      </c>
      <c r="H124" s="12">
        <v>21</v>
      </c>
      <c r="I124" s="12">
        <f t="shared" si="32"/>
        <v>163632</v>
      </c>
      <c r="J124" s="13"/>
      <c r="K124" s="19">
        <f>+SUMIFS('2024 Lighting Rates'!B:B,'2024 Lighting Rates'!A:A,A124)</f>
        <v>23.77</v>
      </c>
      <c r="L124" s="19">
        <f>+SUMIFS('2024 Lighting Rates'!C:C,'2024 Lighting Rates'!A:A,A124)</f>
        <v>2.2799999999999998</v>
      </c>
      <c r="M124" s="27">
        <f t="shared" si="33"/>
        <v>26.05</v>
      </c>
      <c r="N124" s="11">
        <f t="shared" si="34"/>
        <v>202981.6</v>
      </c>
      <c r="O124" s="12"/>
      <c r="P124" s="27">
        <f t="shared" si="35"/>
        <v>23.77</v>
      </c>
      <c r="Q124" s="27">
        <f t="shared" si="36"/>
        <v>2.2799999999999998</v>
      </c>
      <c r="R124" s="27">
        <f t="shared" si="37"/>
        <v>26.05</v>
      </c>
      <c r="S124" s="162">
        <f t="shared" si="38"/>
        <v>202981.6</v>
      </c>
      <c r="T124" s="188">
        <f t="shared" si="39"/>
        <v>0</v>
      </c>
    </row>
    <row r="125" spans="1:20" ht="17.100000000000001" customHeight="1" x14ac:dyDescent="0.25">
      <c r="A125" s="320">
        <v>824</v>
      </c>
      <c r="B125" s="320"/>
      <c r="D125" s="233">
        <v>10</v>
      </c>
      <c r="E125" s="334" t="s">
        <v>1275</v>
      </c>
      <c r="F125" s="311" t="s">
        <v>1276</v>
      </c>
      <c r="G125" s="12">
        <f>+SUMIFS('2025 Lighting BDs'!C:C,'2025 Lighting BDs'!B:B,'E-13d'!A125)</f>
        <v>38356</v>
      </c>
      <c r="H125" s="12">
        <v>24</v>
      </c>
      <c r="I125" s="12">
        <f t="shared" si="32"/>
        <v>920544</v>
      </c>
      <c r="J125" s="13"/>
      <c r="K125" s="19">
        <f>+SUMIFS('2024 Lighting Rates'!B:B,'2024 Lighting Rates'!A:A,A125)</f>
        <v>28.02</v>
      </c>
      <c r="L125" s="19">
        <f>+SUMIFS('2024 Lighting Rates'!C:C,'2024 Lighting Rates'!A:A,A125)</f>
        <v>1.54</v>
      </c>
      <c r="M125" s="27">
        <f t="shared" si="33"/>
        <v>29.56</v>
      </c>
      <c r="N125" s="11">
        <f t="shared" si="34"/>
        <v>1133803.3599999999</v>
      </c>
      <c r="O125" s="12"/>
      <c r="P125" s="27">
        <f t="shared" si="35"/>
        <v>28.02</v>
      </c>
      <c r="Q125" s="27">
        <f t="shared" si="36"/>
        <v>1.54</v>
      </c>
      <c r="R125" s="27">
        <f t="shared" si="37"/>
        <v>29.56</v>
      </c>
      <c r="S125" s="162">
        <f t="shared" si="38"/>
        <v>1133803.3599999999</v>
      </c>
      <c r="T125" s="188">
        <f t="shared" si="39"/>
        <v>0</v>
      </c>
    </row>
    <row r="126" spans="1:20" ht="17.100000000000001" customHeight="1" x14ac:dyDescent="0.25">
      <c r="A126" s="320">
        <v>825</v>
      </c>
      <c r="B126" s="320"/>
      <c r="D126" s="233">
        <v>11</v>
      </c>
      <c r="E126" s="334" t="s">
        <v>1277</v>
      </c>
      <c r="F126" s="311" t="s">
        <v>1278</v>
      </c>
      <c r="G126" s="12">
        <f>+SUMIFS('2025 Lighting BDs'!C:C,'2025 Lighting BDs'!B:B,'E-13d'!A126)</f>
        <v>13109</v>
      </c>
      <c r="H126" s="12">
        <v>35</v>
      </c>
      <c r="I126" s="12">
        <f t="shared" si="32"/>
        <v>458815</v>
      </c>
      <c r="J126" s="13"/>
      <c r="K126" s="19">
        <f>+SUMIFS('2024 Lighting Rates'!B:B,'2024 Lighting Rates'!A:A,A126)</f>
        <v>29.51</v>
      </c>
      <c r="L126" s="19">
        <f>+SUMIFS('2024 Lighting Rates'!C:C,'2024 Lighting Rates'!A:A,A126)</f>
        <v>1.56</v>
      </c>
      <c r="M126" s="27">
        <f t="shared" si="33"/>
        <v>31.07</v>
      </c>
      <c r="N126" s="11">
        <f t="shared" si="34"/>
        <v>407296.63</v>
      </c>
      <c r="O126" s="12"/>
      <c r="P126" s="27">
        <f t="shared" si="35"/>
        <v>29.51</v>
      </c>
      <c r="Q126" s="27">
        <f t="shared" si="36"/>
        <v>1.56</v>
      </c>
      <c r="R126" s="27">
        <f t="shared" si="37"/>
        <v>31.07</v>
      </c>
      <c r="S126" s="162">
        <f t="shared" si="38"/>
        <v>407296.63</v>
      </c>
      <c r="T126" s="188">
        <f t="shared" si="39"/>
        <v>0</v>
      </c>
    </row>
    <row r="127" spans="1:20" ht="17.100000000000001" customHeight="1" x14ac:dyDescent="0.25">
      <c r="A127" s="320">
        <v>836</v>
      </c>
      <c r="B127" s="320"/>
      <c r="D127" s="233">
        <v>12</v>
      </c>
      <c r="E127" s="334" t="s">
        <v>1279</v>
      </c>
      <c r="F127" s="311" t="s">
        <v>1181</v>
      </c>
      <c r="G127" s="12">
        <f>+SUMIFS('2025 Lighting BDs'!C:C,'2025 Lighting BDs'!B:B,'E-13d'!A127)</f>
        <v>2049</v>
      </c>
      <c r="H127" s="12">
        <v>35</v>
      </c>
      <c r="I127" s="12">
        <f t="shared" si="32"/>
        <v>71715</v>
      </c>
      <c r="J127" s="13"/>
      <c r="K127" s="19">
        <f>+SUMIFS('2024 Lighting Rates'!B:B,'2024 Lighting Rates'!A:A,A127)</f>
        <v>24.02</v>
      </c>
      <c r="L127" s="19">
        <f>+SUMIFS('2024 Lighting Rates'!C:C,'2024 Lighting Rates'!A:A,A127)</f>
        <v>2.2799999999999998</v>
      </c>
      <c r="M127" s="27">
        <f t="shared" si="33"/>
        <v>26.3</v>
      </c>
      <c r="N127" s="11">
        <f t="shared" si="34"/>
        <v>53888.700000000004</v>
      </c>
      <c r="O127" s="12"/>
      <c r="P127" s="27">
        <f t="shared" si="35"/>
        <v>24.02</v>
      </c>
      <c r="Q127" s="27">
        <f t="shared" si="36"/>
        <v>2.2799999999999998</v>
      </c>
      <c r="R127" s="27">
        <f t="shared" si="37"/>
        <v>26.3</v>
      </c>
      <c r="S127" s="162">
        <f t="shared" si="38"/>
        <v>53888.700000000004</v>
      </c>
      <c r="T127" s="188">
        <f t="shared" si="39"/>
        <v>0</v>
      </c>
    </row>
    <row r="128" spans="1:20" ht="17.100000000000001" customHeight="1" x14ac:dyDescent="0.25">
      <c r="A128" s="320">
        <v>830</v>
      </c>
      <c r="B128" s="320"/>
      <c r="D128" s="233">
        <v>13</v>
      </c>
      <c r="E128" s="334" t="s">
        <v>1280</v>
      </c>
      <c r="F128" s="311" t="s">
        <v>1281</v>
      </c>
      <c r="G128" s="12">
        <f>+SUMIFS('2025 Lighting BDs'!C:C,'2025 Lighting BDs'!B:B,'E-13d'!A128)</f>
        <v>2013</v>
      </c>
      <c r="H128" s="12">
        <v>53</v>
      </c>
      <c r="I128" s="12">
        <f t="shared" si="32"/>
        <v>106689</v>
      </c>
      <c r="J128" s="13"/>
      <c r="K128" s="19">
        <f>+SUMIFS('2024 Lighting Rates'!B:B,'2024 Lighting Rates'!A:A,A128)</f>
        <v>21.37</v>
      </c>
      <c r="L128" s="19">
        <f>+SUMIFS('2024 Lighting Rates'!C:C,'2024 Lighting Rates'!A:A,A128)</f>
        <v>2.5099999999999998</v>
      </c>
      <c r="M128" s="27">
        <f t="shared" si="33"/>
        <v>23.880000000000003</v>
      </c>
      <c r="N128" s="11">
        <f t="shared" si="34"/>
        <v>48070.44</v>
      </c>
      <c r="O128" s="12"/>
      <c r="P128" s="27">
        <f t="shared" si="35"/>
        <v>21.37</v>
      </c>
      <c r="Q128" s="27">
        <f t="shared" si="36"/>
        <v>2.5099999999999998</v>
      </c>
      <c r="R128" s="27">
        <f t="shared" si="37"/>
        <v>23.880000000000003</v>
      </c>
      <c r="S128" s="162">
        <f t="shared" si="38"/>
        <v>48070.44</v>
      </c>
      <c r="T128" s="188">
        <f t="shared" si="39"/>
        <v>0</v>
      </c>
    </row>
    <row r="129" spans="1:20" ht="17.100000000000001" customHeight="1" x14ac:dyDescent="0.25">
      <c r="A129" s="320">
        <v>826</v>
      </c>
      <c r="B129" s="320"/>
      <c r="D129" s="233">
        <v>14</v>
      </c>
      <c r="E129" s="334" t="s">
        <v>1282</v>
      </c>
      <c r="F129" s="311" t="s">
        <v>1283</v>
      </c>
      <c r="G129" s="12">
        <f>+SUMIFS('2025 Lighting BDs'!C:C,'2025 Lighting BDs'!B:B,'E-13d'!A129)</f>
        <v>8301</v>
      </c>
      <c r="H129" s="12">
        <v>71</v>
      </c>
      <c r="I129" s="12">
        <f t="shared" si="32"/>
        <v>589371</v>
      </c>
      <c r="J129" s="233"/>
      <c r="K129" s="19">
        <f>+SUMIFS('2024 Lighting Rates'!B:B,'2024 Lighting Rates'!A:A,A129)</f>
        <v>27.49</v>
      </c>
      <c r="L129" s="19">
        <f>+SUMIFS('2024 Lighting Rates'!C:C,'2024 Lighting Rates'!A:A,A129)</f>
        <v>1.41</v>
      </c>
      <c r="M129" s="27">
        <f t="shared" si="33"/>
        <v>28.9</v>
      </c>
      <c r="N129" s="11">
        <f t="shared" si="34"/>
        <v>239898.9</v>
      </c>
      <c r="O129" s="233"/>
      <c r="P129" s="27">
        <f t="shared" si="35"/>
        <v>27.49</v>
      </c>
      <c r="Q129" s="27">
        <f t="shared" si="36"/>
        <v>1.41</v>
      </c>
      <c r="R129" s="27">
        <f t="shared" si="37"/>
        <v>28.9</v>
      </c>
      <c r="S129" s="162">
        <f t="shared" si="38"/>
        <v>239898.9</v>
      </c>
      <c r="T129" s="188">
        <f t="shared" si="39"/>
        <v>0</v>
      </c>
    </row>
    <row r="130" spans="1:20" ht="17.100000000000001" customHeight="1" x14ac:dyDescent="0.25">
      <c r="A130" s="320">
        <v>827</v>
      </c>
      <c r="B130" s="320"/>
      <c r="D130" s="233">
        <v>15</v>
      </c>
      <c r="E130" s="334" t="s">
        <v>1284</v>
      </c>
      <c r="F130" s="311" t="s">
        <v>1285</v>
      </c>
      <c r="G130" s="12">
        <f>+SUMIFS('2025 Lighting BDs'!C:C,'2025 Lighting BDs'!B:B,'E-13d'!A130)</f>
        <v>67227</v>
      </c>
      <c r="H130" s="12">
        <v>108</v>
      </c>
      <c r="I130" s="12">
        <f t="shared" si="32"/>
        <v>7260516</v>
      </c>
      <c r="J130" s="233"/>
      <c r="K130" s="19">
        <f>+SUMIFS('2024 Lighting Rates'!B:B,'2024 Lighting Rates'!A:A,A130)</f>
        <v>29.65</v>
      </c>
      <c r="L130" s="19">
        <f>+SUMIFS('2024 Lighting Rates'!C:C,'2024 Lighting Rates'!A:A,A130)</f>
        <v>1.55</v>
      </c>
      <c r="M130" s="27">
        <f t="shared" si="33"/>
        <v>31.2</v>
      </c>
      <c r="N130" s="11">
        <f t="shared" si="34"/>
        <v>2097482.4</v>
      </c>
      <c r="O130" s="233"/>
      <c r="P130" s="27">
        <f t="shared" si="35"/>
        <v>29.65</v>
      </c>
      <c r="Q130" s="27">
        <f t="shared" si="36"/>
        <v>1.55</v>
      </c>
      <c r="R130" s="27">
        <f t="shared" si="37"/>
        <v>31.2</v>
      </c>
      <c r="S130" s="162">
        <f t="shared" si="38"/>
        <v>2097482.4</v>
      </c>
      <c r="T130" s="188">
        <f t="shared" si="39"/>
        <v>0</v>
      </c>
    </row>
    <row r="131" spans="1:20" ht="17.100000000000001" customHeight="1" x14ac:dyDescent="0.25">
      <c r="A131" s="320">
        <v>831</v>
      </c>
      <c r="B131" s="320"/>
      <c r="D131" s="233">
        <v>16</v>
      </c>
      <c r="E131" s="334" t="s">
        <v>1286</v>
      </c>
      <c r="F131" s="311" t="s">
        <v>1287</v>
      </c>
      <c r="G131" s="12">
        <f>+SUMIFS('2025 Lighting BDs'!C:C,'2025 Lighting BDs'!B:B,'E-13d'!A131)</f>
        <v>2511</v>
      </c>
      <c r="H131" s="12">
        <v>83</v>
      </c>
      <c r="I131" s="12">
        <f t="shared" si="32"/>
        <v>208413</v>
      </c>
      <c r="J131" s="12"/>
      <c r="K131" s="19">
        <f>+SUMIFS('2024 Lighting Rates'!B:B,'2024 Lighting Rates'!A:A,A131)</f>
        <v>22.88</v>
      </c>
      <c r="L131" s="19">
        <f>+SUMIFS('2024 Lighting Rates'!C:C,'2024 Lighting Rates'!A:A,A131)</f>
        <v>3.45</v>
      </c>
      <c r="M131" s="27">
        <f t="shared" si="33"/>
        <v>26.33</v>
      </c>
      <c r="N131" s="11">
        <f t="shared" si="34"/>
        <v>66114.62999999999</v>
      </c>
      <c r="O131" s="12"/>
      <c r="P131" s="27">
        <f t="shared" si="35"/>
        <v>22.88</v>
      </c>
      <c r="Q131" s="27">
        <f t="shared" si="36"/>
        <v>3.45</v>
      </c>
      <c r="R131" s="27">
        <f t="shared" si="37"/>
        <v>26.33</v>
      </c>
      <c r="S131" s="162">
        <f t="shared" si="38"/>
        <v>66114.62999999999</v>
      </c>
      <c r="T131" s="188">
        <f t="shared" si="39"/>
        <v>0</v>
      </c>
    </row>
    <row r="132" spans="1:20" ht="17.100000000000001" customHeight="1" x14ac:dyDescent="0.25">
      <c r="A132" s="320">
        <v>832</v>
      </c>
      <c r="B132" s="320"/>
      <c r="D132" s="233">
        <v>17</v>
      </c>
      <c r="E132" s="334" t="s">
        <v>1288</v>
      </c>
      <c r="F132" s="311" t="s">
        <v>1289</v>
      </c>
      <c r="G132" s="12">
        <f>+SUMIFS('2025 Lighting BDs'!C:C,'2025 Lighting BDs'!B:B,'E-13d'!A132)</f>
        <v>15193</v>
      </c>
      <c r="H132" s="12">
        <v>126</v>
      </c>
      <c r="I132" s="12">
        <f t="shared" si="32"/>
        <v>1914318</v>
      </c>
      <c r="J132" s="12"/>
      <c r="K132" s="19">
        <f>+SUMIFS('2024 Lighting Rates'!B:B,'2024 Lighting Rates'!A:A,A132)</f>
        <v>27.56</v>
      </c>
      <c r="L132" s="19">
        <f>+SUMIFS('2024 Lighting Rates'!C:C,'2024 Lighting Rates'!A:A,A132)</f>
        <v>4.0999999999999996</v>
      </c>
      <c r="M132" s="27">
        <f t="shared" si="33"/>
        <v>31.659999999999997</v>
      </c>
      <c r="N132" s="11">
        <f t="shared" si="34"/>
        <v>481010.37999999995</v>
      </c>
      <c r="O132" s="12"/>
      <c r="P132" s="27">
        <f t="shared" si="35"/>
        <v>27.56</v>
      </c>
      <c r="Q132" s="27">
        <f t="shared" si="36"/>
        <v>4.0999999999999996</v>
      </c>
      <c r="R132" s="27">
        <f t="shared" si="37"/>
        <v>31.659999999999997</v>
      </c>
      <c r="S132" s="162">
        <f t="shared" si="38"/>
        <v>481010.37999999995</v>
      </c>
      <c r="T132" s="188">
        <f t="shared" si="39"/>
        <v>0</v>
      </c>
    </row>
    <row r="133" spans="1:20" ht="17.100000000000001" customHeight="1" x14ac:dyDescent="0.25">
      <c r="A133" s="320">
        <v>833</v>
      </c>
      <c r="B133" s="320"/>
      <c r="D133" s="233">
        <v>18</v>
      </c>
      <c r="E133" s="334" t="s">
        <v>1290</v>
      </c>
      <c r="F133" s="311" t="s">
        <v>1291</v>
      </c>
      <c r="G133" s="12">
        <f>+SUMIFS('2025 Lighting BDs'!C:C,'2025 Lighting BDs'!B:B,'E-13d'!A133)</f>
        <v>663</v>
      </c>
      <c r="H133" s="12">
        <v>86</v>
      </c>
      <c r="I133" s="12">
        <f t="shared" si="32"/>
        <v>57018</v>
      </c>
      <c r="J133" s="12"/>
      <c r="K133" s="19">
        <f>+SUMIFS('2024 Lighting Rates'!B:B,'2024 Lighting Rates'!A:A,A133)</f>
        <v>21.16</v>
      </c>
      <c r="L133" s="19">
        <f>+SUMIFS('2024 Lighting Rates'!C:C,'2024 Lighting Rates'!A:A,A133)</f>
        <v>3.04</v>
      </c>
      <c r="M133" s="27">
        <f t="shared" si="33"/>
        <v>24.2</v>
      </c>
      <c r="N133" s="11">
        <f t="shared" si="34"/>
        <v>16044.6</v>
      </c>
      <c r="O133" s="12"/>
      <c r="P133" s="27">
        <f t="shared" si="35"/>
        <v>21.16</v>
      </c>
      <c r="Q133" s="27">
        <f t="shared" si="36"/>
        <v>3.04</v>
      </c>
      <c r="R133" s="27">
        <f t="shared" si="37"/>
        <v>24.2</v>
      </c>
      <c r="S133" s="162">
        <f t="shared" si="38"/>
        <v>16044.6</v>
      </c>
      <c r="T133" s="188">
        <f t="shared" si="39"/>
        <v>0</v>
      </c>
    </row>
    <row r="134" spans="1:20" ht="17.100000000000001" customHeight="1" x14ac:dyDescent="0.25">
      <c r="A134" s="320">
        <v>834</v>
      </c>
      <c r="B134" s="320"/>
      <c r="D134" s="233">
        <v>19</v>
      </c>
      <c r="E134" s="334" t="s">
        <v>1292</v>
      </c>
      <c r="F134" s="311" t="s">
        <v>1293</v>
      </c>
      <c r="G134" s="12">
        <f>+SUMIFS('2025 Lighting BDs'!C:C,'2025 Lighting BDs'!B:B,'E-13d'!A134)</f>
        <v>225</v>
      </c>
      <c r="H134" s="12">
        <v>115</v>
      </c>
      <c r="I134" s="12">
        <f t="shared" si="32"/>
        <v>25875</v>
      </c>
      <c r="J134" s="12"/>
      <c r="K134" s="19">
        <f>+SUMIFS('2024 Lighting Rates'!B:B,'2024 Lighting Rates'!A:A,A134)</f>
        <v>23.47</v>
      </c>
      <c r="L134" s="19">
        <f>+SUMIFS('2024 Lighting Rates'!C:C,'2024 Lighting Rates'!A:A,A134)</f>
        <v>3.6</v>
      </c>
      <c r="M134" s="27">
        <f t="shared" si="33"/>
        <v>27.07</v>
      </c>
      <c r="N134" s="11">
        <f t="shared" si="34"/>
        <v>6090.75</v>
      </c>
      <c r="O134" s="12"/>
      <c r="P134" s="27">
        <f t="shared" si="35"/>
        <v>23.47</v>
      </c>
      <c r="Q134" s="27">
        <f t="shared" si="36"/>
        <v>3.6</v>
      </c>
      <c r="R134" s="27">
        <f t="shared" si="37"/>
        <v>27.07</v>
      </c>
      <c r="S134" s="162">
        <f t="shared" si="38"/>
        <v>6090.75</v>
      </c>
      <c r="T134" s="188">
        <f t="shared" si="39"/>
        <v>0</v>
      </c>
    </row>
    <row r="135" spans="1:20" ht="17.100000000000001" customHeight="1" x14ac:dyDescent="0.25">
      <c r="A135" s="320"/>
      <c r="B135" s="320"/>
      <c r="D135" s="233">
        <v>20</v>
      </c>
      <c r="E135" s="310" t="s">
        <v>1199</v>
      </c>
      <c r="F135" s="233"/>
      <c r="G135" s="12"/>
      <c r="H135" s="12"/>
      <c r="I135" s="13"/>
      <c r="J135" s="13"/>
      <c r="K135" s="37"/>
      <c r="L135" s="37"/>
      <c r="M135" s="19"/>
      <c r="N135" s="11">
        <f>SUM(N118:N134)</f>
        <v>6229751.9299999997</v>
      </c>
      <c r="O135" s="12"/>
      <c r="P135" s="19"/>
      <c r="Q135" s="19"/>
      <c r="R135" s="19"/>
      <c r="S135" s="11">
        <f>SUM(S118:S134)</f>
        <v>6229751.9299999997</v>
      </c>
      <c r="T135" s="188">
        <f t="shared" si="39"/>
        <v>0</v>
      </c>
    </row>
    <row r="136" spans="1:20" ht="17.100000000000001" customHeight="1" x14ac:dyDescent="0.25">
      <c r="A136" s="320"/>
      <c r="B136" s="320"/>
      <c r="D136" s="233">
        <v>21</v>
      </c>
      <c r="E136" s="597" t="s">
        <v>1294</v>
      </c>
      <c r="F136" s="597"/>
      <c r="G136" s="12"/>
      <c r="H136" s="12"/>
      <c r="I136" s="13"/>
      <c r="J136" s="13"/>
      <c r="K136" s="37"/>
      <c r="L136" s="37"/>
      <c r="M136" s="19"/>
      <c r="N136" s="30"/>
      <c r="O136" s="12"/>
      <c r="P136" s="19"/>
      <c r="Q136" s="19"/>
      <c r="R136" s="19"/>
      <c r="S136" s="30"/>
      <c r="T136" s="191"/>
    </row>
    <row r="137" spans="1:20" ht="17.100000000000001" customHeight="1" x14ac:dyDescent="0.25">
      <c r="A137" s="320">
        <v>848</v>
      </c>
      <c r="B137" s="320"/>
      <c r="D137" s="233">
        <v>22</v>
      </c>
      <c r="E137" s="333" t="s">
        <v>1295</v>
      </c>
      <c r="F137" s="311" t="s">
        <v>1262</v>
      </c>
      <c r="G137" s="12">
        <f>+SUMIFS('2025 Lighting BDs'!C:C,'2025 Lighting BDs'!B:B,'E-13d'!A137)</f>
        <v>12</v>
      </c>
      <c r="H137" s="12">
        <v>10</v>
      </c>
      <c r="I137" s="12">
        <f t="shared" ref="I137:I153" si="40">+H137*G137</f>
        <v>120</v>
      </c>
      <c r="K137" s="19">
        <f>+SUMIFS('2024 Lighting Rates'!B:B,'2024 Lighting Rates'!A:A,A137)</f>
        <v>11.03</v>
      </c>
      <c r="L137" s="19">
        <f>+SUMIFS('2024 Lighting Rates'!C:C,'2024 Lighting Rates'!A:A,A137)</f>
        <v>1.74</v>
      </c>
      <c r="M137" s="27">
        <f t="shared" ref="M137:M152" si="41">+K137+L137</f>
        <v>12.77</v>
      </c>
      <c r="N137" s="11">
        <f t="shared" ref="N137:N153" si="42">+M137*G137</f>
        <v>153.24</v>
      </c>
      <c r="P137" s="27">
        <f t="shared" ref="P137:P153" si="43">+K137</f>
        <v>11.03</v>
      </c>
      <c r="Q137" s="27">
        <f t="shared" ref="Q137:Q153" si="44">+L137</f>
        <v>1.74</v>
      </c>
      <c r="R137" s="27">
        <f t="shared" ref="R137:R153" si="45">+P137+Q137</f>
        <v>12.77</v>
      </c>
      <c r="S137" s="162">
        <f t="shared" ref="S137:S153" si="46">+R137*G137</f>
        <v>153.24</v>
      </c>
      <c r="T137" s="188">
        <f t="shared" ref="T137:T154" si="47">IF(S137=0,0,(S137-N137)/N137)</f>
        <v>0</v>
      </c>
    </row>
    <row r="138" spans="1:20" ht="17.100000000000001" customHeight="1" x14ac:dyDescent="0.25">
      <c r="A138" s="320">
        <v>840</v>
      </c>
      <c r="B138" s="320"/>
      <c r="D138" s="233">
        <v>23</v>
      </c>
      <c r="E138" s="334" t="s">
        <v>1296</v>
      </c>
      <c r="F138" s="311" t="s">
        <v>1264</v>
      </c>
      <c r="G138" s="12">
        <f>+SUMIFS('2025 Lighting BDs'!C:C,'2025 Lighting BDs'!B:B,'E-13d'!A138)</f>
        <v>0</v>
      </c>
      <c r="H138" s="12">
        <v>18</v>
      </c>
      <c r="I138" s="153">
        <f t="shared" si="40"/>
        <v>0</v>
      </c>
      <c r="J138" s="13"/>
      <c r="K138" s="19">
        <f>+SUMIFS('2024 Lighting Rates'!B:B,'2024 Lighting Rates'!A:A,A138)</f>
        <v>16.59</v>
      </c>
      <c r="L138" s="19">
        <f>+SUMIFS('2024 Lighting Rates'!C:C,'2024 Lighting Rates'!A:A,A138)</f>
        <v>1.19</v>
      </c>
      <c r="M138" s="27">
        <f t="shared" si="41"/>
        <v>17.78</v>
      </c>
      <c r="N138" s="11">
        <f t="shared" si="42"/>
        <v>0</v>
      </c>
      <c r="O138" s="12"/>
      <c r="P138" s="27">
        <f t="shared" si="43"/>
        <v>16.59</v>
      </c>
      <c r="Q138" s="27">
        <f t="shared" si="44"/>
        <v>1.19</v>
      </c>
      <c r="R138" s="27">
        <f t="shared" si="45"/>
        <v>17.78</v>
      </c>
      <c r="S138" s="162">
        <f t="shared" si="46"/>
        <v>0</v>
      </c>
      <c r="T138" s="188">
        <f t="shared" si="47"/>
        <v>0</v>
      </c>
    </row>
    <row r="139" spans="1:20" ht="17.100000000000001" customHeight="1" x14ac:dyDescent="0.25">
      <c r="A139" s="320">
        <v>841</v>
      </c>
      <c r="B139" s="320"/>
      <c r="D139" s="233">
        <v>24</v>
      </c>
      <c r="E139" s="334" t="s">
        <v>1297</v>
      </c>
      <c r="F139" s="311" t="s">
        <v>1266</v>
      </c>
      <c r="G139" s="12">
        <f>+SUMIFS('2025 Lighting BDs'!C:C,'2025 Lighting BDs'!B:B,'E-13d'!A139)</f>
        <v>47</v>
      </c>
      <c r="H139" s="12">
        <v>19</v>
      </c>
      <c r="I139" s="12">
        <f t="shared" si="40"/>
        <v>893</v>
      </c>
      <c r="J139" s="13"/>
      <c r="K139" s="19">
        <f>+SUMIFS('2024 Lighting Rates'!B:B,'2024 Lighting Rates'!A:A,A139)</f>
        <v>16.59</v>
      </c>
      <c r="L139" s="19">
        <f>+SUMIFS('2024 Lighting Rates'!C:C,'2024 Lighting Rates'!A:A,A139)</f>
        <v>1.2</v>
      </c>
      <c r="M139" s="27">
        <f t="shared" si="41"/>
        <v>17.79</v>
      </c>
      <c r="N139" s="11">
        <f t="shared" si="42"/>
        <v>836.13</v>
      </c>
      <c r="O139" s="12"/>
      <c r="P139" s="27">
        <f t="shared" si="43"/>
        <v>16.59</v>
      </c>
      <c r="Q139" s="27">
        <f t="shared" si="44"/>
        <v>1.2</v>
      </c>
      <c r="R139" s="27">
        <f t="shared" si="45"/>
        <v>17.79</v>
      </c>
      <c r="S139" s="162">
        <f t="shared" si="46"/>
        <v>836.13</v>
      </c>
      <c r="T139" s="188">
        <f t="shared" si="47"/>
        <v>0</v>
      </c>
    </row>
    <row r="140" spans="1:20" ht="17.100000000000001" customHeight="1" x14ac:dyDescent="0.25">
      <c r="A140" s="320">
        <v>849</v>
      </c>
      <c r="B140" s="320"/>
      <c r="D140" s="233">
        <v>25</v>
      </c>
      <c r="E140" s="334" t="s">
        <v>1298</v>
      </c>
      <c r="F140" s="311" t="s">
        <v>1268</v>
      </c>
      <c r="G140" s="12">
        <f>+SUMIFS('2025 Lighting BDs'!C:C,'2025 Lighting BDs'!B:B,'E-13d'!A140)</f>
        <v>0</v>
      </c>
      <c r="H140" s="12">
        <v>27</v>
      </c>
      <c r="I140" s="153">
        <f t="shared" si="40"/>
        <v>0</v>
      </c>
      <c r="J140" s="13"/>
      <c r="K140" s="19">
        <f>+SUMIFS('2024 Lighting Rates'!B:B,'2024 Lighting Rates'!A:A,A140)</f>
        <v>16.53</v>
      </c>
      <c r="L140" s="19">
        <f>+SUMIFS('2024 Lighting Rates'!C:C,'2024 Lighting Rates'!A:A,A140)</f>
        <v>2.2599999999999998</v>
      </c>
      <c r="M140" s="27">
        <f t="shared" si="41"/>
        <v>18.79</v>
      </c>
      <c r="N140" s="11">
        <f t="shared" si="42"/>
        <v>0</v>
      </c>
      <c r="O140" s="12"/>
      <c r="P140" s="27">
        <f t="shared" si="43"/>
        <v>16.53</v>
      </c>
      <c r="Q140" s="27">
        <f t="shared" si="44"/>
        <v>2.2599999999999998</v>
      </c>
      <c r="R140" s="27">
        <f t="shared" si="45"/>
        <v>18.79</v>
      </c>
      <c r="S140" s="162">
        <f t="shared" si="46"/>
        <v>0</v>
      </c>
      <c r="T140" s="188">
        <f t="shared" si="47"/>
        <v>0</v>
      </c>
    </row>
    <row r="141" spans="1:20" ht="17.100000000000001" customHeight="1" x14ac:dyDescent="0.25">
      <c r="A141" s="320">
        <v>842</v>
      </c>
      <c r="B141" s="320"/>
      <c r="D141" s="233">
        <v>26</v>
      </c>
      <c r="E141" s="334" t="s">
        <v>1299</v>
      </c>
      <c r="F141" s="311" t="s">
        <v>1270</v>
      </c>
      <c r="G141" s="12">
        <f>+SUMIFS('2025 Lighting BDs'!C:C,'2025 Lighting BDs'!B:B,'E-13d'!A141)</f>
        <v>0</v>
      </c>
      <c r="H141" s="12">
        <v>34</v>
      </c>
      <c r="I141" s="153">
        <f t="shared" si="40"/>
        <v>0</v>
      </c>
      <c r="J141" s="233"/>
      <c r="K141" s="19">
        <f>+SUMIFS('2024 Lighting Rates'!B:B,'2024 Lighting Rates'!A:A,A141)</f>
        <v>20.97</v>
      </c>
      <c r="L141" s="19">
        <f>+SUMIFS('2024 Lighting Rates'!C:C,'2024 Lighting Rates'!A:A,A141)</f>
        <v>1.26</v>
      </c>
      <c r="M141" s="27">
        <f t="shared" si="41"/>
        <v>22.23</v>
      </c>
      <c r="N141" s="11">
        <f t="shared" si="42"/>
        <v>0</v>
      </c>
      <c r="O141" s="233"/>
      <c r="P141" s="27">
        <f t="shared" si="43"/>
        <v>20.97</v>
      </c>
      <c r="Q141" s="27">
        <f t="shared" si="44"/>
        <v>1.26</v>
      </c>
      <c r="R141" s="27">
        <f t="shared" si="45"/>
        <v>22.23</v>
      </c>
      <c r="S141" s="162">
        <f t="shared" si="46"/>
        <v>0</v>
      </c>
      <c r="T141" s="188">
        <f t="shared" si="47"/>
        <v>0</v>
      </c>
    </row>
    <row r="142" spans="1:20" ht="17.100000000000001" customHeight="1" x14ac:dyDescent="0.25">
      <c r="A142" s="320">
        <v>843</v>
      </c>
      <c r="B142" s="320"/>
      <c r="D142" s="233">
        <v>27</v>
      </c>
      <c r="E142" s="334" t="s">
        <v>1300</v>
      </c>
      <c r="F142" s="311" t="s">
        <v>1272</v>
      </c>
      <c r="G142" s="12">
        <f>+SUMIFS('2025 Lighting BDs'!C:C,'2025 Lighting BDs'!B:B,'E-13d'!A142)</f>
        <v>0</v>
      </c>
      <c r="H142" s="12">
        <v>36</v>
      </c>
      <c r="I142" s="153">
        <f t="shared" si="40"/>
        <v>0</v>
      </c>
      <c r="J142" s="12"/>
      <c r="K142" s="19">
        <f>+SUMIFS('2024 Lighting Rates'!B:B,'2024 Lighting Rates'!A:A,A142)</f>
        <v>24.17</v>
      </c>
      <c r="L142" s="19">
        <f>+SUMIFS('2024 Lighting Rates'!C:C,'2024 Lighting Rates'!A:A,A142)</f>
        <v>1.38</v>
      </c>
      <c r="M142" s="27">
        <f t="shared" si="41"/>
        <v>25.55</v>
      </c>
      <c r="N142" s="11">
        <f t="shared" si="42"/>
        <v>0</v>
      </c>
      <c r="O142" s="12"/>
      <c r="P142" s="27">
        <f t="shared" si="43"/>
        <v>24.17</v>
      </c>
      <c r="Q142" s="27">
        <f t="shared" si="44"/>
        <v>1.38</v>
      </c>
      <c r="R142" s="27">
        <f t="shared" si="45"/>
        <v>25.55</v>
      </c>
      <c r="S142" s="162">
        <f t="shared" si="46"/>
        <v>0</v>
      </c>
      <c r="T142" s="188">
        <f t="shared" si="47"/>
        <v>0</v>
      </c>
    </row>
    <row r="143" spans="1:20" ht="17.100000000000001" customHeight="1" x14ac:dyDescent="0.25">
      <c r="A143" s="320">
        <v>855</v>
      </c>
      <c r="B143" s="320"/>
      <c r="D143" s="233">
        <v>28</v>
      </c>
      <c r="E143" s="334" t="s">
        <v>1301</v>
      </c>
      <c r="F143" s="311" t="s">
        <v>1274</v>
      </c>
      <c r="G143" s="12">
        <f>+SUMIFS('2025 Lighting BDs'!C:C,'2025 Lighting BDs'!B:B,'E-13d'!A143)</f>
        <v>0</v>
      </c>
      <c r="H143" s="12">
        <v>11</v>
      </c>
      <c r="I143" s="153">
        <f t="shared" si="40"/>
        <v>0</v>
      </c>
      <c r="J143" s="12"/>
      <c r="K143" s="19">
        <f>+SUMIFS('2024 Lighting Rates'!B:B,'2024 Lighting Rates'!A:A,A143)</f>
        <v>23.77</v>
      </c>
      <c r="L143" s="19">
        <f>+SUMIFS('2024 Lighting Rates'!C:C,'2024 Lighting Rates'!A:A,A143)</f>
        <v>2.2799999999999998</v>
      </c>
      <c r="M143" s="27">
        <f t="shared" si="41"/>
        <v>26.05</v>
      </c>
      <c r="N143" s="11">
        <f t="shared" si="42"/>
        <v>0</v>
      </c>
      <c r="O143" s="12"/>
      <c r="P143" s="27">
        <f t="shared" si="43"/>
        <v>23.77</v>
      </c>
      <c r="Q143" s="27">
        <f t="shared" si="44"/>
        <v>2.2799999999999998</v>
      </c>
      <c r="R143" s="27">
        <f t="shared" si="45"/>
        <v>26.05</v>
      </c>
      <c r="S143" s="162">
        <f t="shared" si="46"/>
        <v>0</v>
      </c>
      <c r="T143" s="188">
        <f t="shared" si="47"/>
        <v>0</v>
      </c>
    </row>
    <row r="144" spans="1:20" ht="17.100000000000001" customHeight="1" x14ac:dyDescent="0.25">
      <c r="A144" s="320">
        <v>844</v>
      </c>
      <c r="B144" s="320"/>
      <c r="D144" s="233">
        <v>29</v>
      </c>
      <c r="E144" s="334" t="s">
        <v>1302</v>
      </c>
      <c r="F144" s="311" t="s">
        <v>1276</v>
      </c>
      <c r="G144" s="12">
        <f>+SUMIFS('2025 Lighting BDs'!C:C,'2025 Lighting BDs'!B:B,'E-13d'!A144)</f>
        <v>47</v>
      </c>
      <c r="H144" s="12">
        <v>12</v>
      </c>
      <c r="I144" s="12">
        <f t="shared" si="40"/>
        <v>564</v>
      </c>
      <c r="J144" s="12"/>
      <c r="K144" s="19">
        <f>+SUMIFS('2024 Lighting Rates'!B:B,'2024 Lighting Rates'!A:A,A144)</f>
        <v>28.02</v>
      </c>
      <c r="L144" s="19">
        <f>+SUMIFS('2024 Lighting Rates'!C:C,'2024 Lighting Rates'!A:A,A144)</f>
        <v>1.54</v>
      </c>
      <c r="M144" s="27">
        <f t="shared" si="41"/>
        <v>29.56</v>
      </c>
      <c r="N144" s="11">
        <f t="shared" si="42"/>
        <v>1389.32</v>
      </c>
      <c r="O144" s="12"/>
      <c r="P144" s="27">
        <f t="shared" si="43"/>
        <v>28.02</v>
      </c>
      <c r="Q144" s="27">
        <f t="shared" si="44"/>
        <v>1.54</v>
      </c>
      <c r="R144" s="27">
        <f t="shared" si="45"/>
        <v>29.56</v>
      </c>
      <c r="S144" s="162">
        <f t="shared" si="46"/>
        <v>1389.32</v>
      </c>
      <c r="T144" s="188">
        <f t="shared" si="47"/>
        <v>0</v>
      </c>
    </row>
    <row r="145" spans="1:20" ht="17.100000000000001" customHeight="1" x14ac:dyDescent="0.25">
      <c r="A145" s="320">
        <v>845</v>
      </c>
      <c r="B145" s="320"/>
      <c r="D145" s="233">
        <v>30</v>
      </c>
      <c r="E145" s="334" t="s">
        <v>1303</v>
      </c>
      <c r="F145" s="311" t="s">
        <v>1278</v>
      </c>
      <c r="G145" s="12">
        <f>+SUMIFS('2025 Lighting BDs'!C:C,'2025 Lighting BDs'!B:B,'E-13d'!A145)</f>
        <v>0</v>
      </c>
      <c r="H145" s="12">
        <v>17</v>
      </c>
      <c r="I145" s="153">
        <f t="shared" si="40"/>
        <v>0</v>
      </c>
      <c r="J145" s="12"/>
      <c r="K145" s="19">
        <f>+SUMIFS('2024 Lighting Rates'!B:B,'2024 Lighting Rates'!A:A,A145)</f>
        <v>29.51</v>
      </c>
      <c r="L145" s="19">
        <f>+SUMIFS('2024 Lighting Rates'!C:C,'2024 Lighting Rates'!A:A,A145)</f>
        <v>1.56</v>
      </c>
      <c r="M145" s="27">
        <f t="shared" si="41"/>
        <v>31.07</v>
      </c>
      <c r="N145" s="11">
        <f t="shared" si="42"/>
        <v>0</v>
      </c>
      <c r="O145" s="12"/>
      <c r="P145" s="27">
        <f t="shared" si="43"/>
        <v>29.51</v>
      </c>
      <c r="Q145" s="27">
        <f t="shared" si="44"/>
        <v>1.56</v>
      </c>
      <c r="R145" s="27">
        <f t="shared" si="45"/>
        <v>31.07</v>
      </c>
      <c r="S145" s="162">
        <f t="shared" si="46"/>
        <v>0</v>
      </c>
      <c r="T145" s="188">
        <f t="shared" si="47"/>
        <v>0</v>
      </c>
    </row>
    <row r="146" spans="1:20" ht="17.100000000000001" customHeight="1" x14ac:dyDescent="0.25">
      <c r="A146" s="320">
        <v>856</v>
      </c>
      <c r="B146" s="320"/>
      <c r="D146" s="233">
        <v>31</v>
      </c>
      <c r="E146" s="334" t="s">
        <v>1304</v>
      </c>
      <c r="F146" s="311" t="s">
        <v>1181</v>
      </c>
      <c r="G146" s="12">
        <f>+SUMIFS('2025 Lighting BDs'!C:C,'2025 Lighting BDs'!B:B,'E-13d'!A146)</f>
        <v>0</v>
      </c>
      <c r="H146" s="12">
        <v>18</v>
      </c>
      <c r="I146" s="153">
        <f t="shared" si="40"/>
        <v>0</v>
      </c>
      <c r="J146" s="12"/>
      <c r="K146" s="19">
        <f>+SUMIFS('2024 Lighting Rates'!B:B,'2024 Lighting Rates'!A:A,A146)</f>
        <v>24.02</v>
      </c>
      <c r="L146" s="19">
        <f>+SUMIFS('2024 Lighting Rates'!C:C,'2024 Lighting Rates'!A:A,A146)</f>
        <v>2.2799999999999998</v>
      </c>
      <c r="M146" s="27">
        <f t="shared" si="41"/>
        <v>26.3</v>
      </c>
      <c r="N146" s="11">
        <f t="shared" si="42"/>
        <v>0</v>
      </c>
      <c r="O146" s="12"/>
      <c r="P146" s="27">
        <f t="shared" si="43"/>
        <v>24.02</v>
      </c>
      <c r="Q146" s="27">
        <f t="shared" si="44"/>
        <v>2.2799999999999998</v>
      </c>
      <c r="R146" s="27">
        <f t="shared" si="45"/>
        <v>26.3</v>
      </c>
      <c r="S146" s="162">
        <f t="shared" si="46"/>
        <v>0</v>
      </c>
      <c r="T146" s="188">
        <f t="shared" si="47"/>
        <v>0</v>
      </c>
    </row>
    <row r="147" spans="1:20" ht="17.100000000000001" customHeight="1" x14ac:dyDescent="0.25">
      <c r="A147" s="320">
        <v>850</v>
      </c>
      <c r="B147" s="320"/>
      <c r="D147" s="233">
        <v>32</v>
      </c>
      <c r="E147" s="334" t="s">
        <v>1305</v>
      </c>
      <c r="F147" s="311" t="s">
        <v>1281</v>
      </c>
      <c r="G147" s="12">
        <f>+SUMIFS('2025 Lighting BDs'!C:C,'2025 Lighting BDs'!B:B,'E-13d'!A147)</f>
        <v>0</v>
      </c>
      <c r="H147" s="12">
        <v>27</v>
      </c>
      <c r="I147" s="153">
        <f t="shared" si="40"/>
        <v>0</v>
      </c>
      <c r="J147" s="12"/>
      <c r="K147" s="19">
        <f>+SUMIFS('2024 Lighting Rates'!B:B,'2024 Lighting Rates'!A:A,A147)</f>
        <v>21.37</v>
      </c>
      <c r="L147" s="19">
        <f>+SUMIFS('2024 Lighting Rates'!C:C,'2024 Lighting Rates'!A:A,A147)</f>
        <v>2.5099999999999998</v>
      </c>
      <c r="M147" s="27">
        <f t="shared" si="41"/>
        <v>23.880000000000003</v>
      </c>
      <c r="N147" s="11">
        <f t="shared" si="42"/>
        <v>0</v>
      </c>
      <c r="O147" s="12"/>
      <c r="P147" s="27">
        <f t="shared" si="43"/>
        <v>21.37</v>
      </c>
      <c r="Q147" s="27">
        <f t="shared" si="44"/>
        <v>2.5099999999999998</v>
      </c>
      <c r="R147" s="27">
        <f t="shared" si="45"/>
        <v>23.880000000000003</v>
      </c>
      <c r="S147" s="162">
        <f t="shared" si="46"/>
        <v>0</v>
      </c>
      <c r="T147" s="188">
        <f t="shared" si="47"/>
        <v>0</v>
      </c>
    </row>
    <row r="148" spans="1:20" ht="17.100000000000001" customHeight="1" x14ac:dyDescent="0.25">
      <c r="A148" s="320">
        <v>846</v>
      </c>
      <c r="B148" s="320"/>
      <c r="D148" s="233">
        <v>33</v>
      </c>
      <c r="E148" s="334" t="s">
        <v>1306</v>
      </c>
      <c r="F148" s="311" t="s">
        <v>1283</v>
      </c>
      <c r="G148" s="12">
        <f>+SUMIFS('2025 Lighting BDs'!C:C,'2025 Lighting BDs'!B:B,'E-13d'!A148)</f>
        <v>154</v>
      </c>
      <c r="H148" s="12">
        <v>35</v>
      </c>
      <c r="I148" s="12">
        <f t="shared" si="40"/>
        <v>5390</v>
      </c>
      <c r="J148" s="12"/>
      <c r="K148" s="19">
        <f>+SUMIFS('2024 Lighting Rates'!B:B,'2024 Lighting Rates'!A:A,A148)</f>
        <v>27.49</v>
      </c>
      <c r="L148" s="19">
        <f>+SUMIFS('2024 Lighting Rates'!C:C,'2024 Lighting Rates'!A:A,A148)</f>
        <v>1.41</v>
      </c>
      <c r="M148" s="27">
        <f t="shared" si="41"/>
        <v>28.9</v>
      </c>
      <c r="N148" s="11">
        <f t="shared" si="42"/>
        <v>4450.5999999999995</v>
      </c>
      <c r="O148" s="12"/>
      <c r="P148" s="27">
        <f t="shared" si="43"/>
        <v>27.49</v>
      </c>
      <c r="Q148" s="27">
        <f t="shared" si="44"/>
        <v>1.41</v>
      </c>
      <c r="R148" s="27">
        <f t="shared" si="45"/>
        <v>28.9</v>
      </c>
      <c r="S148" s="162">
        <f t="shared" si="46"/>
        <v>4450.5999999999995</v>
      </c>
      <c r="T148" s="188">
        <f t="shared" si="47"/>
        <v>0</v>
      </c>
    </row>
    <row r="149" spans="1:20" ht="17.100000000000001" customHeight="1" x14ac:dyDescent="0.25">
      <c r="A149" s="320">
        <v>847</v>
      </c>
      <c r="B149" s="320"/>
      <c r="D149" s="233">
        <v>34</v>
      </c>
      <c r="E149" s="334" t="s">
        <v>1307</v>
      </c>
      <c r="F149" s="311" t="s">
        <v>1285</v>
      </c>
      <c r="G149" s="12">
        <f>+SUMIFS('2025 Lighting BDs'!C:C,'2025 Lighting BDs'!B:B,'E-13d'!A149)</f>
        <v>12</v>
      </c>
      <c r="H149" s="12">
        <v>54</v>
      </c>
      <c r="I149" s="12">
        <f t="shared" si="40"/>
        <v>648</v>
      </c>
      <c r="J149" s="12"/>
      <c r="K149" s="19">
        <f>+SUMIFS('2024 Lighting Rates'!B:B,'2024 Lighting Rates'!A:A,A149)</f>
        <v>29.65</v>
      </c>
      <c r="L149" s="19">
        <f>+SUMIFS('2024 Lighting Rates'!C:C,'2024 Lighting Rates'!A:A,A149)</f>
        <v>1.55</v>
      </c>
      <c r="M149" s="27">
        <f t="shared" si="41"/>
        <v>31.2</v>
      </c>
      <c r="N149" s="11">
        <f t="shared" si="42"/>
        <v>374.4</v>
      </c>
      <c r="O149" s="12"/>
      <c r="P149" s="27">
        <f t="shared" si="43"/>
        <v>29.65</v>
      </c>
      <c r="Q149" s="27">
        <f t="shared" si="44"/>
        <v>1.55</v>
      </c>
      <c r="R149" s="27">
        <f t="shared" si="45"/>
        <v>31.2</v>
      </c>
      <c r="S149" s="162">
        <f t="shared" si="46"/>
        <v>374.4</v>
      </c>
      <c r="T149" s="188">
        <f t="shared" si="47"/>
        <v>0</v>
      </c>
    </row>
    <row r="150" spans="1:20" ht="17.100000000000001" customHeight="1" x14ac:dyDescent="0.25">
      <c r="A150" s="320">
        <v>851</v>
      </c>
      <c r="B150" s="320"/>
      <c r="D150" s="233">
        <v>35</v>
      </c>
      <c r="E150" s="334" t="s">
        <v>1308</v>
      </c>
      <c r="F150" s="311" t="s">
        <v>1287</v>
      </c>
      <c r="G150" s="12">
        <f>+SUMIFS('2025 Lighting BDs'!C:C,'2025 Lighting BDs'!B:B,'E-13d'!A150)</f>
        <v>0</v>
      </c>
      <c r="H150" s="12">
        <v>42</v>
      </c>
      <c r="I150" s="153">
        <f t="shared" si="40"/>
        <v>0</v>
      </c>
      <c r="J150" s="12"/>
      <c r="K150" s="19">
        <f>+SUMIFS('2024 Lighting Rates'!B:B,'2024 Lighting Rates'!A:A,A150)</f>
        <v>22.88</v>
      </c>
      <c r="L150" s="19">
        <f>+SUMIFS('2024 Lighting Rates'!C:C,'2024 Lighting Rates'!A:A,A150)</f>
        <v>3.45</v>
      </c>
      <c r="M150" s="27">
        <f t="shared" si="41"/>
        <v>26.33</v>
      </c>
      <c r="N150" s="11">
        <f t="shared" si="42"/>
        <v>0</v>
      </c>
      <c r="O150" s="12"/>
      <c r="P150" s="27">
        <f t="shared" si="43"/>
        <v>22.88</v>
      </c>
      <c r="Q150" s="27">
        <f t="shared" si="44"/>
        <v>3.45</v>
      </c>
      <c r="R150" s="27">
        <f t="shared" si="45"/>
        <v>26.33</v>
      </c>
      <c r="S150" s="162">
        <f t="shared" si="46"/>
        <v>0</v>
      </c>
      <c r="T150" s="188">
        <f t="shared" si="47"/>
        <v>0</v>
      </c>
    </row>
    <row r="151" spans="1:20" ht="17.100000000000001" customHeight="1" x14ac:dyDescent="0.25">
      <c r="A151" s="320">
        <v>852</v>
      </c>
      <c r="B151" s="320"/>
      <c r="D151" s="233">
        <v>36</v>
      </c>
      <c r="E151" s="334" t="s">
        <v>1309</v>
      </c>
      <c r="F151" s="311" t="s">
        <v>1289</v>
      </c>
      <c r="G151" s="12">
        <f>+SUMIFS('2025 Lighting BDs'!C:C,'2025 Lighting BDs'!B:B,'E-13d'!A151)</f>
        <v>0</v>
      </c>
      <c r="H151" s="12">
        <v>63</v>
      </c>
      <c r="I151" s="153">
        <f t="shared" si="40"/>
        <v>0</v>
      </c>
      <c r="J151" s="12"/>
      <c r="K151" s="19">
        <f>+SUMIFS('2024 Lighting Rates'!B:B,'2024 Lighting Rates'!A:A,A151)</f>
        <v>27.56</v>
      </c>
      <c r="L151" s="19">
        <f>+SUMIFS('2024 Lighting Rates'!C:C,'2024 Lighting Rates'!A:A,A151)</f>
        <v>4.0999999999999996</v>
      </c>
      <c r="M151" s="27">
        <f t="shared" si="41"/>
        <v>31.659999999999997</v>
      </c>
      <c r="N151" s="11">
        <f t="shared" si="42"/>
        <v>0</v>
      </c>
      <c r="O151" s="12"/>
      <c r="P151" s="27">
        <f t="shared" si="43"/>
        <v>27.56</v>
      </c>
      <c r="Q151" s="27">
        <f t="shared" si="44"/>
        <v>4.0999999999999996</v>
      </c>
      <c r="R151" s="27">
        <f t="shared" si="45"/>
        <v>31.659999999999997</v>
      </c>
      <c r="S151" s="162">
        <f t="shared" si="46"/>
        <v>0</v>
      </c>
      <c r="T151" s="188">
        <f t="shared" si="47"/>
        <v>0</v>
      </c>
    </row>
    <row r="152" spans="1:20" ht="17.100000000000001" customHeight="1" x14ac:dyDescent="0.25">
      <c r="A152" s="320">
        <v>853</v>
      </c>
      <c r="B152" s="320"/>
      <c r="D152" s="233">
        <v>37</v>
      </c>
      <c r="E152" s="334" t="s">
        <v>1310</v>
      </c>
      <c r="F152" s="311" t="s">
        <v>1291</v>
      </c>
      <c r="G152" s="12">
        <f>+SUMIFS('2025 Lighting BDs'!C:C,'2025 Lighting BDs'!B:B,'E-13d'!A152)</f>
        <v>0</v>
      </c>
      <c r="H152" s="12">
        <v>43</v>
      </c>
      <c r="I152" s="153">
        <f t="shared" si="40"/>
        <v>0</v>
      </c>
      <c r="J152" s="12"/>
      <c r="K152" s="19">
        <f>+SUMIFS('2024 Lighting Rates'!B:B,'2024 Lighting Rates'!A:A,A152)</f>
        <v>21.16</v>
      </c>
      <c r="L152" s="19">
        <f>+SUMIFS('2024 Lighting Rates'!C:C,'2024 Lighting Rates'!A:A,A152)</f>
        <v>3.04</v>
      </c>
      <c r="M152" s="27">
        <f t="shared" si="41"/>
        <v>24.2</v>
      </c>
      <c r="N152" s="11">
        <f t="shared" si="42"/>
        <v>0</v>
      </c>
      <c r="O152" s="12"/>
      <c r="P152" s="27">
        <f t="shared" si="43"/>
        <v>21.16</v>
      </c>
      <c r="Q152" s="27">
        <f t="shared" si="44"/>
        <v>3.04</v>
      </c>
      <c r="R152" s="27">
        <f t="shared" si="45"/>
        <v>24.2</v>
      </c>
      <c r="S152" s="162">
        <f t="shared" si="46"/>
        <v>0</v>
      </c>
      <c r="T152" s="188">
        <f t="shared" si="47"/>
        <v>0</v>
      </c>
    </row>
    <row r="153" spans="1:20" ht="17.100000000000001" customHeight="1" x14ac:dyDescent="0.25">
      <c r="A153" s="320">
        <v>854</v>
      </c>
      <c r="B153" s="320"/>
      <c r="D153" s="233">
        <v>38</v>
      </c>
      <c r="E153" s="334" t="s">
        <v>1311</v>
      </c>
      <c r="F153" s="311" t="s">
        <v>1293</v>
      </c>
      <c r="G153" s="12">
        <f>+SUMIFS('2025 Lighting BDs'!C:C,'2025 Lighting BDs'!B:B,'E-13d'!A153)</f>
        <v>0</v>
      </c>
      <c r="H153" s="12">
        <v>57</v>
      </c>
      <c r="I153" s="153">
        <f t="shared" si="40"/>
        <v>0</v>
      </c>
      <c r="J153" s="12"/>
      <c r="K153" s="19">
        <f>+SUMIFS('2024 Lighting Rates'!B:B,'2024 Lighting Rates'!A:A,A153)</f>
        <v>23.47</v>
      </c>
      <c r="L153" s="19">
        <f>+SUMIFS('2024 Lighting Rates'!C:C,'2024 Lighting Rates'!A:A,A153)</f>
        <v>3.6</v>
      </c>
      <c r="M153" s="192">
        <f t="shared" ref="M153" si="48">M134</f>
        <v>27.07</v>
      </c>
      <c r="N153" s="11">
        <f t="shared" si="42"/>
        <v>0</v>
      </c>
      <c r="O153" s="12"/>
      <c r="P153" s="27">
        <f t="shared" si="43"/>
        <v>23.47</v>
      </c>
      <c r="Q153" s="27">
        <f t="shared" si="44"/>
        <v>3.6</v>
      </c>
      <c r="R153" s="27">
        <f t="shared" si="45"/>
        <v>27.07</v>
      </c>
      <c r="S153" s="162">
        <f t="shared" si="46"/>
        <v>0</v>
      </c>
      <c r="T153" s="188">
        <f t="shared" si="47"/>
        <v>0</v>
      </c>
    </row>
    <row r="154" spans="1:20" ht="17.100000000000001" customHeight="1" x14ac:dyDescent="0.25">
      <c r="A154" s="320"/>
      <c r="B154" s="320"/>
      <c r="D154" s="233">
        <v>39</v>
      </c>
      <c r="E154" s="334"/>
      <c r="F154" s="311"/>
      <c r="G154" s="335"/>
      <c r="H154" s="12"/>
      <c r="I154" s="153"/>
      <c r="J154" s="12"/>
      <c r="K154" s="19"/>
      <c r="L154" s="19"/>
      <c r="M154" s="192"/>
      <c r="N154" s="323">
        <f>SUM(N137:N153)</f>
        <v>7203.6899999999987</v>
      </c>
      <c r="O154" s="12"/>
      <c r="P154" s="27"/>
      <c r="Q154" s="27"/>
      <c r="R154" s="27"/>
      <c r="S154" s="323">
        <f>SUM(S137:S153)</f>
        <v>7203.6899999999987</v>
      </c>
      <c r="T154" s="188">
        <f t="shared" si="47"/>
        <v>0</v>
      </c>
    </row>
    <row r="155" spans="1:20" ht="17.100000000000001" customHeight="1" thickBot="1" x14ac:dyDescent="0.3">
      <c r="A155" s="320"/>
      <c r="B155" s="320"/>
      <c r="D155" s="306">
        <v>40</v>
      </c>
      <c r="E155" s="336"/>
      <c r="F155" s="326"/>
      <c r="G155" s="337"/>
      <c r="H155" s="79"/>
      <c r="I155" s="193"/>
      <c r="J155" s="79"/>
      <c r="K155" s="194"/>
      <c r="L155" s="194"/>
      <c r="M155" s="195"/>
      <c r="N155" s="338"/>
      <c r="O155" s="79"/>
      <c r="P155" s="194"/>
      <c r="Q155" s="194"/>
      <c r="R155" s="194"/>
      <c r="S155" s="338"/>
      <c r="T155" s="326" t="s">
        <v>1312</v>
      </c>
    </row>
    <row r="156" spans="1:20" ht="17.100000000000001" customHeight="1" x14ac:dyDescent="0.25">
      <c r="A156" s="320"/>
      <c r="B156" s="320"/>
      <c r="D156" s="233" t="s">
        <v>1219</v>
      </c>
      <c r="E156" s="233"/>
      <c r="F156" s="233"/>
      <c r="G156" s="233"/>
      <c r="H156" s="233"/>
      <c r="I156" s="233"/>
      <c r="J156" s="233"/>
      <c r="K156" s="233"/>
      <c r="L156" s="233"/>
      <c r="M156" s="233"/>
      <c r="N156" s="323"/>
      <c r="O156" s="11"/>
      <c r="P156" s="233"/>
      <c r="Q156" s="233"/>
      <c r="R156" s="233" t="s">
        <v>1220</v>
      </c>
      <c r="S156" s="323"/>
      <c r="T156" s="311"/>
    </row>
    <row r="157" spans="1:20" ht="17.100000000000001" customHeight="1" thickBot="1" x14ac:dyDescent="0.3">
      <c r="A157" s="320"/>
      <c r="B157" s="320"/>
      <c r="D157" s="306" t="s">
        <v>1159</v>
      </c>
      <c r="E157" s="306"/>
      <c r="F157" s="306"/>
      <c r="G157" s="306"/>
      <c r="H157" s="306"/>
      <c r="I157" s="306" t="s">
        <v>1160</v>
      </c>
      <c r="J157" s="306"/>
      <c r="K157" s="306"/>
      <c r="L157" s="306"/>
      <c r="M157" s="306"/>
      <c r="N157" s="306"/>
      <c r="O157" s="156"/>
      <c r="P157" s="338"/>
      <c r="Q157" s="306"/>
      <c r="R157" s="306"/>
      <c r="S157" s="306"/>
      <c r="T157" s="306" t="s">
        <v>1313</v>
      </c>
    </row>
    <row r="158" spans="1:20" ht="17.100000000000001" customHeight="1" x14ac:dyDescent="0.25">
      <c r="A158" s="320"/>
      <c r="B158" s="320"/>
      <c r="D158" s="233" t="s">
        <v>307</v>
      </c>
      <c r="E158" s="233"/>
      <c r="F158" s="233"/>
      <c r="G158" s="311"/>
      <c r="H158" s="233"/>
      <c r="I158" s="311" t="s">
        <v>1222</v>
      </c>
      <c r="J158" s="233" t="s">
        <v>1491</v>
      </c>
      <c r="K158" s="233"/>
      <c r="L158" s="309"/>
      <c r="M158" s="309"/>
      <c r="N158" s="233"/>
      <c r="O158" s="233"/>
      <c r="P158" s="309"/>
      <c r="Q158" s="309" t="s">
        <v>309</v>
      </c>
      <c r="R158" s="233"/>
      <c r="S158" s="233"/>
      <c r="T158" s="310"/>
    </row>
    <row r="159" spans="1:20" ht="17.100000000000001" customHeight="1" x14ac:dyDescent="0.25">
      <c r="A159" s="320"/>
      <c r="B159" s="320"/>
      <c r="D159" s="233"/>
      <c r="E159" s="233"/>
      <c r="F159" s="233"/>
      <c r="G159" s="233"/>
      <c r="H159" s="233"/>
      <c r="I159" s="233"/>
      <c r="J159" s="233" t="s">
        <v>1492</v>
      </c>
      <c r="K159" s="233"/>
      <c r="L159" s="311"/>
      <c r="M159" s="310"/>
      <c r="N159" s="233"/>
      <c r="O159" s="233"/>
      <c r="P159" s="233"/>
      <c r="Q159" s="312"/>
      <c r="R159" s="311" t="s">
        <v>919</v>
      </c>
      <c r="S159" s="310" t="s">
        <v>920</v>
      </c>
      <c r="T159" s="311"/>
    </row>
    <row r="160" spans="1:20" ht="17.100000000000001" customHeight="1" x14ac:dyDescent="0.25">
      <c r="A160" s="320"/>
      <c r="B160" s="320"/>
      <c r="D160" s="233" t="s">
        <v>310</v>
      </c>
      <c r="E160" s="233"/>
      <c r="F160" s="233"/>
      <c r="G160" s="233"/>
      <c r="H160" s="233"/>
      <c r="I160" s="233"/>
      <c r="J160" s="233" t="s">
        <v>1493</v>
      </c>
      <c r="K160" s="233"/>
      <c r="L160" s="311"/>
      <c r="M160" s="310"/>
      <c r="N160" s="311"/>
      <c r="O160" s="311"/>
      <c r="P160" s="233"/>
      <c r="Q160" s="311"/>
      <c r="R160" s="311"/>
      <c r="S160" s="310" t="s">
        <v>937</v>
      </c>
      <c r="T160" s="311"/>
    </row>
    <row r="161" spans="1:20" ht="17.100000000000001" customHeight="1" x14ac:dyDescent="0.25">
      <c r="A161" s="320"/>
      <c r="B161" s="320"/>
      <c r="D161" s="233"/>
      <c r="E161" s="233"/>
      <c r="F161" s="233"/>
      <c r="G161" s="233"/>
      <c r="H161" s="233"/>
      <c r="I161" s="233"/>
      <c r="J161" s="233" t="s">
        <v>1494</v>
      </c>
      <c r="K161" s="233"/>
      <c r="L161" s="311"/>
      <c r="M161" s="310"/>
      <c r="N161" s="311"/>
      <c r="O161" s="311"/>
      <c r="P161" s="233"/>
      <c r="Q161" s="311"/>
      <c r="R161" s="311"/>
      <c r="S161" s="310" t="s">
        <v>938</v>
      </c>
      <c r="T161" s="311"/>
    </row>
    <row r="162" spans="1:20" ht="17.100000000000001" customHeight="1" thickBot="1" x14ac:dyDescent="0.3">
      <c r="A162" s="320"/>
      <c r="B162" s="320"/>
      <c r="D162" s="306" t="str">
        <f>+$D$6</f>
        <v>DOCKET No. 20240026-EI</v>
      </c>
      <c r="E162" s="306"/>
      <c r="F162" s="306"/>
      <c r="G162" s="306"/>
      <c r="H162" s="306" t="s">
        <v>1314</v>
      </c>
      <c r="I162" s="306"/>
      <c r="J162" s="306"/>
      <c r="K162" s="314"/>
      <c r="L162" s="306"/>
      <c r="M162" s="306"/>
      <c r="N162" s="306"/>
      <c r="O162" s="306"/>
      <c r="P162" s="306"/>
      <c r="Q162" s="306"/>
      <c r="R162" s="233"/>
      <c r="S162" s="233" t="s">
        <v>311</v>
      </c>
      <c r="T162" s="306"/>
    </row>
    <row r="163" spans="1:20" ht="17.100000000000001" customHeight="1" x14ac:dyDescent="0.25">
      <c r="A163" s="320"/>
      <c r="B163" s="320"/>
      <c r="D163" s="315"/>
      <c r="E163" s="595" t="s">
        <v>1163</v>
      </c>
      <c r="F163" s="595"/>
      <c r="G163" s="595"/>
      <c r="H163" s="595"/>
      <c r="I163" s="595"/>
      <c r="J163" s="595"/>
      <c r="K163" s="595"/>
      <c r="L163" s="595"/>
      <c r="M163" s="595"/>
      <c r="N163" s="595"/>
      <c r="O163" s="595"/>
      <c r="P163" s="595"/>
      <c r="Q163" s="595"/>
      <c r="R163" s="595"/>
      <c r="S163" s="595"/>
      <c r="T163" s="595"/>
    </row>
    <row r="164" spans="1:20" ht="17.100000000000001" customHeight="1" x14ac:dyDescent="0.25">
      <c r="A164" s="320"/>
      <c r="B164" s="320"/>
      <c r="D164" s="233"/>
      <c r="E164" s="226"/>
      <c r="F164" s="317"/>
      <c r="G164" s="317"/>
      <c r="H164" s="317"/>
      <c r="I164" s="317"/>
      <c r="J164" s="317"/>
      <c r="K164" s="596" t="s">
        <v>1164</v>
      </c>
      <c r="L164" s="596"/>
      <c r="M164" s="596"/>
      <c r="N164" s="596"/>
      <c r="O164" s="317"/>
      <c r="P164" s="596" t="s">
        <v>873</v>
      </c>
      <c r="Q164" s="596"/>
      <c r="R164" s="596"/>
      <c r="S164" s="596"/>
      <c r="T164" s="317"/>
    </row>
    <row r="165" spans="1:20" ht="17.100000000000001" customHeight="1" x14ac:dyDescent="0.25">
      <c r="A165" s="320"/>
      <c r="B165" s="320"/>
      <c r="D165" s="233"/>
      <c r="E165" s="226"/>
      <c r="F165" s="317"/>
      <c r="G165" s="226" t="s">
        <v>1165</v>
      </c>
      <c r="H165" s="317" t="s">
        <v>1166</v>
      </c>
      <c r="I165" s="226"/>
      <c r="J165" s="226"/>
      <c r="K165" s="226" t="s">
        <v>1167</v>
      </c>
      <c r="L165" s="226" t="s">
        <v>1167</v>
      </c>
      <c r="M165" s="226" t="s">
        <v>1168</v>
      </c>
      <c r="N165" s="317" t="s">
        <v>807</v>
      </c>
      <c r="O165" s="317"/>
      <c r="P165" s="226" t="s">
        <v>1167</v>
      </c>
      <c r="Q165" s="226" t="s">
        <v>1167</v>
      </c>
      <c r="R165" s="226" t="s">
        <v>1168</v>
      </c>
      <c r="S165" s="226" t="s">
        <v>807</v>
      </c>
      <c r="T165" s="226"/>
    </row>
    <row r="166" spans="1:20" ht="17.100000000000001" customHeight="1" x14ac:dyDescent="0.25">
      <c r="A166" s="320"/>
      <c r="B166" s="320"/>
      <c r="D166" s="233" t="s">
        <v>314</v>
      </c>
      <c r="E166" s="226" t="s">
        <v>315</v>
      </c>
      <c r="F166" s="226"/>
      <c r="G166" s="226" t="s">
        <v>1169</v>
      </c>
      <c r="H166" s="226" t="s">
        <v>1167</v>
      </c>
      <c r="I166" s="317" t="s">
        <v>1165</v>
      </c>
      <c r="J166" s="317"/>
      <c r="K166" s="317" t="s">
        <v>1170</v>
      </c>
      <c r="L166" s="317" t="s">
        <v>1171</v>
      </c>
      <c r="M166" s="317" t="s">
        <v>1167</v>
      </c>
      <c r="N166" s="226" t="s">
        <v>336</v>
      </c>
      <c r="O166" s="226"/>
      <c r="P166" s="317" t="s">
        <v>1170</v>
      </c>
      <c r="Q166" s="317" t="s">
        <v>1171</v>
      </c>
      <c r="R166" s="317" t="s">
        <v>1167</v>
      </c>
      <c r="S166" s="317" t="s">
        <v>336</v>
      </c>
      <c r="T166" s="317" t="s">
        <v>857</v>
      </c>
    </row>
    <row r="167" spans="1:20" ht="17.100000000000001" customHeight="1" thickBot="1" x14ac:dyDescent="0.3">
      <c r="A167" s="320"/>
      <c r="B167" s="320"/>
      <c r="D167" s="306" t="s">
        <v>320</v>
      </c>
      <c r="E167" s="314" t="s">
        <v>1170</v>
      </c>
      <c r="F167" s="314"/>
      <c r="G167" s="314" t="s">
        <v>1172</v>
      </c>
      <c r="H167" s="314" t="s">
        <v>711</v>
      </c>
      <c r="I167" s="319" t="s">
        <v>711</v>
      </c>
      <c r="J167" s="319"/>
      <c r="K167" s="319" t="s">
        <v>1173</v>
      </c>
      <c r="L167" s="319" t="s">
        <v>1173</v>
      </c>
      <c r="M167" s="319" t="s">
        <v>1173</v>
      </c>
      <c r="N167" s="319" t="s">
        <v>318</v>
      </c>
      <c r="O167" s="319"/>
      <c r="P167" s="319" t="s">
        <v>1173</v>
      </c>
      <c r="Q167" s="319" t="s">
        <v>1173</v>
      </c>
      <c r="R167" s="319" t="s">
        <v>1173</v>
      </c>
      <c r="S167" s="319" t="s">
        <v>318</v>
      </c>
      <c r="T167" s="319" t="s">
        <v>326</v>
      </c>
    </row>
    <row r="168" spans="1:20" ht="17.100000000000001" customHeight="1" x14ac:dyDescent="0.25">
      <c r="A168" s="320"/>
      <c r="B168" s="320"/>
      <c r="D168" s="233">
        <v>1</v>
      </c>
      <c r="E168" s="315" t="s">
        <v>1315</v>
      </c>
      <c r="F168" s="315"/>
      <c r="G168" s="233"/>
      <c r="H168" s="233"/>
      <c r="I168" s="233"/>
      <c r="J168" s="233"/>
      <c r="K168" s="233"/>
      <c r="L168" s="233"/>
      <c r="M168" s="233"/>
      <c r="N168" s="233"/>
      <c r="O168" s="15"/>
      <c r="P168" s="15"/>
      <c r="Q168" s="15"/>
      <c r="R168" s="15"/>
      <c r="S168" s="15"/>
      <c r="T168" s="15"/>
    </row>
    <row r="169" spans="1:20" ht="17.100000000000001" customHeight="1" x14ac:dyDescent="0.25">
      <c r="A169" s="320"/>
      <c r="B169" s="320"/>
      <c r="D169" s="233">
        <v>2</v>
      </c>
      <c r="E169" s="597" t="s">
        <v>1316</v>
      </c>
      <c r="F169" s="597"/>
    </row>
    <row r="170" spans="1:20" ht="17.100000000000001" customHeight="1" x14ac:dyDescent="0.25">
      <c r="A170" s="320">
        <v>912</v>
      </c>
      <c r="B170" s="320"/>
      <c r="D170" s="233">
        <v>3</v>
      </c>
      <c r="E170" s="333" t="s">
        <v>1317</v>
      </c>
      <c r="F170" s="157" t="s">
        <v>1318</v>
      </c>
      <c r="G170" s="12">
        <f>+SUMIFS('2025 Lighting BDs'!C:C,'2025 Lighting BDs'!B:B,'E-13d'!A170)</f>
        <v>193669</v>
      </c>
      <c r="H170" s="12">
        <v>9</v>
      </c>
      <c r="I170" s="12">
        <f t="shared" ref="I170:I190" si="49">+H170*G170</f>
        <v>1743021</v>
      </c>
      <c r="J170" s="233"/>
      <c r="K170" s="19">
        <f>+SUMIFS('2024 Lighting Rates'!B:B,'2024 Lighting Rates'!A:A,A170)</f>
        <v>7.72</v>
      </c>
      <c r="L170" s="19">
        <f>+SUMIFS('2024 Lighting Rates'!C:C,'2024 Lighting Rates'!A:A,A170)</f>
        <v>1.74</v>
      </c>
      <c r="M170" s="27">
        <f t="shared" ref="M170:M190" si="50">+K170+L170</f>
        <v>9.4599999999999991</v>
      </c>
      <c r="N170" s="11">
        <f t="shared" ref="N170:N190" si="51">+M170*G170</f>
        <v>1832108.7399999998</v>
      </c>
      <c r="O170" s="233"/>
      <c r="P170" s="27">
        <f t="shared" ref="P170:P190" si="52">+K170</f>
        <v>7.72</v>
      </c>
      <c r="Q170" s="27">
        <f t="shared" ref="Q170:Q190" si="53">+L170</f>
        <v>1.74</v>
      </c>
      <c r="R170" s="27">
        <f t="shared" ref="R170:R190" si="54">+P170+Q170</f>
        <v>9.4599999999999991</v>
      </c>
      <c r="S170" s="162">
        <f t="shared" ref="S170:S190" si="55">+R170*G170</f>
        <v>1832108.7399999998</v>
      </c>
      <c r="T170" s="188">
        <f t="shared" ref="T170:T191" si="56">IF(S170=0,0,(S170-N170)/N170)</f>
        <v>0</v>
      </c>
    </row>
    <row r="171" spans="1:20" ht="17.100000000000001" customHeight="1" x14ac:dyDescent="0.25">
      <c r="A171" s="320">
        <v>914</v>
      </c>
      <c r="B171" s="320"/>
      <c r="D171" s="233">
        <v>4</v>
      </c>
      <c r="E171" s="334" t="s">
        <v>1319</v>
      </c>
      <c r="F171" s="157" t="s">
        <v>1320</v>
      </c>
      <c r="G171" s="12">
        <f>+SUMIFS('2025 Lighting BDs'!C:C,'2025 Lighting BDs'!B:B,'E-13d'!A171)</f>
        <v>1161670</v>
      </c>
      <c r="H171" s="12">
        <v>16</v>
      </c>
      <c r="I171" s="12">
        <f t="shared" si="49"/>
        <v>18586720</v>
      </c>
      <c r="J171" s="233"/>
      <c r="K171" s="19">
        <f>+SUMIFS('2024 Lighting Rates'!B:B,'2024 Lighting Rates'!A:A,A171)</f>
        <v>7.64</v>
      </c>
      <c r="L171" s="19">
        <f>+SUMIFS('2024 Lighting Rates'!C:C,'2024 Lighting Rates'!A:A,A171)</f>
        <v>1.74</v>
      </c>
      <c r="M171" s="27">
        <f t="shared" si="50"/>
        <v>9.379999999999999</v>
      </c>
      <c r="N171" s="11">
        <f t="shared" si="51"/>
        <v>10896464.6</v>
      </c>
      <c r="O171" s="233"/>
      <c r="P171" s="27">
        <f t="shared" si="52"/>
        <v>7.64</v>
      </c>
      <c r="Q171" s="27">
        <f t="shared" si="53"/>
        <v>1.74</v>
      </c>
      <c r="R171" s="27">
        <f t="shared" si="54"/>
        <v>9.379999999999999</v>
      </c>
      <c r="S171" s="162">
        <f t="shared" si="55"/>
        <v>10896464.6</v>
      </c>
      <c r="T171" s="188">
        <f t="shared" si="56"/>
        <v>0</v>
      </c>
    </row>
    <row r="172" spans="1:20" ht="17.100000000000001" customHeight="1" x14ac:dyDescent="0.25">
      <c r="A172" s="320">
        <v>921</v>
      </c>
      <c r="B172" s="320"/>
      <c r="D172" s="233">
        <v>5</v>
      </c>
      <c r="E172" s="334" t="s">
        <v>1321</v>
      </c>
      <c r="F172" s="157" t="s">
        <v>1322</v>
      </c>
      <c r="G172" s="12">
        <f>+SUMIFS('2025 Lighting BDs'!C:C,'2025 Lighting BDs'!B:B,'E-13d'!A172)</f>
        <v>28917</v>
      </c>
      <c r="H172" s="12">
        <v>31</v>
      </c>
      <c r="I172" s="12">
        <f t="shared" si="49"/>
        <v>896427</v>
      </c>
      <c r="J172" s="233"/>
      <c r="K172" s="19">
        <f>+SUMIFS('2024 Lighting Rates'!B:B,'2024 Lighting Rates'!A:A,A172)</f>
        <v>11.82</v>
      </c>
      <c r="L172" s="19">
        <f>+SUMIFS('2024 Lighting Rates'!C:C,'2024 Lighting Rates'!A:A,A172)</f>
        <v>1.74</v>
      </c>
      <c r="M172" s="27">
        <f t="shared" si="50"/>
        <v>13.56</v>
      </c>
      <c r="N172" s="11">
        <f t="shared" si="51"/>
        <v>392114.52</v>
      </c>
      <c r="O172" s="233"/>
      <c r="P172" s="27">
        <f t="shared" si="52"/>
        <v>11.82</v>
      </c>
      <c r="Q172" s="27">
        <f t="shared" si="53"/>
        <v>1.74</v>
      </c>
      <c r="R172" s="27">
        <f t="shared" si="54"/>
        <v>13.56</v>
      </c>
      <c r="S172" s="162">
        <f t="shared" si="55"/>
        <v>392114.52</v>
      </c>
      <c r="T172" s="188">
        <f t="shared" si="56"/>
        <v>0</v>
      </c>
    </row>
    <row r="173" spans="1:20" ht="17.100000000000001" customHeight="1" x14ac:dyDescent="0.25">
      <c r="A173" s="320">
        <v>926</v>
      </c>
      <c r="B173" s="320"/>
      <c r="D173" s="233">
        <v>6</v>
      </c>
      <c r="E173" s="334" t="s">
        <v>1323</v>
      </c>
      <c r="F173" s="157" t="s">
        <v>1324</v>
      </c>
      <c r="G173" s="12">
        <f>+SUMIFS('2025 Lighting BDs'!C:C,'2025 Lighting BDs'!B:B,'E-13d'!A173)</f>
        <v>195343</v>
      </c>
      <c r="H173" s="12">
        <v>37</v>
      </c>
      <c r="I173" s="12">
        <f t="shared" si="49"/>
        <v>7227691</v>
      </c>
      <c r="K173" s="19">
        <f>+SUMIFS('2024 Lighting Rates'!B:B,'2024 Lighting Rates'!A:A,A173)</f>
        <v>10.85</v>
      </c>
      <c r="L173" s="19">
        <f>+SUMIFS('2024 Lighting Rates'!C:C,'2024 Lighting Rates'!A:A,A173)</f>
        <v>1.19</v>
      </c>
      <c r="M173" s="27">
        <f t="shared" si="50"/>
        <v>12.04</v>
      </c>
      <c r="N173" s="11">
        <f t="shared" si="51"/>
        <v>2351929.7199999997</v>
      </c>
      <c r="P173" s="27">
        <f t="shared" si="52"/>
        <v>10.85</v>
      </c>
      <c r="Q173" s="27">
        <f t="shared" si="53"/>
        <v>1.19</v>
      </c>
      <c r="R173" s="27">
        <f t="shared" si="54"/>
        <v>12.04</v>
      </c>
      <c r="S173" s="162">
        <f t="shared" si="55"/>
        <v>2351929.7199999997</v>
      </c>
      <c r="T173" s="188">
        <f t="shared" si="56"/>
        <v>0</v>
      </c>
    </row>
    <row r="174" spans="1:20" ht="17.100000000000001" customHeight="1" x14ac:dyDescent="0.25">
      <c r="A174" s="320">
        <v>932</v>
      </c>
      <c r="B174" s="320"/>
      <c r="D174" s="233">
        <v>7</v>
      </c>
      <c r="E174" s="334" t="s">
        <v>1325</v>
      </c>
      <c r="F174" s="157" t="s">
        <v>1326</v>
      </c>
      <c r="G174" s="12">
        <f>+SUMIFS('2025 Lighting BDs'!C:C,'2025 Lighting BDs'!B:B,'E-13d'!A174)</f>
        <v>27969</v>
      </c>
      <c r="H174" s="12">
        <v>47</v>
      </c>
      <c r="I174" s="12">
        <f t="shared" si="49"/>
        <v>1314543</v>
      </c>
      <c r="K174" s="19">
        <f>+SUMIFS('2024 Lighting Rates'!B:B,'2024 Lighting Rates'!A:A,A174)</f>
        <v>20.41</v>
      </c>
      <c r="L174" s="19">
        <f>+SUMIFS('2024 Lighting Rates'!C:C,'2024 Lighting Rates'!A:A,A174)</f>
        <v>1.38</v>
      </c>
      <c r="M174" s="27">
        <f t="shared" si="50"/>
        <v>21.79</v>
      </c>
      <c r="N174" s="11">
        <f t="shared" si="51"/>
        <v>609444.51</v>
      </c>
      <c r="P174" s="27">
        <f t="shared" si="52"/>
        <v>20.41</v>
      </c>
      <c r="Q174" s="27">
        <f t="shared" si="53"/>
        <v>1.38</v>
      </c>
      <c r="R174" s="27">
        <f t="shared" si="54"/>
        <v>21.79</v>
      </c>
      <c r="S174" s="162">
        <f t="shared" si="55"/>
        <v>609444.51</v>
      </c>
      <c r="T174" s="188">
        <f t="shared" si="56"/>
        <v>0</v>
      </c>
    </row>
    <row r="175" spans="1:20" ht="17.100000000000001" customHeight="1" x14ac:dyDescent="0.25">
      <c r="A175" s="320">
        <v>935</v>
      </c>
      <c r="B175" s="320"/>
      <c r="D175" s="233">
        <v>8</v>
      </c>
      <c r="E175" s="334" t="s">
        <v>1327</v>
      </c>
      <c r="F175" s="157" t="s">
        <v>1328</v>
      </c>
      <c r="G175" s="12">
        <f>+SUMIFS('2025 Lighting BDs'!C:C,'2025 Lighting BDs'!B:B,'E-13d'!A175)</f>
        <v>1372</v>
      </c>
      <c r="H175" s="12">
        <v>50</v>
      </c>
      <c r="I175" s="12">
        <f t="shared" si="49"/>
        <v>68600</v>
      </c>
      <c r="K175" s="19">
        <f>+SUMIFS('2024 Lighting Rates'!B:B,'2024 Lighting Rates'!A:A,A175)</f>
        <v>15.21</v>
      </c>
      <c r="L175" s="19">
        <f>+SUMIFS('2024 Lighting Rates'!C:C,'2024 Lighting Rates'!A:A,A175)</f>
        <v>1.41</v>
      </c>
      <c r="M175" s="27">
        <f t="shared" si="50"/>
        <v>16.62</v>
      </c>
      <c r="N175" s="11">
        <f t="shared" si="51"/>
        <v>22802.640000000003</v>
      </c>
      <c r="O175" s="331"/>
      <c r="P175" s="27">
        <f t="shared" si="52"/>
        <v>15.21</v>
      </c>
      <c r="Q175" s="27">
        <f t="shared" si="53"/>
        <v>1.41</v>
      </c>
      <c r="R175" s="27">
        <f t="shared" si="54"/>
        <v>16.62</v>
      </c>
      <c r="S175" s="162">
        <f t="shared" si="55"/>
        <v>22802.640000000003</v>
      </c>
      <c r="T175" s="188">
        <f t="shared" si="56"/>
        <v>0</v>
      </c>
    </row>
    <row r="176" spans="1:20" ht="17.100000000000001" customHeight="1" x14ac:dyDescent="0.25">
      <c r="A176" s="320">
        <v>937</v>
      </c>
      <c r="B176" s="320"/>
      <c r="D176" s="233">
        <v>9</v>
      </c>
      <c r="E176" s="334" t="s">
        <v>1329</v>
      </c>
      <c r="F176" s="157" t="s">
        <v>1330</v>
      </c>
      <c r="G176" s="12">
        <f>+SUMIFS('2025 Lighting BDs'!C:C,'2025 Lighting BDs'!B:B,'E-13d'!A176)</f>
        <v>223725</v>
      </c>
      <c r="H176" s="12">
        <v>51</v>
      </c>
      <c r="I176" s="12">
        <f t="shared" si="49"/>
        <v>11409975</v>
      </c>
      <c r="K176" s="19">
        <f>+SUMIFS('2024 Lighting Rates'!B:B,'2024 Lighting Rates'!A:A,A176)</f>
        <v>11.57</v>
      </c>
      <c r="L176" s="19">
        <f>+SUMIFS('2024 Lighting Rates'!C:C,'2024 Lighting Rates'!A:A,A176)</f>
        <v>2.2599999999999998</v>
      </c>
      <c r="M176" s="27">
        <f t="shared" si="50"/>
        <v>13.83</v>
      </c>
      <c r="N176" s="11">
        <f t="shared" si="51"/>
        <v>3094116.75</v>
      </c>
      <c r="P176" s="27">
        <f t="shared" si="52"/>
        <v>11.57</v>
      </c>
      <c r="Q176" s="27">
        <f t="shared" si="53"/>
        <v>2.2599999999999998</v>
      </c>
      <c r="R176" s="27">
        <f t="shared" si="54"/>
        <v>13.83</v>
      </c>
      <c r="S176" s="162">
        <f t="shared" si="55"/>
        <v>3094116.75</v>
      </c>
      <c r="T176" s="188">
        <f t="shared" si="56"/>
        <v>0</v>
      </c>
    </row>
    <row r="177" spans="1:23" ht="17.100000000000001" customHeight="1" x14ac:dyDescent="0.25">
      <c r="A177" s="320">
        <v>941</v>
      </c>
      <c r="B177" s="320"/>
      <c r="D177" s="233">
        <v>10</v>
      </c>
      <c r="E177" s="334" t="s">
        <v>1331</v>
      </c>
      <c r="F177" s="157" t="s">
        <v>1332</v>
      </c>
      <c r="G177" s="12">
        <f>+SUMIFS('2025 Lighting BDs'!C:C,'2025 Lighting BDs'!B:B,'E-13d'!A177)</f>
        <v>184781</v>
      </c>
      <c r="H177" s="12">
        <v>64</v>
      </c>
      <c r="I177" s="12">
        <f t="shared" si="49"/>
        <v>11825984</v>
      </c>
      <c r="K177" s="19">
        <f>+SUMIFS('2024 Lighting Rates'!B:B,'2024 Lighting Rates'!A:A,A177)</f>
        <v>14.74</v>
      </c>
      <c r="L177" s="19">
        <f>+SUMIFS('2024 Lighting Rates'!C:C,'2024 Lighting Rates'!A:A,A177)</f>
        <v>2.5099999999999998</v>
      </c>
      <c r="M177" s="27">
        <f t="shared" si="50"/>
        <v>17.25</v>
      </c>
      <c r="N177" s="11">
        <f t="shared" si="51"/>
        <v>3187472.25</v>
      </c>
      <c r="P177" s="27">
        <f t="shared" si="52"/>
        <v>14.74</v>
      </c>
      <c r="Q177" s="27">
        <f t="shared" si="53"/>
        <v>2.5099999999999998</v>
      </c>
      <c r="R177" s="27">
        <f t="shared" si="54"/>
        <v>17.25</v>
      </c>
      <c r="S177" s="162">
        <f t="shared" si="55"/>
        <v>3187472.25</v>
      </c>
      <c r="T177" s="188">
        <f t="shared" si="56"/>
        <v>0</v>
      </c>
    </row>
    <row r="178" spans="1:23" ht="17.100000000000001" customHeight="1" x14ac:dyDescent="0.25">
      <c r="A178" s="320">
        <v>945</v>
      </c>
      <c r="B178" s="320"/>
      <c r="D178" s="233">
        <v>11</v>
      </c>
      <c r="E178" s="339" t="s">
        <v>1333</v>
      </c>
      <c r="F178" s="157" t="s">
        <v>1334</v>
      </c>
      <c r="G178" s="12">
        <f>+SUMIFS('2025 Lighting BDs'!C:C,'2025 Lighting BDs'!B:B,'E-13d'!A178)</f>
        <v>55509</v>
      </c>
      <c r="H178" s="12">
        <v>86</v>
      </c>
      <c r="I178" s="12">
        <f t="shared" si="49"/>
        <v>4773774</v>
      </c>
      <c r="K178" s="19">
        <f>+SUMIFS('2024 Lighting Rates'!B:B,'2024 Lighting Rates'!A:A,A178)</f>
        <v>21.2</v>
      </c>
      <c r="L178" s="19">
        <f>+SUMIFS('2024 Lighting Rates'!C:C,'2024 Lighting Rates'!A:A,A178)</f>
        <v>2.5099999999999998</v>
      </c>
      <c r="M178" s="27">
        <f t="shared" si="50"/>
        <v>23.71</v>
      </c>
      <c r="N178" s="11">
        <f t="shared" si="51"/>
        <v>1316118.3900000001</v>
      </c>
      <c r="P178" s="27">
        <f t="shared" si="52"/>
        <v>21.2</v>
      </c>
      <c r="Q178" s="27">
        <f t="shared" si="53"/>
        <v>2.5099999999999998</v>
      </c>
      <c r="R178" s="27">
        <f t="shared" si="54"/>
        <v>23.71</v>
      </c>
      <c r="S178" s="162">
        <f t="shared" si="55"/>
        <v>1316118.3900000001</v>
      </c>
      <c r="T178" s="188">
        <f t="shared" si="56"/>
        <v>0</v>
      </c>
    </row>
    <row r="179" spans="1:23" ht="17.100000000000001" customHeight="1" x14ac:dyDescent="0.25">
      <c r="A179" s="320">
        <v>947</v>
      </c>
      <c r="B179" s="320"/>
      <c r="D179" s="233">
        <v>12</v>
      </c>
      <c r="E179" s="339" t="s">
        <v>1335</v>
      </c>
      <c r="F179" s="157" t="s">
        <v>1336</v>
      </c>
      <c r="G179" s="12">
        <f>+SUMIFS('2025 Lighting BDs'!C:C,'2025 Lighting BDs'!B:B,'E-13d'!A179)</f>
        <v>31222</v>
      </c>
      <c r="H179" s="12">
        <v>116</v>
      </c>
      <c r="I179" s="12">
        <f t="shared" si="49"/>
        <v>3621752</v>
      </c>
      <c r="K179" s="19">
        <f>+SUMIFS('2024 Lighting Rates'!B:B,'2024 Lighting Rates'!A:A,A179)</f>
        <v>26.6</v>
      </c>
      <c r="L179" s="19">
        <f>+SUMIFS('2024 Lighting Rates'!C:C,'2024 Lighting Rates'!A:A,A179)</f>
        <v>1.55</v>
      </c>
      <c r="M179" s="27">
        <f t="shared" si="50"/>
        <v>28.150000000000002</v>
      </c>
      <c r="N179" s="11">
        <f t="shared" si="51"/>
        <v>878899.3</v>
      </c>
      <c r="P179" s="27">
        <f t="shared" si="52"/>
        <v>26.6</v>
      </c>
      <c r="Q179" s="27">
        <f t="shared" si="53"/>
        <v>1.55</v>
      </c>
      <c r="R179" s="27">
        <f t="shared" si="54"/>
        <v>28.150000000000002</v>
      </c>
      <c r="S179" s="162">
        <f t="shared" si="55"/>
        <v>878899.3</v>
      </c>
      <c r="T179" s="188">
        <f t="shared" si="56"/>
        <v>0</v>
      </c>
    </row>
    <row r="180" spans="1:23" ht="17.100000000000001" customHeight="1" x14ac:dyDescent="0.25">
      <c r="A180" s="320">
        <v>951</v>
      </c>
      <c r="B180" s="320"/>
      <c r="D180" s="233">
        <v>13</v>
      </c>
      <c r="E180" s="339" t="s">
        <v>1337</v>
      </c>
      <c r="F180" s="157" t="s">
        <v>1338</v>
      </c>
      <c r="G180" s="12">
        <f>+SUMIFS('2025 Lighting BDs'!C:C,'2025 Lighting BDs'!B:B,'E-13d'!A180)</f>
        <v>41702</v>
      </c>
      <c r="H180" s="12">
        <v>70</v>
      </c>
      <c r="I180" s="12">
        <f t="shared" si="49"/>
        <v>2919140</v>
      </c>
      <c r="K180" s="19">
        <f>+SUMIFS('2024 Lighting Rates'!B:B,'2024 Lighting Rates'!A:A,A180)</f>
        <v>16.510000000000002</v>
      </c>
      <c r="L180" s="19">
        <f>+SUMIFS('2024 Lighting Rates'!C:C,'2024 Lighting Rates'!A:A,A180)</f>
        <v>3.45</v>
      </c>
      <c r="M180" s="27">
        <f t="shared" si="50"/>
        <v>19.96</v>
      </c>
      <c r="N180" s="11">
        <f t="shared" si="51"/>
        <v>832371.92</v>
      </c>
      <c r="P180" s="27">
        <f t="shared" si="52"/>
        <v>16.510000000000002</v>
      </c>
      <c r="Q180" s="27">
        <f t="shared" si="53"/>
        <v>3.45</v>
      </c>
      <c r="R180" s="27">
        <f t="shared" si="54"/>
        <v>19.96</v>
      </c>
      <c r="S180" s="162">
        <f t="shared" si="55"/>
        <v>832371.92</v>
      </c>
      <c r="T180" s="188">
        <f t="shared" si="56"/>
        <v>0</v>
      </c>
    </row>
    <row r="181" spans="1:23" ht="17.100000000000001" customHeight="1" x14ac:dyDescent="0.25">
      <c r="A181" s="320">
        <v>953</v>
      </c>
      <c r="B181" s="320"/>
      <c r="D181" s="233">
        <v>14</v>
      </c>
      <c r="E181" s="339" t="s">
        <v>1339</v>
      </c>
      <c r="F181" s="157" t="s">
        <v>1340</v>
      </c>
      <c r="G181" s="12">
        <f>+SUMIFS('2025 Lighting BDs'!C:C,'2025 Lighting BDs'!B:B,'E-13d'!A181)</f>
        <v>16111</v>
      </c>
      <c r="H181" s="12">
        <v>89</v>
      </c>
      <c r="I181" s="12">
        <f t="shared" si="49"/>
        <v>1433879</v>
      </c>
      <c r="K181" s="19">
        <f>+SUMIFS('2024 Lighting Rates'!B:B,'2024 Lighting Rates'!A:A,A181)</f>
        <v>27.78</v>
      </c>
      <c r="L181" s="19">
        <f>+SUMIFS('2024 Lighting Rates'!C:C,'2024 Lighting Rates'!A:A,A181)</f>
        <v>4.0999999999999996</v>
      </c>
      <c r="M181" s="27">
        <f t="shared" si="50"/>
        <v>31.880000000000003</v>
      </c>
      <c r="N181" s="11">
        <f t="shared" si="51"/>
        <v>513618.68000000005</v>
      </c>
      <c r="P181" s="27">
        <f t="shared" si="52"/>
        <v>27.78</v>
      </c>
      <c r="Q181" s="27">
        <f t="shared" si="53"/>
        <v>4.0999999999999996</v>
      </c>
      <c r="R181" s="27">
        <f t="shared" si="54"/>
        <v>31.880000000000003</v>
      </c>
      <c r="S181" s="162">
        <f t="shared" si="55"/>
        <v>513618.68000000005</v>
      </c>
      <c r="T181" s="188">
        <f t="shared" si="56"/>
        <v>0</v>
      </c>
    </row>
    <row r="182" spans="1:23" ht="17.100000000000001" customHeight="1" x14ac:dyDescent="0.25">
      <c r="A182" s="320">
        <v>956</v>
      </c>
      <c r="B182" s="320"/>
      <c r="D182" s="233">
        <v>15</v>
      </c>
      <c r="E182" s="339" t="s">
        <v>1341</v>
      </c>
      <c r="F182" s="157" t="s">
        <v>1342</v>
      </c>
      <c r="G182" s="12">
        <f>+SUMIFS('2025 Lighting BDs'!C:C,'2025 Lighting BDs'!B:B,'E-13d'!A182)</f>
        <v>7911</v>
      </c>
      <c r="H182" s="12">
        <v>79</v>
      </c>
      <c r="I182" s="12">
        <f t="shared" si="49"/>
        <v>624969</v>
      </c>
      <c r="K182" s="19">
        <f>+SUMIFS('2024 Lighting Rates'!B:B,'2024 Lighting Rates'!A:A,A182)</f>
        <v>17.77</v>
      </c>
      <c r="L182" s="19">
        <f>+SUMIFS('2024 Lighting Rates'!C:C,'2024 Lighting Rates'!A:A,A182)</f>
        <v>3.04</v>
      </c>
      <c r="M182" s="27">
        <f t="shared" si="50"/>
        <v>20.81</v>
      </c>
      <c r="N182" s="11">
        <f t="shared" si="51"/>
        <v>164627.91</v>
      </c>
      <c r="P182" s="27">
        <f t="shared" si="52"/>
        <v>17.77</v>
      </c>
      <c r="Q182" s="27">
        <f t="shared" si="53"/>
        <v>3.04</v>
      </c>
      <c r="R182" s="27">
        <f t="shared" si="54"/>
        <v>20.81</v>
      </c>
      <c r="S182" s="162">
        <f t="shared" si="55"/>
        <v>164627.91</v>
      </c>
      <c r="T182" s="188">
        <f t="shared" si="56"/>
        <v>0</v>
      </c>
    </row>
    <row r="183" spans="1:23" ht="17.100000000000001" customHeight="1" x14ac:dyDescent="0.25">
      <c r="A183" s="320">
        <v>958</v>
      </c>
      <c r="B183" s="320"/>
      <c r="D183" s="233">
        <v>16</v>
      </c>
      <c r="E183" s="339" t="s">
        <v>1343</v>
      </c>
      <c r="F183" s="157" t="s">
        <v>1344</v>
      </c>
      <c r="G183" s="12">
        <f>+SUMIFS('2025 Lighting BDs'!C:C,'2025 Lighting BDs'!B:B,'E-13d'!A183)</f>
        <v>653</v>
      </c>
      <c r="H183" s="12">
        <v>117</v>
      </c>
      <c r="I183" s="12">
        <f t="shared" si="49"/>
        <v>76401</v>
      </c>
      <c r="K183" s="19">
        <f>+SUMIFS('2024 Lighting Rates'!B:B,'2024 Lighting Rates'!A:A,A183)</f>
        <v>22.22</v>
      </c>
      <c r="L183" s="19">
        <f>+SUMIFS('2024 Lighting Rates'!C:C,'2024 Lighting Rates'!A:A,A183)</f>
        <v>3.6</v>
      </c>
      <c r="M183" s="27">
        <f t="shared" si="50"/>
        <v>25.82</v>
      </c>
      <c r="N183" s="11">
        <f t="shared" si="51"/>
        <v>16860.46</v>
      </c>
      <c r="P183" s="27">
        <f t="shared" si="52"/>
        <v>22.22</v>
      </c>
      <c r="Q183" s="27">
        <f t="shared" si="53"/>
        <v>3.6</v>
      </c>
      <c r="R183" s="27">
        <f t="shared" si="54"/>
        <v>25.82</v>
      </c>
      <c r="S183" s="162">
        <f t="shared" si="55"/>
        <v>16860.46</v>
      </c>
      <c r="T183" s="188">
        <f t="shared" si="56"/>
        <v>0</v>
      </c>
    </row>
    <row r="184" spans="1:23" ht="17.100000000000001" customHeight="1" x14ac:dyDescent="0.25">
      <c r="A184" s="320">
        <v>965</v>
      </c>
      <c r="B184" s="320"/>
      <c r="D184" s="233">
        <v>17</v>
      </c>
      <c r="E184" s="339" t="s">
        <v>1345</v>
      </c>
      <c r="F184" s="157" t="s">
        <v>1346</v>
      </c>
      <c r="G184" s="12">
        <f>+SUMIFS('2025 Lighting BDs'!C:C,'2025 Lighting BDs'!B:B,'E-13d'!A184)</f>
        <v>55535</v>
      </c>
      <c r="H184" s="12">
        <v>9</v>
      </c>
      <c r="I184" s="12">
        <f t="shared" si="49"/>
        <v>499815</v>
      </c>
      <c r="K184" s="19">
        <f>+SUMIFS('2024 Lighting Rates'!B:B,'2024 Lighting Rates'!A:A,A184)</f>
        <v>8.4700000000000006</v>
      </c>
      <c r="L184" s="19">
        <f>+SUMIFS('2024 Lighting Rates'!C:C,'2024 Lighting Rates'!A:A,A184)</f>
        <v>2.2799999999999998</v>
      </c>
      <c r="M184" s="27">
        <f t="shared" si="50"/>
        <v>10.75</v>
      </c>
      <c r="N184" s="11">
        <f t="shared" si="51"/>
        <v>597001.25</v>
      </c>
      <c r="P184" s="27">
        <f t="shared" si="52"/>
        <v>8.4700000000000006</v>
      </c>
      <c r="Q184" s="27">
        <f t="shared" si="53"/>
        <v>2.2799999999999998</v>
      </c>
      <c r="R184" s="27">
        <f t="shared" si="54"/>
        <v>10.75</v>
      </c>
      <c r="S184" s="162">
        <f t="shared" si="55"/>
        <v>597001.25</v>
      </c>
      <c r="T184" s="188">
        <f t="shared" si="56"/>
        <v>0</v>
      </c>
    </row>
    <row r="185" spans="1:23" ht="17.100000000000001" customHeight="1" x14ac:dyDescent="0.25">
      <c r="A185" s="320">
        <v>967</v>
      </c>
      <c r="B185" s="320"/>
      <c r="D185" s="233">
        <v>18</v>
      </c>
      <c r="E185" s="339" t="s">
        <v>1347</v>
      </c>
      <c r="F185" s="157" t="s">
        <v>1348</v>
      </c>
      <c r="G185" s="12">
        <f>+SUMIFS('2025 Lighting BDs'!C:C,'2025 Lighting BDs'!B:B,'E-13d'!A185)</f>
        <v>86866</v>
      </c>
      <c r="H185" s="12">
        <v>14</v>
      </c>
      <c r="I185" s="12">
        <f t="shared" si="49"/>
        <v>1216124</v>
      </c>
      <c r="K185" s="19">
        <f>+SUMIFS('2024 Lighting Rates'!B:B,'2024 Lighting Rates'!A:A,A185)</f>
        <v>18.5</v>
      </c>
      <c r="L185" s="19">
        <f>+SUMIFS('2024 Lighting Rates'!C:C,'2024 Lighting Rates'!A:A,A185)</f>
        <v>2.2799999999999998</v>
      </c>
      <c r="M185" s="27">
        <f t="shared" si="50"/>
        <v>20.78</v>
      </c>
      <c r="N185" s="11">
        <f t="shared" si="51"/>
        <v>1805075.4800000002</v>
      </c>
      <c r="P185" s="27">
        <f t="shared" si="52"/>
        <v>18.5</v>
      </c>
      <c r="Q185" s="27">
        <f t="shared" si="53"/>
        <v>2.2799999999999998</v>
      </c>
      <c r="R185" s="27">
        <f t="shared" si="54"/>
        <v>20.78</v>
      </c>
      <c r="S185" s="162">
        <f t="shared" si="55"/>
        <v>1805075.4800000002</v>
      </c>
      <c r="T185" s="188">
        <f t="shared" si="56"/>
        <v>0</v>
      </c>
    </row>
    <row r="186" spans="1:23" ht="17.100000000000001" customHeight="1" x14ac:dyDescent="0.25">
      <c r="A186" s="320">
        <v>968</v>
      </c>
      <c r="B186" s="320"/>
      <c r="D186" s="233">
        <v>19</v>
      </c>
      <c r="E186" s="339" t="s">
        <v>1349</v>
      </c>
      <c r="F186" s="157" t="s">
        <v>1348</v>
      </c>
      <c r="G186" s="12">
        <f>+SUMIFS('2025 Lighting BDs'!C:C,'2025 Lighting BDs'!B:B,'E-13d'!A186)</f>
        <v>22465</v>
      </c>
      <c r="H186" s="12">
        <v>14</v>
      </c>
      <c r="I186" s="12">
        <f t="shared" si="49"/>
        <v>314510</v>
      </c>
      <c r="K186" s="19">
        <f>+SUMIFS('2024 Lighting Rates'!B:B,'2024 Lighting Rates'!A:A,A186)</f>
        <v>22.1</v>
      </c>
      <c r="L186" s="19">
        <f>+SUMIFS('2024 Lighting Rates'!C:C,'2024 Lighting Rates'!A:A,A186)</f>
        <v>2.2799999999999998</v>
      </c>
      <c r="M186" s="27">
        <f t="shared" si="50"/>
        <v>24.380000000000003</v>
      </c>
      <c r="N186" s="11">
        <f t="shared" si="51"/>
        <v>547696.70000000007</v>
      </c>
      <c r="P186" s="27">
        <f t="shared" si="52"/>
        <v>22.1</v>
      </c>
      <c r="Q186" s="27">
        <f t="shared" si="53"/>
        <v>2.2799999999999998</v>
      </c>
      <c r="R186" s="27">
        <f t="shared" si="54"/>
        <v>24.380000000000003</v>
      </c>
      <c r="S186" s="162">
        <f t="shared" si="55"/>
        <v>547696.70000000007</v>
      </c>
      <c r="T186" s="188">
        <f t="shared" si="56"/>
        <v>0</v>
      </c>
    </row>
    <row r="187" spans="1:23" ht="17.100000000000001" customHeight="1" x14ac:dyDescent="0.25">
      <c r="A187" s="320">
        <v>971</v>
      </c>
      <c r="B187" s="320"/>
      <c r="D187" s="233">
        <v>20</v>
      </c>
      <c r="E187" s="339" t="s">
        <v>1350</v>
      </c>
      <c r="F187" s="157" t="s">
        <v>1351</v>
      </c>
      <c r="G187" s="12">
        <f>+SUMIFS('2025 Lighting BDs'!C:C,'2025 Lighting BDs'!B:B,'E-13d'!A187)</f>
        <v>292404</v>
      </c>
      <c r="H187" s="12">
        <v>19</v>
      </c>
      <c r="I187" s="12">
        <f t="shared" si="49"/>
        <v>5555676</v>
      </c>
      <c r="K187" s="19">
        <f>+SUMIFS('2024 Lighting Rates'!B:B,'2024 Lighting Rates'!A:A,A187)</f>
        <v>15.07</v>
      </c>
      <c r="L187" s="19">
        <f>+SUMIFS('2024 Lighting Rates'!C:C,'2024 Lighting Rates'!A:A,A187)</f>
        <v>1.54</v>
      </c>
      <c r="M187" s="27">
        <f t="shared" si="50"/>
        <v>16.61</v>
      </c>
      <c r="N187" s="11">
        <f t="shared" si="51"/>
        <v>4856830.4399999995</v>
      </c>
      <c r="P187" s="27">
        <f t="shared" si="52"/>
        <v>15.07</v>
      </c>
      <c r="Q187" s="27">
        <f t="shared" si="53"/>
        <v>1.54</v>
      </c>
      <c r="R187" s="27">
        <f t="shared" si="54"/>
        <v>16.61</v>
      </c>
      <c r="S187" s="162">
        <f t="shared" si="55"/>
        <v>4856830.4399999995</v>
      </c>
      <c r="T187" s="188">
        <f t="shared" si="56"/>
        <v>0</v>
      </c>
    </row>
    <row r="188" spans="1:23" ht="17.100000000000001" customHeight="1" x14ac:dyDescent="0.25">
      <c r="A188" s="320">
        <v>972</v>
      </c>
      <c r="B188" s="320"/>
      <c r="D188" s="233">
        <v>21</v>
      </c>
      <c r="E188" s="339" t="s">
        <v>1352</v>
      </c>
      <c r="F188" s="157" t="s">
        <v>1274</v>
      </c>
      <c r="G188" s="12">
        <f>+SUMIFS('2025 Lighting BDs'!C:C,'2025 Lighting BDs'!B:B,'E-13d'!A188)</f>
        <v>4071</v>
      </c>
      <c r="H188" s="12">
        <v>21</v>
      </c>
      <c r="I188" s="12">
        <f t="shared" si="49"/>
        <v>85491</v>
      </c>
      <c r="K188" s="19">
        <f>+SUMIFS('2024 Lighting Rates'!B:B,'2024 Lighting Rates'!A:A,A188)</f>
        <v>20.239999999999998</v>
      </c>
      <c r="L188" s="19">
        <f>+SUMIFS('2024 Lighting Rates'!C:C,'2024 Lighting Rates'!A:A,A188)</f>
        <v>2.2799999999999998</v>
      </c>
      <c r="M188" s="27">
        <f t="shared" si="50"/>
        <v>22.52</v>
      </c>
      <c r="N188" s="11">
        <f t="shared" si="51"/>
        <v>91678.92</v>
      </c>
      <c r="P188" s="27">
        <f t="shared" si="52"/>
        <v>20.239999999999998</v>
      </c>
      <c r="Q188" s="27">
        <f t="shared" si="53"/>
        <v>2.2799999999999998</v>
      </c>
      <c r="R188" s="27">
        <f t="shared" si="54"/>
        <v>22.52</v>
      </c>
      <c r="S188" s="162">
        <f t="shared" si="55"/>
        <v>91678.92</v>
      </c>
      <c r="T188" s="188">
        <f t="shared" si="56"/>
        <v>0</v>
      </c>
    </row>
    <row r="189" spans="1:23" ht="17.100000000000001" customHeight="1" x14ac:dyDescent="0.25">
      <c r="A189" s="320">
        <v>973</v>
      </c>
      <c r="B189" s="320"/>
      <c r="D189" s="233">
        <v>22</v>
      </c>
      <c r="E189" s="339" t="s">
        <v>1353</v>
      </c>
      <c r="F189" s="157" t="s">
        <v>1274</v>
      </c>
      <c r="G189" s="12">
        <f>+SUMIFS('2025 Lighting BDs'!C:C,'2025 Lighting BDs'!B:B,'E-13d'!A189)</f>
        <v>757</v>
      </c>
      <c r="H189" s="12">
        <v>21</v>
      </c>
      <c r="I189" s="12">
        <f t="shared" si="49"/>
        <v>15897</v>
      </c>
      <c r="K189" s="19">
        <f>+SUMIFS('2024 Lighting Rates'!B:B,'2024 Lighting Rates'!A:A,A189)</f>
        <v>23.76</v>
      </c>
      <c r="L189" s="19">
        <f>+SUMIFS('2024 Lighting Rates'!C:C,'2024 Lighting Rates'!A:A,A189)</f>
        <v>2.2799999999999998</v>
      </c>
      <c r="M189" s="27">
        <f t="shared" si="50"/>
        <v>26.040000000000003</v>
      </c>
      <c r="N189" s="11">
        <f t="shared" si="51"/>
        <v>19712.280000000002</v>
      </c>
      <c r="P189" s="27">
        <f t="shared" si="52"/>
        <v>23.76</v>
      </c>
      <c r="Q189" s="27">
        <f t="shared" si="53"/>
        <v>2.2799999999999998</v>
      </c>
      <c r="R189" s="27">
        <f t="shared" si="54"/>
        <v>26.040000000000003</v>
      </c>
      <c r="S189" s="162">
        <f t="shared" si="55"/>
        <v>19712.280000000002</v>
      </c>
      <c r="T189" s="188">
        <f t="shared" si="56"/>
        <v>0</v>
      </c>
    </row>
    <row r="190" spans="1:23" ht="17.100000000000001" customHeight="1" x14ac:dyDescent="0.25">
      <c r="A190" s="320">
        <v>975</v>
      </c>
      <c r="B190" s="320"/>
      <c r="D190" s="233">
        <v>23</v>
      </c>
      <c r="E190" s="339" t="s">
        <v>1354</v>
      </c>
      <c r="F190" s="157" t="s">
        <v>1355</v>
      </c>
      <c r="G190" s="12">
        <f>+SUMIFS('2025 Lighting BDs'!C:C,'2025 Lighting BDs'!B:B,'E-13d'!A190)</f>
        <v>52903</v>
      </c>
      <c r="H190" s="12">
        <v>27</v>
      </c>
      <c r="I190" s="12">
        <f t="shared" si="49"/>
        <v>1428381</v>
      </c>
      <c r="K190" s="19">
        <f>+SUMIFS('2024 Lighting Rates'!B:B,'2024 Lighting Rates'!A:A,A190)</f>
        <v>19.57</v>
      </c>
      <c r="L190" s="19">
        <f>+SUMIFS('2024 Lighting Rates'!C:C,'2024 Lighting Rates'!A:A,A190)</f>
        <v>1.54</v>
      </c>
      <c r="M190" s="27">
        <f t="shared" si="50"/>
        <v>21.11</v>
      </c>
      <c r="N190" s="11">
        <f t="shared" si="51"/>
        <v>1116782.33</v>
      </c>
      <c r="P190" s="27">
        <f t="shared" si="52"/>
        <v>19.57</v>
      </c>
      <c r="Q190" s="27">
        <f t="shared" si="53"/>
        <v>1.54</v>
      </c>
      <c r="R190" s="27">
        <f t="shared" si="54"/>
        <v>21.11</v>
      </c>
      <c r="S190" s="162">
        <f t="shared" si="55"/>
        <v>1116782.33</v>
      </c>
      <c r="T190" s="188">
        <f t="shared" si="56"/>
        <v>0</v>
      </c>
    </row>
    <row r="191" spans="1:23" ht="17.100000000000001" customHeight="1" x14ac:dyDescent="0.25">
      <c r="A191" s="320"/>
      <c r="B191" s="320"/>
      <c r="D191" s="233">
        <v>24</v>
      </c>
      <c r="E191" s="310" t="s">
        <v>1199</v>
      </c>
      <c r="G191" s="335"/>
      <c r="N191" s="11">
        <f>SUM(N170:N190)</f>
        <v>35143727.789999999</v>
      </c>
      <c r="O191" s="340"/>
      <c r="P191" s="331"/>
      <c r="S191" s="11">
        <f>SUM(S170:S190)</f>
        <v>35143727.789999999</v>
      </c>
      <c r="T191" s="188">
        <f t="shared" si="56"/>
        <v>0</v>
      </c>
    </row>
    <row r="192" spans="1:23" ht="17.100000000000001" customHeight="1" x14ac:dyDescent="0.25">
      <c r="A192" s="320"/>
      <c r="B192" s="320"/>
      <c r="D192" s="233">
        <v>25</v>
      </c>
      <c r="W192" s="331"/>
    </row>
    <row r="193" spans="1:22" ht="17.100000000000001" customHeight="1" x14ac:dyDescent="0.25">
      <c r="A193" s="320"/>
      <c r="B193" s="320"/>
      <c r="D193" s="233">
        <v>26</v>
      </c>
    </row>
    <row r="194" spans="1:22" ht="17.100000000000001" customHeight="1" x14ac:dyDescent="0.25">
      <c r="A194" s="320"/>
      <c r="B194" s="320"/>
      <c r="D194" s="233">
        <v>27</v>
      </c>
    </row>
    <row r="195" spans="1:22" ht="17.100000000000001" customHeight="1" x14ac:dyDescent="0.25">
      <c r="A195" s="320"/>
      <c r="B195" s="320"/>
      <c r="D195" s="233">
        <v>28</v>
      </c>
    </row>
    <row r="196" spans="1:22" ht="17.100000000000001" customHeight="1" x14ac:dyDescent="0.25">
      <c r="A196" s="320"/>
      <c r="B196" s="320"/>
      <c r="D196" s="233">
        <v>29</v>
      </c>
    </row>
    <row r="197" spans="1:22" ht="17.100000000000001" customHeight="1" x14ac:dyDescent="0.25">
      <c r="A197" s="320"/>
      <c r="B197" s="320"/>
      <c r="D197" s="233">
        <v>30</v>
      </c>
    </row>
    <row r="198" spans="1:22" ht="17.100000000000001" customHeight="1" x14ac:dyDescent="0.25">
      <c r="A198" s="320"/>
      <c r="B198" s="320"/>
      <c r="D198" s="233">
        <v>31</v>
      </c>
    </row>
    <row r="199" spans="1:22" ht="17.100000000000001" customHeight="1" x14ac:dyDescent="0.25">
      <c r="A199" s="320"/>
      <c r="B199" s="320"/>
      <c r="D199" s="233">
        <v>32</v>
      </c>
      <c r="V199" s="331"/>
    </row>
    <row r="200" spans="1:22" ht="17.100000000000001" customHeight="1" x14ac:dyDescent="0.25">
      <c r="A200" s="320"/>
      <c r="B200" s="320"/>
      <c r="D200" s="233">
        <v>33</v>
      </c>
    </row>
    <row r="201" spans="1:22" ht="17.100000000000001" customHeight="1" x14ac:dyDescent="0.25">
      <c r="A201" s="320"/>
      <c r="B201" s="320"/>
      <c r="D201" s="233">
        <v>34</v>
      </c>
    </row>
    <row r="202" spans="1:22" ht="17.100000000000001" customHeight="1" x14ac:dyDescent="0.25">
      <c r="A202" s="320"/>
      <c r="B202" s="320"/>
      <c r="D202" s="233">
        <v>35</v>
      </c>
    </row>
    <row r="203" spans="1:22" ht="17.100000000000001" customHeight="1" x14ac:dyDescent="0.25">
      <c r="A203" s="320"/>
      <c r="B203" s="320"/>
      <c r="D203" s="233">
        <v>36</v>
      </c>
    </row>
    <row r="204" spans="1:22" ht="17.100000000000001" customHeight="1" x14ac:dyDescent="0.25">
      <c r="A204" s="320"/>
      <c r="B204" s="320"/>
      <c r="D204" s="233">
        <v>37</v>
      </c>
    </row>
    <row r="205" spans="1:22" ht="17.100000000000001" customHeight="1" x14ac:dyDescent="0.25">
      <c r="A205" s="320"/>
      <c r="B205" s="320"/>
      <c r="D205" s="233">
        <v>38</v>
      </c>
      <c r="E205" s="334"/>
      <c r="F205" s="311"/>
      <c r="G205" s="12"/>
      <c r="H205" s="12"/>
      <c r="I205" s="12"/>
      <c r="J205" s="233"/>
      <c r="K205" s="233"/>
      <c r="L205" s="233"/>
      <c r="M205" s="233"/>
      <c r="N205" s="158"/>
      <c r="O205" s="341"/>
      <c r="P205" s="342"/>
      <c r="Q205" s="233"/>
      <c r="R205" s="233"/>
      <c r="S205" s="158"/>
      <c r="T205" s="23"/>
    </row>
    <row r="206" spans="1:22" ht="17.100000000000001" customHeight="1" x14ac:dyDescent="0.25">
      <c r="A206" s="320"/>
      <c r="B206" s="320"/>
      <c r="D206" s="233">
        <v>39</v>
      </c>
      <c r="E206" s="334"/>
      <c r="F206" s="311"/>
      <c r="G206" s="12"/>
      <c r="H206" s="12"/>
      <c r="I206" s="12"/>
      <c r="J206" s="233"/>
      <c r="K206" s="233"/>
      <c r="L206" s="233"/>
      <c r="M206" s="233"/>
      <c r="N206" s="158"/>
      <c r="O206" s="341"/>
      <c r="P206" s="342"/>
      <c r="Q206" s="233"/>
      <c r="R206" s="233"/>
      <c r="S206" s="158"/>
      <c r="T206" s="23"/>
    </row>
    <row r="207" spans="1:22" ht="17.100000000000001" customHeight="1" thickBot="1" x14ac:dyDescent="0.3">
      <c r="A207" s="320"/>
      <c r="B207" s="320"/>
      <c r="D207" s="306">
        <v>40</v>
      </c>
      <c r="E207" s="332"/>
      <c r="F207" s="306"/>
      <c r="G207" s="306"/>
      <c r="H207" s="306"/>
      <c r="I207" s="306"/>
      <c r="J207" s="306"/>
      <c r="K207" s="306"/>
      <c r="L207" s="306"/>
      <c r="M207" s="306"/>
      <c r="N207" s="306"/>
      <c r="O207" s="343"/>
      <c r="P207" s="306"/>
      <c r="Q207" s="306"/>
      <c r="R207" s="306"/>
      <c r="S207" s="306"/>
      <c r="T207" s="326" t="s">
        <v>1078</v>
      </c>
    </row>
    <row r="208" spans="1:22" ht="17.100000000000001" customHeight="1" x14ac:dyDescent="0.25">
      <c r="A208" s="320"/>
      <c r="B208" s="320"/>
      <c r="D208" s="233" t="s">
        <v>1219</v>
      </c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 t="str">
        <f>+R52</f>
        <v>Recap Schedules: E-13a</v>
      </c>
      <c r="S208" s="233"/>
      <c r="T208" s="233"/>
    </row>
    <row r="209" spans="1:20" ht="17.100000000000001" customHeight="1" thickBot="1" x14ac:dyDescent="0.3">
      <c r="A209" s="320"/>
      <c r="B209" s="320"/>
      <c r="D209" s="306" t="s">
        <v>1159</v>
      </c>
      <c r="E209" s="306"/>
      <c r="F209" s="306"/>
      <c r="G209" s="306"/>
      <c r="H209" s="306"/>
      <c r="I209" s="306" t="s">
        <v>1160</v>
      </c>
      <c r="J209" s="306"/>
      <c r="K209" s="306"/>
      <c r="L209" s="306"/>
      <c r="M209" s="306"/>
      <c r="N209" s="306"/>
      <c r="O209" s="156"/>
      <c r="P209" s="338"/>
      <c r="Q209" s="306"/>
      <c r="R209" s="306"/>
      <c r="S209" s="306"/>
      <c r="T209" s="306" t="s">
        <v>1356</v>
      </c>
    </row>
    <row r="210" spans="1:20" ht="17.100000000000001" customHeight="1" x14ac:dyDescent="0.25">
      <c r="A210" s="320"/>
      <c r="B210" s="320"/>
      <c r="D210" s="233" t="s">
        <v>307</v>
      </c>
      <c r="E210" s="233"/>
      <c r="F210" s="233"/>
      <c r="G210" s="311"/>
      <c r="H210" s="233"/>
      <c r="I210" s="311" t="s">
        <v>1222</v>
      </c>
      <c r="J210" s="233" t="s">
        <v>1491</v>
      </c>
      <c r="K210" s="233"/>
      <c r="L210" s="309"/>
      <c r="M210" s="309"/>
      <c r="N210" s="233"/>
      <c r="O210" s="233"/>
      <c r="P210" s="309"/>
      <c r="Q210" s="309" t="s">
        <v>309</v>
      </c>
      <c r="R210" s="233"/>
      <c r="S210" s="233"/>
      <c r="T210" s="310"/>
    </row>
    <row r="211" spans="1:20" ht="17.100000000000001" customHeight="1" x14ac:dyDescent="0.25">
      <c r="A211" s="320"/>
      <c r="B211" s="320"/>
      <c r="D211" s="233"/>
      <c r="E211" s="233"/>
      <c r="F211" s="233"/>
      <c r="G211" s="233"/>
      <c r="H211" s="233"/>
      <c r="I211" s="233"/>
      <c r="J211" s="233" t="s">
        <v>1492</v>
      </c>
      <c r="K211" s="233"/>
      <c r="L211" s="311"/>
      <c r="M211" s="310"/>
      <c r="N211" s="233"/>
      <c r="O211" s="233"/>
      <c r="P211" s="233"/>
      <c r="Q211" s="312"/>
      <c r="R211" s="311" t="s">
        <v>919</v>
      </c>
      <c r="S211" s="310" t="s">
        <v>920</v>
      </c>
      <c r="T211" s="311"/>
    </row>
    <row r="212" spans="1:20" ht="17.100000000000001" customHeight="1" x14ac:dyDescent="0.25">
      <c r="A212" s="320"/>
      <c r="B212" s="320"/>
      <c r="D212" s="233" t="s">
        <v>310</v>
      </c>
      <c r="E212" s="233"/>
      <c r="F212" s="233"/>
      <c r="G212" s="233"/>
      <c r="H212" s="233"/>
      <c r="I212" s="233"/>
      <c r="J212" s="233" t="s">
        <v>1493</v>
      </c>
      <c r="K212" s="233"/>
      <c r="L212" s="311"/>
      <c r="M212" s="310"/>
      <c r="N212" s="311"/>
      <c r="O212" s="311"/>
      <c r="P212" s="233"/>
      <c r="Q212" s="311"/>
      <c r="R212" s="311"/>
      <c r="S212" s="310" t="s">
        <v>937</v>
      </c>
      <c r="T212" s="311"/>
    </row>
    <row r="213" spans="1:20" ht="17.100000000000001" customHeight="1" x14ac:dyDescent="0.25">
      <c r="A213" s="320"/>
      <c r="B213" s="320"/>
      <c r="D213" s="233"/>
      <c r="E213" s="233"/>
      <c r="F213" s="233"/>
      <c r="G213" s="233"/>
      <c r="H213" s="233"/>
      <c r="I213" s="233"/>
      <c r="J213" s="233" t="s">
        <v>1494</v>
      </c>
      <c r="K213" s="233"/>
      <c r="L213" s="311"/>
      <c r="M213" s="310"/>
      <c r="N213" s="311"/>
      <c r="O213" s="311"/>
      <c r="P213" s="233"/>
      <c r="Q213" s="311"/>
      <c r="R213" s="311"/>
      <c r="S213" s="310" t="s">
        <v>938</v>
      </c>
      <c r="T213" s="311"/>
    </row>
    <row r="214" spans="1:20" ht="17.100000000000001" customHeight="1" thickBot="1" x14ac:dyDescent="0.3">
      <c r="A214" s="320"/>
      <c r="B214" s="320"/>
      <c r="D214" s="306" t="str">
        <f>+$D$6</f>
        <v>DOCKET No. 20240026-EI</v>
      </c>
      <c r="E214" s="306"/>
      <c r="F214" s="306"/>
      <c r="G214" s="306"/>
      <c r="H214" s="306" t="s">
        <v>1314</v>
      </c>
      <c r="I214" s="306"/>
      <c r="J214" s="306"/>
      <c r="K214" s="314"/>
      <c r="L214" s="306"/>
      <c r="M214" s="306"/>
      <c r="N214" s="306"/>
      <c r="O214" s="306"/>
      <c r="P214" s="306"/>
      <c r="Q214" s="306"/>
      <c r="R214" s="233"/>
      <c r="S214" s="233" t="s">
        <v>311</v>
      </c>
      <c r="T214" s="306"/>
    </row>
    <row r="215" spans="1:20" ht="17.100000000000001" customHeight="1" x14ac:dyDescent="0.25">
      <c r="A215" s="320"/>
      <c r="B215" s="320"/>
      <c r="D215" s="315"/>
      <c r="E215" s="595" t="s">
        <v>1163</v>
      </c>
      <c r="F215" s="595"/>
      <c r="G215" s="595"/>
      <c r="H215" s="595"/>
      <c r="I215" s="595"/>
      <c r="J215" s="595"/>
      <c r="K215" s="595"/>
      <c r="L215" s="595"/>
      <c r="M215" s="595"/>
      <c r="N215" s="595"/>
      <c r="O215" s="595"/>
      <c r="P215" s="595"/>
      <c r="Q215" s="595"/>
      <c r="R215" s="595"/>
      <c r="S215" s="595"/>
      <c r="T215" s="595"/>
    </row>
    <row r="216" spans="1:20" ht="17.100000000000001" customHeight="1" x14ac:dyDescent="0.25">
      <c r="A216" s="320"/>
      <c r="B216" s="320"/>
      <c r="D216" s="233"/>
      <c r="E216" s="226"/>
      <c r="F216" s="317"/>
      <c r="G216" s="317"/>
      <c r="H216" s="317"/>
      <c r="I216" s="317"/>
      <c r="J216" s="317"/>
      <c r="K216" s="596" t="s">
        <v>1164</v>
      </c>
      <c r="L216" s="596"/>
      <c r="M216" s="596"/>
      <c r="N216" s="596"/>
      <c r="O216" s="317"/>
      <c r="P216" s="596" t="s">
        <v>873</v>
      </c>
      <c r="Q216" s="596"/>
      <c r="R216" s="596"/>
      <c r="S216" s="596"/>
      <c r="T216" s="317"/>
    </row>
    <row r="217" spans="1:20" ht="17.100000000000001" customHeight="1" x14ac:dyDescent="0.25">
      <c r="A217" s="320"/>
      <c r="B217" s="320"/>
      <c r="D217" s="233"/>
      <c r="E217" s="226"/>
      <c r="F217" s="317"/>
      <c r="G217" s="226" t="s">
        <v>1165</v>
      </c>
      <c r="H217" s="317" t="s">
        <v>1166</v>
      </c>
      <c r="I217" s="226"/>
      <c r="J217" s="226"/>
      <c r="K217" s="226" t="s">
        <v>1167</v>
      </c>
      <c r="L217" s="226" t="s">
        <v>1167</v>
      </c>
      <c r="M217" s="226" t="s">
        <v>1168</v>
      </c>
      <c r="N217" s="317" t="s">
        <v>807</v>
      </c>
      <c r="O217" s="317"/>
      <c r="P217" s="226" t="s">
        <v>1167</v>
      </c>
      <c r="Q217" s="226" t="s">
        <v>1167</v>
      </c>
      <c r="R217" s="226" t="s">
        <v>1168</v>
      </c>
      <c r="S217" s="226" t="s">
        <v>807</v>
      </c>
      <c r="T217" s="226"/>
    </row>
    <row r="218" spans="1:20" ht="17.100000000000001" customHeight="1" x14ac:dyDescent="0.25">
      <c r="A218" s="320"/>
      <c r="B218" s="320"/>
      <c r="D218" s="233" t="s">
        <v>314</v>
      </c>
      <c r="E218" s="226" t="s">
        <v>315</v>
      </c>
      <c r="F218" s="226"/>
      <c r="G218" s="226" t="s">
        <v>1169</v>
      </c>
      <c r="H218" s="226" t="s">
        <v>1167</v>
      </c>
      <c r="I218" s="317" t="s">
        <v>1165</v>
      </c>
      <c r="J218" s="317"/>
      <c r="K218" s="317" t="s">
        <v>1170</v>
      </c>
      <c r="L218" s="317" t="s">
        <v>1171</v>
      </c>
      <c r="M218" s="317" t="s">
        <v>1167</v>
      </c>
      <c r="N218" s="226" t="s">
        <v>336</v>
      </c>
      <c r="O218" s="226"/>
      <c r="P218" s="317" t="s">
        <v>1170</v>
      </c>
      <c r="Q218" s="317" t="s">
        <v>1171</v>
      </c>
      <c r="R218" s="317" t="s">
        <v>1167</v>
      </c>
      <c r="S218" s="317" t="s">
        <v>336</v>
      </c>
      <c r="T218" s="317" t="s">
        <v>857</v>
      </c>
    </row>
    <row r="219" spans="1:20" ht="17.100000000000001" customHeight="1" thickBot="1" x14ac:dyDescent="0.3">
      <c r="A219" s="320"/>
      <c r="B219" s="320"/>
      <c r="D219" s="306" t="s">
        <v>320</v>
      </c>
      <c r="E219" s="314" t="s">
        <v>1170</v>
      </c>
      <c r="F219" s="314"/>
      <c r="G219" s="314" t="s">
        <v>1172</v>
      </c>
      <c r="H219" s="314" t="s">
        <v>711</v>
      </c>
      <c r="I219" s="319" t="s">
        <v>711</v>
      </c>
      <c r="J219" s="319"/>
      <c r="K219" s="319" t="s">
        <v>1173</v>
      </c>
      <c r="L219" s="319" t="s">
        <v>1173</v>
      </c>
      <c r="M219" s="319" t="s">
        <v>1173</v>
      </c>
      <c r="N219" s="319" t="s">
        <v>318</v>
      </c>
      <c r="O219" s="319"/>
      <c r="P219" s="319" t="s">
        <v>1173</v>
      </c>
      <c r="Q219" s="319" t="s">
        <v>1173</v>
      </c>
      <c r="R219" s="319" t="s">
        <v>1173</v>
      </c>
      <c r="S219" s="319" t="s">
        <v>318</v>
      </c>
      <c r="T219" s="319" t="s">
        <v>326</v>
      </c>
    </row>
    <row r="220" spans="1:20" ht="17.100000000000001" customHeight="1" x14ac:dyDescent="0.25">
      <c r="A220" s="320"/>
      <c r="B220" s="320"/>
      <c r="D220" s="233">
        <v>1</v>
      </c>
      <c r="E220" s="315" t="s">
        <v>1079</v>
      </c>
      <c r="F220" s="315"/>
      <c r="G220" s="233"/>
      <c r="H220" s="233"/>
      <c r="I220" s="233"/>
      <c r="J220" s="233"/>
      <c r="K220" s="233"/>
      <c r="L220" s="233"/>
      <c r="M220" s="233"/>
      <c r="N220" s="233"/>
      <c r="O220" s="15"/>
      <c r="P220" s="15"/>
      <c r="Q220" s="15"/>
      <c r="R220" s="15"/>
      <c r="S220" s="15"/>
      <c r="T220" s="15"/>
    </row>
    <row r="221" spans="1:20" ht="17.100000000000001" customHeight="1" x14ac:dyDescent="0.25">
      <c r="A221" s="320"/>
      <c r="B221" s="320"/>
      <c r="D221" s="233">
        <v>2</v>
      </c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</row>
    <row r="222" spans="1:20" ht="17.100000000000001" customHeight="1" x14ac:dyDescent="0.25">
      <c r="A222" s="320"/>
      <c r="B222" s="320"/>
      <c r="D222" s="233">
        <v>3</v>
      </c>
      <c r="E222" s="597" t="s">
        <v>1357</v>
      </c>
      <c r="F222" s="597"/>
      <c r="O222" s="331"/>
      <c r="P222" s="331"/>
    </row>
    <row r="223" spans="1:20" ht="17.100000000000001" customHeight="1" x14ac:dyDescent="0.25">
      <c r="A223" s="320">
        <v>901</v>
      </c>
      <c r="B223" s="320"/>
      <c r="D223" s="233">
        <v>4</v>
      </c>
      <c r="E223" s="329" t="s">
        <v>1358</v>
      </c>
      <c r="F223" s="157" t="s">
        <v>1320</v>
      </c>
      <c r="G223" s="12">
        <f>+SUMIFS('2025 Lighting BDs'!C:C,'2025 Lighting BDs'!B:B,'E-13d'!A223)</f>
        <v>0</v>
      </c>
      <c r="H223" s="12">
        <v>8</v>
      </c>
      <c r="I223" s="153">
        <f t="shared" ref="I223:I243" si="57">+H223*G223</f>
        <v>0</v>
      </c>
      <c r="K223" s="19">
        <f>+SUMIFS('2024 Lighting Rates'!B:B,'2024 Lighting Rates'!A:A,A223)</f>
        <v>7.64</v>
      </c>
      <c r="L223" s="19">
        <f>+SUMIFS('2024 Lighting Rates'!C:C,'2024 Lighting Rates'!A:A,A223)</f>
        <v>1.74</v>
      </c>
      <c r="M223" s="27">
        <f t="shared" ref="M223:M243" si="58">+K223+L223</f>
        <v>9.379999999999999</v>
      </c>
      <c r="N223" s="11">
        <f t="shared" ref="N223:N243" si="59">+M223*G223</f>
        <v>0</v>
      </c>
      <c r="O223" s="331"/>
      <c r="P223" s="27">
        <f t="shared" ref="P223:P243" si="60">+K223</f>
        <v>7.64</v>
      </c>
      <c r="Q223" s="27">
        <f t="shared" ref="Q223:Q243" si="61">+L223</f>
        <v>1.74</v>
      </c>
      <c r="R223" s="27">
        <f>+P223+Q223</f>
        <v>9.379999999999999</v>
      </c>
      <c r="S223" s="11">
        <f t="shared" ref="S223:S243" si="62">+R223*G223</f>
        <v>0</v>
      </c>
      <c r="T223" s="188">
        <f t="shared" ref="T223:T243" si="63">IF(S223=0,0,(S223-N223)/N223)</f>
        <v>0</v>
      </c>
    </row>
    <row r="224" spans="1:20" ht="17.100000000000001" customHeight="1" x14ac:dyDescent="0.25">
      <c r="A224" s="320">
        <v>902</v>
      </c>
      <c r="B224" s="320"/>
      <c r="D224" s="233">
        <v>5</v>
      </c>
      <c r="E224" s="329" t="s">
        <v>1359</v>
      </c>
      <c r="F224" s="157" t="s">
        <v>1322</v>
      </c>
      <c r="G224" s="12">
        <f>+SUMIFS('2025 Lighting BDs'!C:C,'2025 Lighting BDs'!B:B,'E-13d'!A224)</f>
        <v>0</v>
      </c>
      <c r="H224" s="12">
        <v>15</v>
      </c>
      <c r="I224" s="153">
        <f t="shared" si="57"/>
        <v>0</v>
      </c>
      <c r="K224" s="19">
        <f>+SUMIFS('2024 Lighting Rates'!B:B,'2024 Lighting Rates'!A:A,A224)</f>
        <v>11.82</v>
      </c>
      <c r="L224" s="19">
        <f>+SUMIFS('2024 Lighting Rates'!C:C,'2024 Lighting Rates'!A:A,A224)</f>
        <v>1.74</v>
      </c>
      <c r="M224" s="27">
        <f t="shared" si="58"/>
        <v>13.56</v>
      </c>
      <c r="N224" s="11">
        <f t="shared" si="59"/>
        <v>0</v>
      </c>
      <c r="O224" s="331"/>
      <c r="P224" s="27">
        <f t="shared" si="60"/>
        <v>11.82</v>
      </c>
      <c r="Q224" s="27">
        <f t="shared" si="61"/>
        <v>1.74</v>
      </c>
      <c r="R224" s="27">
        <f t="shared" ref="R224:R243" si="64">+P224+Q224</f>
        <v>13.56</v>
      </c>
      <c r="S224" s="11">
        <f t="shared" si="62"/>
        <v>0</v>
      </c>
      <c r="T224" s="188">
        <f t="shared" si="63"/>
        <v>0</v>
      </c>
    </row>
    <row r="225" spans="1:20" ht="17.100000000000001" customHeight="1" x14ac:dyDescent="0.25">
      <c r="A225" s="320">
        <v>903</v>
      </c>
      <c r="B225" s="320"/>
      <c r="D225" s="233">
        <v>6</v>
      </c>
      <c r="E225" s="329" t="s">
        <v>1360</v>
      </c>
      <c r="F225" s="157" t="s">
        <v>1326</v>
      </c>
      <c r="G225" s="12">
        <f>+SUMIFS('2025 Lighting BDs'!C:C,'2025 Lighting BDs'!B:B,'E-13d'!A225)</f>
        <v>12</v>
      </c>
      <c r="H225" s="12">
        <v>23</v>
      </c>
      <c r="I225" s="153">
        <f t="shared" si="57"/>
        <v>276</v>
      </c>
      <c r="K225" s="19">
        <f>+SUMIFS('2024 Lighting Rates'!B:B,'2024 Lighting Rates'!A:A,A225)</f>
        <v>20.41</v>
      </c>
      <c r="L225" s="19">
        <f>+SUMIFS('2024 Lighting Rates'!C:C,'2024 Lighting Rates'!A:A,A225)</f>
        <v>1.38</v>
      </c>
      <c r="M225" s="27">
        <f t="shared" si="58"/>
        <v>21.79</v>
      </c>
      <c r="N225" s="11">
        <f t="shared" si="59"/>
        <v>261.48</v>
      </c>
      <c r="O225" s="331"/>
      <c r="P225" s="27">
        <f t="shared" si="60"/>
        <v>20.41</v>
      </c>
      <c r="Q225" s="27">
        <f t="shared" si="61"/>
        <v>1.38</v>
      </c>
      <c r="R225" s="27">
        <f t="shared" si="64"/>
        <v>21.79</v>
      </c>
      <c r="S225" s="11">
        <f t="shared" si="62"/>
        <v>261.48</v>
      </c>
      <c r="T225" s="188">
        <f t="shared" si="63"/>
        <v>0</v>
      </c>
    </row>
    <row r="226" spans="1:20" ht="17.100000000000001" customHeight="1" x14ac:dyDescent="0.25">
      <c r="A226" s="320">
        <v>904</v>
      </c>
      <c r="B226" s="320"/>
      <c r="D226" s="233">
        <v>7</v>
      </c>
      <c r="E226" s="329" t="s">
        <v>1361</v>
      </c>
      <c r="F226" s="157" t="s">
        <v>1328</v>
      </c>
      <c r="G226" s="12">
        <f>+SUMIFS('2025 Lighting BDs'!C:C,'2025 Lighting BDs'!B:B,'E-13d'!A226)</f>
        <v>0</v>
      </c>
      <c r="H226" s="12">
        <v>25</v>
      </c>
      <c r="I226" s="153">
        <f t="shared" si="57"/>
        <v>0</v>
      </c>
      <c r="K226" s="19">
        <f>+SUMIFS('2024 Lighting Rates'!B:B,'2024 Lighting Rates'!A:A,A226)</f>
        <v>15.21</v>
      </c>
      <c r="L226" s="19">
        <f>+SUMIFS('2024 Lighting Rates'!C:C,'2024 Lighting Rates'!A:A,A226)</f>
        <v>1.41</v>
      </c>
      <c r="M226" s="27">
        <f t="shared" si="58"/>
        <v>16.62</v>
      </c>
      <c r="N226" s="11">
        <f t="shared" si="59"/>
        <v>0</v>
      </c>
      <c r="O226" s="331"/>
      <c r="P226" s="27">
        <f t="shared" si="60"/>
        <v>15.21</v>
      </c>
      <c r="Q226" s="27">
        <f t="shared" si="61"/>
        <v>1.41</v>
      </c>
      <c r="R226" s="27">
        <f t="shared" si="64"/>
        <v>16.62</v>
      </c>
      <c r="S226" s="11">
        <f t="shared" si="62"/>
        <v>0</v>
      </c>
      <c r="T226" s="188">
        <f t="shared" si="63"/>
        <v>0</v>
      </c>
    </row>
    <row r="227" spans="1:20" ht="17.100000000000001" customHeight="1" x14ac:dyDescent="0.25">
      <c r="A227" s="320">
        <v>905</v>
      </c>
      <c r="B227" s="320"/>
      <c r="D227" s="233">
        <v>8</v>
      </c>
      <c r="E227" s="329" t="s">
        <v>1362</v>
      </c>
      <c r="F227" s="157" t="s">
        <v>1330</v>
      </c>
      <c r="G227" s="12">
        <f>+SUMIFS('2025 Lighting BDs'!C:C,'2025 Lighting BDs'!B:B,'E-13d'!A227)</f>
        <v>0</v>
      </c>
      <c r="H227" s="12">
        <v>26</v>
      </c>
      <c r="I227" s="153">
        <f t="shared" si="57"/>
        <v>0</v>
      </c>
      <c r="K227" s="19">
        <f>+SUMIFS('2024 Lighting Rates'!B:B,'2024 Lighting Rates'!A:A,A227)</f>
        <v>11.57</v>
      </c>
      <c r="L227" s="19">
        <f>+SUMIFS('2024 Lighting Rates'!C:C,'2024 Lighting Rates'!A:A,A227)</f>
        <v>2.2599999999999998</v>
      </c>
      <c r="M227" s="27">
        <f t="shared" si="58"/>
        <v>13.83</v>
      </c>
      <c r="N227" s="11">
        <f t="shared" si="59"/>
        <v>0</v>
      </c>
      <c r="O227" s="331"/>
      <c r="P227" s="27">
        <f t="shared" si="60"/>
        <v>11.57</v>
      </c>
      <c r="Q227" s="27">
        <f t="shared" si="61"/>
        <v>2.2599999999999998</v>
      </c>
      <c r="R227" s="27">
        <f t="shared" si="64"/>
        <v>13.83</v>
      </c>
      <c r="S227" s="11">
        <f t="shared" si="62"/>
        <v>0</v>
      </c>
      <c r="T227" s="188">
        <f t="shared" si="63"/>
        <v>0</v>
      </c>
    </row>
    <row r="228" spans="1:20" ht="17.100000000000001" customHeight="1" x14ac:dyDescent="0.25">
      <c r="A228" s="320">
        <v>906</v>
      </c>
      <c r="B228" s="320"/>
      <c r="D228" s="233">
        <v>9</v>
      </c>
      <c r="E228" s="329" t="s">
        <v>1363</v>
      </c>
      <c r="F228" s="157" t="s">
        <v>1334</v>
      </c>
      <c r="G228" s="12">
        <f>+SUMIFS('2025 Lighting BDs'!C:C,'2025 Lighting BDs'!B:B,'E-13d'!A228)</f>
        <v>0</v>
      </c>
      <c r="H228" s="12">
        <v>43</v>
      </c>
      <c r="I228" s="153">
        <f t="shared" si="57"/>
        <v>0</v>
      </c>
      <c r="K228" s="19">
        <f>+SUMIFS('2024 Lighting Rates'!B:B,'2024 Lighting Rates'!A:A,A228)</f>
        <v>21.2</v>
      </c>
      <c r="L228" s="19">
        <f>+SUMIFS('2024 Lighting Rates'!C:C,'2024 Lighting Rates'!A:A,A228)</f>
        <v>2.5099999999999998</v>
      </c>
      <c r="M228" s="27">
        <f t="shared" si="58"/>
        <v>23.71</v>
      </c>
      <c r="N228" s="11">
        <f t="shared" si="59"/>
        <v>0</v>
      </c>
      <c r="O228" s="331"/>
      <c r="P228" s="27">
        <f t="shared" si="60"/>
        <v>21.2</v>
      </c>
      <c r="Q228" s="27">
        <f t="shared" si="61"/>
        <v>2.5099999999999998</v>
      </c>
      <c r="R228" s="27">
        <f t="shared" si="64"/>
        <v>23.71</v>
      </c>
      <c r="S228" s="11">
        <f t="shared" si="62"/>
        <v>0</v>
      </c>
      <c r="T228" s="188">
        <f t="shared" si="63"/>
        <v>0</v>
      </c>
    </row>
    <row r="229" spans="1:20" ht="17.100000000000001" customHeight="1" x14ac:dyDescent="0.25">
      <c r="A229" s="320">
        <v>907</v>
      </c>
      <c r="B229" s="320"/>
      <c r="D229" s="233">
        <v>10</v>
      </c>
      <c r="E229" s="329" t="s">
        <v>1364</v>
      </c>
      <c r="F229" s="157" t="s">
        <v>1344</v>
      </c>
      <c r="G229" s="12">
        <f>+SUMIFS('2025 Lighting BDs'!C:C,'2025 Lighting BDs'!B:B,'E-13d'!A229)</f>
        <v>0</v>
      </c>
      <c r="H229" s="12">
        <v>58</v>
      </c>
      <c r="I229" s="153">
        <f t="shared" si="57"/>
        <v>0</v>
      </c>
      <c r="K229" s="19">
        <f>+SUMIFS('2024 Lighting Rates'!B:B,'2024 Lighting Rates'!A:A,A229)</f>
        <v>22.22</v>
      </c>
      <c r="L229" s="19">
        <f>+SUMIFS('2024 Lighting Rates'!C:C,'2024 Lighting Rates'!A:A,A229)</f>
        <v>3.6</v>
      </c>
      <c r="M229" s="27">
        <f t="shared" si="58"/>
        <v>25.82</v>
      </c>
      <c r="N229" s="11">
        <f t="shared" si="59"/>
        <v>0</v>
      </c>
      <c r="O229" s="331"/>
      <c r="P229" s="27">
        <f t="shared" si="60"/>
        <v>22.22</v>
      </c>
      <c r="Q229" s="27">
        <f t="shared" si="61"/>
        <v>3.6</v>
      </c>
      <c r="R229" s="27">
        <f t="shared" si="64"/>
        <v>25.82</v>
      </c>
      <c r="S229" s="11">
        <f t="shared" si="62"/>
        <v>0</v>
      </c>
      <c r="T229" s="188">
        <f t="shared" si="63"/>
        <v>0</v>
      </c>
    </row>
    <row r="230" spans="1:20" ht="17.100000000000001" customHeight="1" x14ac:dyDescent="0.25">
      <c r="A230" s="320">
        <v>981</v>
      </c>
      <c r="B230" s="320"/>
      <c r="D230" s="233">
        <v>11</v>
      </c>
      <c r="E230" s="334" t="s">
        <v>1365</v>
      </c>
      <c r="F230" s="157" t="s">
        <v>1318</v>
      </c>
      <c r="G230" s="12">
        <f>+SUMIFS('2025 Lighting BDs'!C:C,'2025 Lighting BDs'!B:B,'E-13d'!A230)</f>
        <v>156</v>
      </c>
      <c r="H230" s="12">
        <v>5</v>
      </c>
      <c r="I230" s="12">
        <f t="shared" si="57"/>
        <v>780</v>
      </c>
      <c r="J230" s="233"/>
      <c r="K230" s="19">
        <f>+SUMIFS('2024 Lighting Rates'!B:B,'2024 Lighting Rates'!A:A,A230)</f>
        <v>7.72</v>
      </c>
      <c r="L230" s="19">
        <f>+SUMIFS('2024 Lighting Rates'!C:C,'2024 Lighting Rates'!A:A,A230)</f>
        <v>1.74</v>
      </c>
      <c r="M230" s="27">
        <f t="shared" si="58"/>
        <v>9.4599999999999991</v>
      </c>
      <c r="N230" s="11">
        <f t="shared" si="59"/>
        <v>1475.7599999999998</v>
      </c>
      <c r="O230" s="233"/>
      <c r="P230" s="27">
        <f t="shared" si="60"/>
        <v>7.72</v>
      </c>
      <c r="Q230" s="27">
        <f t="shared" si="61"/>
        <v>1.74</v>
      </c>
      <c r="R230" s="27">
        <f t="shared" si="64"/>
        <v>9.4599999999999991</v>
      </c>
      <c r="S230" s="11">
        <f t="shared" si="62"/>
        <v>1475.7599999999998</v>
      </c>
      <c r="T230" s="188">
        <f t="shared" si="63"/>
        <v>0</v>
      </c>
    </row>
    <row r="231" spans="1:20" ht="17.100000000000001" customHeight="1" x14ac:dyDescent="0.25">
      <c r="A231" s="320">
        <v>982</v>
      </c>
      <c r="B231" s="320"/>
      <c r="D231" s="233">
        <v>12</v>
      </c>
      <c r="E231" s="334" t="s">
        <v>1366</v>
      </c>
      <c r="F231" s="157" t="s">
        <v>1324</v>
      </c>
      <c r="G231" s="12">
        <f>+SUMIFS('2025 Lighting BDs'!C:C,'2025 Lighting BDs'!B:B,'E-13d'!A231)</f>
        <v>317</v>
      </c>
      <c r="H231" s="12">
        <v>18</v>
      </c>
      <c r="I231" s="12">
        <f t="shared" si="57"/>
        <v>5706</v>
      </c>
      <c r="J231" s="233"/>
      <c r="K231" s="19">
        <f>+SUMIFS('2024 Lighting Rates'!B:B,'2024 Lighting Rates'!A:A,A231)</f>
        <v>10.85</v>
      </c>
      <c r="L231" s="19">
        <f>+SUMIFS('2024 Lighting Rates'!C:C,'2024 Lighting Rates'!A:A,A231)</f>
        <v>1.19</v>
      </c>
      <c r="M231" s="27">
        <f t="shared" si="58"/>
        <v>12.04</v>
      </c>
      <c r="N231" s="11">
        <f t="shared" si="59"/>
        <v>3816.68</v>
      </c>
      <c r="O231" s="233"/>
      <c r="P231" s="27">
        <f t="shared" si="60"/>
        <v>10.85</v>
      </c>
      <c r="Q231" s="27">
        <f t="shared" si="61"/>
        <v>1.19</v>
      </c>
      <c r="R231" s="27">
        <f t="shared" si="64"/>
        <v>12.04</v>
      </c>
      <c r="S231" s="11">
        <f t="shared" si="62"/>
        <v>3816.68</v>
      </c>
      <c r="T231" s="188">
        <f t="shared" si="63"/>
        <v>0</v>
      </c>
    </row>
    <row r="232" spans="1:20" ht="17.100000000000001" customHeight="1" x14ac:dyDescent="0.25">
      <c r="A232" s="320">
        <v>983</v>
      </c>
      <c r="B232" s="320"/>
      <c r="D232" s="233">
        <v>13</v>
      </c>
      <c r="E232" s="334" t="s">
        <v>1367</v>
      </c>
      <c r="F232" s="157" t="s">
        <v>1332</v>
      </c>
      <c r="G232" s="12">
        <f>+SUMIFS('2025 Lighting BDs'!C:C,'2025 Lighting BDs'!B:B,'E-13d'!A232)</f>
        <v>449</v>
      </c>
      <c r="H232" s="12">
        <v>32</v>
      </c>
      <c r="I232" s="12">
        <f t="shared" si="57"/>
        <v>14368</v>
      </c>
      <c r="J232" s="233"/>
      <c r="K232" s="19">
        <f>+SUMIFS('2024 Lighting Rates'!B:B,'2024 Lighting Rates'!A:A,A232)</f>
        <v>14.74</v>
      </c>
      <c r="L232" s="19">
        <f>+SUMIFS('2024 Lighting Rates'!C:C,'2024 Lighting Rates'!A:A,A232)</f>
        <v>2.5099999999999998</v>
      </c>
      <c r="M232" s="27">
        <f t="shared" si="58"/>
        <v>17.25</v>
      </c>
      <c r="N232" s="11">
        <f t="shared" si="59"/>
        <v>7745.25</v>
      </c>
      <c r="O232" s="233"/>
      <c r="P232" s="27">
        <f t="shared" si="60"/>
        <v>14.74</v>
      </c>
      <c r="Q232" s="27">
        <f t="shared" si="61"/>
        <v>2.5099999999999998</v>
      </c>
      <c r="R232" s="27">
        <f t="shared" si="64"/>
        <v>17.25</v>
      </c>
      <c r="S232" s="11">
        <f t="shared" si="62"/>
        <v>7745.25</v>
      </c>
      <c r="T232" s="188">
        <f t="shared" si="63"/>
        <v>0</v>
      </c>
    </row>
    <row r="233" spans="1:20" ht="17.100000000000001" customHeight="1" x14ac:dyDescent="0.25">
      <c r="A233" s="320">
        <v>984</v>
      </c>
      <c r="B233" s="320"/>
      <c r="D233" s="233">
        <v>14</v>
      </c>
      <c r="E233" s="334" t="s">
        <v>1368</v>
      </c>
      <c r="F233" s="157" t="s">
        <v>1336</v>
      </c>
      <c r="G233" s="12">
        <f>+SUMIFS('2025 Lighting BDs'!C:C,'2025 Lighting BDs'!B:B,'E-13d'!A233)</f>
        <v>593</v>
      </c>
      <c r="H233" s="12">
        <v>58</v>
      </c>
      <c r="I233" s="12">
        <f t="shared" si="57"/>
        <v>34394</v>
      </c>
      <c r="K233" s="19">
        <f>+SUMIFS('2024 Lighting Rates'!B:B,'2024 Lighting Rates'!A:A,A233)</f>
        <v>26.6</v>
      </c>
      <c r="L233" s="19">
        <f>+SUMIFS('2024 Lighting Rates'!C:C,'2024 Lighting Rates'!A:A,A233)</f>
        <v>1.55</v>
      </c>
      <c r="M233" s="27">
        <f t="shared" si="58"/>
        <v>28.150000000000002</v>
      </c>
      <c r="N233" s="11">
        <f t="shared" si="59"/>
        <v>16692.95</v>
      </c>
      <c r="P233" s="27">
        <f t="shared" si="60"/>
        <v>26.6</v>
      </c>
      <c r="Q233" s="27">
        <f t="shared" si="61"/>
        <v>1.55</v>
      </c>
      <c r="R233" s="27">
        <f t="shared" si="64"/>
        <v>28.150000000000002</v>
      </c>
      <c r="S233" s="11">
        <f t="shared" si="62"/>
        <v>16692.95</v>
      </c>
      <c r="T233" s="188">
        <f t="shared" si="63"/>
        <v>0</v>
      </c>
    </row>
    <row r="234" spans="1:20" ht="17.100000000000001" customHeight="1" x14ac:dyDescent="0.25">
      <c r="A234" s="320">
        <v>985</v>
      </c>
      <c r="B234" s="320"/>
      <c r="D234" s="233">
        <v>15</v>
      </c>
      <c r="E234" s="334" t="s">
        <v>1369</v>
      </c>
      <c r="F234" s="157" t="s">
        <v>1338</v>
      </c>
      <c r="G234" s="12">
        <f>+SUMIFS('2025 Lighting BDs'!C:C,'2025 Lighting BDs'!B:B,'E-13d'!A234)</f>
        <v>96</v>
      </c>
      <c r="H234" s="12">
        <v>35</v>
      </c>
      <c r="I234" s="12">
        <f t="shared" si="57"/>
        <v>3360</v>
      </c>
      <c r="K234" s="19">
        <f>+SUMIFS('2024 Lighting Rates'!B:B,'2024 Lighting Rates'!A:A,A234)</f>
        <v>16.510000000000002</v>
      </c>
      <c r="L234" s="19">
        <f>+SUMIFS('2024 Lighting Rates'!C:C,'2024 Lighting Rates'!A:A,A234)</f>
        <v>3.45</v>
      </c>
      <c r="M234" s="27">
        <f t="shared" si="58"/>
        <v>19.96</v>
      </c>
      <c r="N234" s="11">
        <f t="shared" si="59"/>
        <v>1916.16</v>
      </c>
      <c r="P234" s="27">
        <f t="shared" si="60"/>
        <v>16.510000000000002</v>
      </c>
      <c r="Q234" s="27">
        <f t="shared" si="61"/>
        <v>3.45</v>
      </c>
      <c r="R234" s="27">
        <f t="shared" si="64"/>
        <v>19.96</v>
      </c>
      <c r="S234" s="11">
        <f t="shared" si="62"/>
        <v>1916.16</v>
      </c>
      <c r="T234" s="188">
        <f t="shared" si="63"/>
        <v>0</v>
      </c>
    </row>
    <row r="235" spans="1:20" ht="17.100000000000001" customHeight="1" x14ac:dyDescent="0.25">
      <c r="A235" s="320">
        <v>986</v>
      </c>
      <c r="B235" s="320"/>
      <c r="D235" s="233">
        <v>16</v>
      </c>
      <c r="E235" s="334" t="s">
        <v>1370</v>
      </c>
      <c r="F235" s="157" t="s">
        <v>1340</v>
      </c>
      <c r="G235" s="12">
        <f>+SUMIFS('2025 Lighting BDs'!C:C,'2025 Lighting BDs'!B:B,'E-13d'!A235)</f>
        <v>60</v>
      </c>
      <c r="H235" s="12">
        <v>45</v>
      </c>
      <c r="I235" s="12">
        <f t="shared" si="57"/>
        <v>2700</v>
      </c>
      <c r="K235" s="19">
        <f>+SUMIFS('2024 Lighting Rates'!B:B,'2024 Lighting Rates'!A:A,A235)</f>
        <v>27.78</v>
      </c>
      <c r="L235" s="19">
        <f>+SUMIFS('2024 Lighting Rates'!C:C,'2024 Lighting Rates'!A:A,A235)</f>
        <v>4.0999999999999996</v>
      </c>
      <c r="M235" s="27">
        <f t="shared" si="58"/>
        <v>31.880000000000003</v>
      </c>
      <c r="N235" s="11">
        <f t="shared" si="59"/>
        <v>1912.8000000000002</v>
      </c>
      <c r="P235" s="27">
        <f t="shared" si="60"/>
        <v>27.78</v>
      </c>
      <c r="Q235" s="27">
        <f t="shared" si="61"/>
        <v>4.0999999999999996</v>
      </c>
      <c r="R235" s="27">
        <f t="shared" si="64"/>
        <v>31.880000000000003</v>
      </c>
      <c r="S235" s="11">
        <f t="shared" si="62"/>
        <v>1912.8000000000002</v>
      </c>
      <c r="T235" s="188">
        <f t="shared" si="63"/>
        <v>0</v>
      </c>
    </row>
    <row r="236" spans="1:20" ht="17.100000000000001" customHeight="1" x14ac:dyDescent="0.25">
      <c r="A236" s="320">
        <v>987</v>
      </c>
      <c r="B236" s="320"/>
      <c r="D236" s="233">
        <v>17</v>
      </c>
      <c r="E236" s="334" t="s">
        <v>1371</v>
      </c>
      <c r="F236" s="157" t="s">
        <v>1342</v>
      </c>
      <c r="G236" s="12">
        <f>+SUMIFS('2025 Lighting BDs'!C:C,'2025 Lighting BDs'!B:B,'E-13d'!A236)</f>
        <v>12</v>
      </c>
      <c r="H236" s="12">
        <v>39</v>
      </c>
      <c r="I236" s="12">
        <f t="shared" si="57"/>
        <v>468</v>
      </c>
      <c r="K236" s="19">
        <f>+SUMIFS('2024 Lighting Rates'!B:B,'2024 Lighting Rates'!A:A,A236)</f>
        <v>17.77</v>
      </c>
      <c r="L236" s="19">
        <f>+SUMIFS('2024 Lighting Rates'!C:C,'2024 Lighting Rates'!A:A,A236)</f>
        <v>3.04</v>
      </c>
      <c r="M236" s="27">
        <f t="shared" si="58"/>
        <v>20.81</v>
      </c>
      <c r="N236" s="11">
        <f t="shared" si="59"/>
        <v>249.71999999999997</v>
      </c>
      <c r="P236" s="27">
        <f t="shared" si="60"/>
        <v>17.77</v>
      </c>
      <c r="Q236" s="27">
        <f t="shared" si="61"/>
        <v>3.04</v>
      </c>
      <c r="R236" s="27">
        <f t="shared" si="64"/>
        <v>20.81</v>
      </c>
      <c r="S236" s="11">
        <f t="shared" si="62"/>
        <v>249.71999999999997</v>
      </c>
      <c r="T236" s="188">
        <f t="shared" si="63"/>
        <v>0</v>
      </c>
    </row>
    <row r="237" spans="1:20" ht="17.100000000000001" customHeight="1" x14ac:dyDescent="0.25">
      <c r="A237" s="320">
        <v>988</v>
      </c>
      <c r="B237" s="320"/>
      <c r="D237" s="233">
        <v>18</v>
      </c>
      <c r="E237" s="334" t="s">
        <v>1372</v>
      </c>
      <c r="F237" s="157" t="s">
        <v>1348</v>
      </c>
      <c r="G237" s="12">
        <f>+SUMIFS('2025 Lighting BDs'!C:C,'2025 Lighting BDs'!B:B,'E-13d'!A237)</f>
        <v>0</v>
      </c>
      <c r="H237" s="12">
        <v>7</v>
      </c>
      <c r="I237" s="12">
        <f t="shared" si="57"/>
        <v>0</v>
      </c>
      <c r="K237" s="19">
        <f>+SUMIFS('2024 Lighting Rates'!B:B,'2024 Lighting Rates'!A:A,A237)</f>
        <v>18.5</v>
      </c>
      <c r="L237" s="19">
        <f>+SUMIFS('2024 Lighting Rates'!C:C,'2024 Lighting Rates'!A:A,A237)</f>
        <v>2.2799999999999998</v>
      </c>
      <c r="M237" s="27">
        <f t="shared" si="58"/>
        <v>20.78</v>
      </c>
      <c r="N237" s="11">
        <f t="shared" si="59"/>
        <v>0</v>
      </c>
      <c r="P237" s="27">
        <f t="shared" si="60"/>
        <v>18.5</v>
      </c>
      <c r="Q237" s="27">
        <f t="shared" si="61"/>
        <v>2.2799999999999998</v>
      </c>
      <c r="R237" s="27">
        <f t="shared" si="64"/>
        <v>20.78</v>
      </c>
      <c r="S237" s="11">
        <f t="shared" si="62"/>
        <v>0</v>
      </c>
      <c r="T237" s="188">
        <f t="shared" si="63"/>
        <v>0</v>
      </c>
    </row>
    <row r="238" spans="1:20" ht="17.100000000000001" customHeight="1" x14ac:dyDescent="0.25">
      <c r="A238" s="320">
        <v>989</v>
      </c>
      <c r="B238" s="320"/>
      <c r="D238" s="233">
        <v>19</v>
      </c>
      <c r="E238" s="339" t="s">
        <v>1373</v>
      </c>
      <c r="F238" s="157" t="s">
        <v>1348</v>
      </c>
      <c r="G238" s="12">
        <f>+SUMIFS('2025 Lighting BDs'!C:C,'2025 Lighting BDs'!B:B,'E-13d'!A238)</f>
        <v>0</v>
      </c>
      <c r="H238" s="12">
        <v>7</v>
      </c>
      <c r="I238" s="12">
        <f t="shared" si="57"/>
        <v>0</v>
      </c>
      <c r="K238" s="19">
        <f>+SUMIFS('2024 Lighting Rates'!B:B,'2024 Lighting Rates'!A:A,A238)</f>
        <v>22.1</v>
      </c>
      <c r="L238" s="19">
        <f>+SUMIFS('2024 Lighting Rates'!C:C,'2024 Lighting Rates'!A:A,A238)</f>
        <v>2.2799999999999998</v>
      </c>
      <c r="M238" s="27">
        <f t="shared" si="58"/>
        <v>24.380000000000003</v>
      </c>
      <c r="N238" s="11">
        <f t="shared" si="59"/>
        <v>0</v>
      </c>
      <c r="P238" s="27">
        <f t="shared" si="60"/>
        <v>22.1</v>
      </c>
      <c r="Q238" s="27">
        <f t="shared" si="61"/>
        <v>2.2799999999999998</v>
      </c>
      <c r="R238" s="27">
        <f t="shared" si="64"/>
        <v>24.380000000000003</v>
      </c>
      <c r="S238" s="11">
        <f t="shared" si="62"/>
        <v>0</v>
      </c>
      <c r="T238" s="188">
        <f t="shared" si="63"/>
        <v>0</v>
      </c>
    </row>
    <row r="239" spans="1:20" ht="17.100000000000001" customHeight="1" x14ac:dyDescent="0.25">
      <c r="A239" s="320">
        <v>990</v>
      </c>
      <c r="B239" s="320"/>
      <c r="D239" s="233">
        <v>20</v>
      </c>
      <c r="E239" s="334" t="s">
        <v>1374</v>
      </c>
      <c r="F239" s="157" t="s">
        <v>1355</v>
      </c>
      <c r="G239" s="12">
        <f>+SUMIFS('2025 Lighting BDs'!C:C,'2025 Lighting BDs'!B:B,'E-13d'!A239)</f>
        <v>473</v>
      </c>
      <c r="H239" s="12">
        <v>13</v>
      </c>
      <c r="I239" s="12">
        <f t="shared" si="57"/>
        <v>6149</v>
      </c>
      <c r="K239" s="19">
        <f>+SUMIFS('2024 Lighting Rates'!B:B,'2024 Lighting Rates'!A:A,A239)</f>
        <v>19.57</v>
      </c>
      <c r="L239" s="19">
        <f>+SUMIFS('2024 Lighting Rates'!C:C,'2024 Lighting Rates'!A:A,A239)</f>
        <v>1.54</v>
      </c>
      <c r="M239" s="27">
        <f t="shared" si="58"/>
        <v>21.11</v>
      </c>
      <c r="N239" s="11">
        <f t="shared" si="59"/>
        <v>9985.0299999999988</v>
      </c>
      <c r="P239" s="27">
        <f t="shared" si="60"/>
        <v>19.57</v>
      </c>
      <c r="Q239" s="27">
        <f t="shared" si="61"/>
        <v>1.54</v>
      </c>
      <c r="R239" s="27">
        <f t="shared" si="64"/>
        <v>21.11</v>
      </c>
      <c r="S239" s="11">
        <f t="shared" si="62"/>
        <v>9985.0299999999988</v>
      </c>
      <c r="T239" s="188">
        <f t="shared" si="63"/>
        <v>0</v>
      </c>
    </row>
    <row r="240" spans="1:20" ht="17.100000000000001" customHeight="1" x14ac:dyDescent="0.25">
      <c r="A240" s="320">
        <v>991</v>
      </c>
      <c r="B240" s="320"/>
      <c r="D240" s="233">
        <v>21</v>
      </c>
      <c r="E240" s="334" t="s">
        <v>1375</v>
      </c>
      <c r="F240" s="157" t="s">
        <v>1346</v>
      </c>
      <c r="G240" s="12">
        <f>+SUMIFS('2025 Lighting BDs'!C:C,'2025 Lighting BDs'!B:B,'E-13d'!A240)</f>
        <v>0</v>
      </c>
      <c r="H240" s="12">
        <v>4</v>
      </c>
      <c r="I240" s="153">
        <f t="shared" si="57"/>
        <v>0</v>
      </c>
      <c r="K240" s="19">
        <f>+SUMIFS('2024 Lighting Rates'!B:B,'2024 Lighting Rates'!A:A,A240)</f>
        <v>8.4700000000000006</v>
      </c>
      <c r="L240" s="19">
        <f>+SUMIFS('2024 Lighting Rates'!C:C,'2024 Lighting Rates'!A:A,A240)</f>
        <v>2.2799999999999998</v>
      </c>
      <c r="M240" s="27">
        <f t="shared" si="58"/>
        <v>10.75</v>
      </c>
      <c r="N240" s="159">
        <f t="shared" si="59"/>
        <v>0</v>
      </c>
      <c r="P240" s="27">
        <f t="shared" si="60"/>
        <v>8.4700000000000006</v>
      </c>
      <c r="Q240" s="27">
        <f t="shared" si="61"/>
        <v>2.2799999999999998</v>
      </c>
      <c r="R240" s="27">
        <f t="shared" si="64"/>
        <v>10.75</v>
      </c>
      <c r="S240" s="159">
        <f t="shared" si="62"/>
        <v>0</v>
      </c>
      <c r="T240" s="188">
        <f t="shared" si="63"/>
        <v>0</v>
      </c>
    </row>
    <row r="241" spans="1:20" ht="17.100000000000001" customHeight="1" x14ac:dyDescent="0.25">
      <c r="A241" s="320">
        <v>992</v>
      </c>
      <c r="B241" s="320"/>
      <c r="D241" s="233">
        <v>22</v>
      </c>
      <c r="E241" s="334" t="s">
        <v>1376</v>
      </c>
      <c r="F241" s="157" t="s">
        <v>1351</v>
      </c>
      <c r="G241" s="12">
        <f>+SUMIFS('2025 Lighting BDs'!C:C,'2025 Lighting BDs'!B:B,'E-13d'!A241)</f>
        <v>12</v>
      </c>
      <c r="H241" s="12">
        <v>9</v>
      </c>
      <c r="I241" s="153">
        <f t="shared" si="57"/>
        <v>108</v>
      </c>
      <c r="K241" s="19">
        <f>+SUMIFS('2024 Lighting Rates'!B:B,'2024 Lighting Rates'!A:A,A241)</f>
        <v>15.07</v>
      </c>
      <c r="L241" s="19">
        <f>+SUMIFS('2024 Lighting Rates'!C:C,'2024 Lighting Rates'!A:A,A241)</f>
        <v>1.54</v>
      </c>
      <c r="M241" s="27">
        <f t="shared" si="58"/>
        <v>16.61</v>
      </c>
      <c r="N241" s="159">
        <f t="shared" si="59"/>
        <v>199.32</v>
      </c>
      <c r="P241" s="27">
        <f t="shared" si="60"/>
        <v>15.07</v>
      </c>
      <c r="Q241" s="27">
        <f t="shared" si="61"/>
        <v>1.54</v>
      </c>
      <c r="R241" s="27">
        <f t="shared" si="64"/>
        <v>16.61</v>
      </c>
      <c r="S241" s="159">
        <f t="shared" si="62"/>
        <v>199.32</v>
      </c>
      <c r="T241" s="188">
        <f t="shared" si="63"/>
        <v>0</v>
      </c>
    </row>
    <row r="242" spans="1:20" ht="17.100000000000001" customHeight="1" x14ac:dyDescent="0.25">
      <c r="A242" s="320">
        <v>993</v>
      </c>
      <c r="B242" s="320"/>
      <c r="D242" s="233">
        <v>23</v>
      </c>
      <c r="E242" s="334" t="s">
        <v>1377</v>
      </c>
      <c r="F242" s="157" t="s">
        <v>1274</v>
      </c>
      <c r="G242" s="12">
        <f>+SUMIFS('2025 Lighting BDs'!C:C,'2025 Lighting BDs'!B:B,'E-13d'!A242)</f>
        <v>0</v>
      </c>
      <c r="H242" s="12">
        <v>10</v>
      </c>
      <c r="I242" s="153">
        <f t="shared" si="57"/>
        <v>0</v>
      </c>
      <c r="K242" s="19">
        <f>+SUMIFS('2024 Lighting Rates'!B:B,'2024 Lighting Rates'!A:A,A242)</f>
        <v>20.239999999999998</v>
      </c>
      <c r="L242" s="19">
        <f>+SUMIFS('2024 Lighting Rates'!C:C,'2024 Lighting Rates'!A:A,A242)</f>
        <v>2.2799999999999998</v>
      </c>
      <c r="M242" s="27">
        <f t="shared" si="58"/>
        <v>22.52</v>
      </c>
      <c r="N242" s="159">
        <f t="shared" si="59"/>
        <v>0</v>
      </c>
      <c r="P242" s="27">
        <f t="shared" si="60"/>
        <v>20.239999999999998</v>
      </c>
      <c r="Q242" s="27">
        <f t="shared" si="61"/>
        <v>2.2799999999999998</v>
      </c>
      <c r="R242" s="27">
        <f t="shared" si="64"/>
        <v>22.52</v>
      </c>
      <c r="S242" s="159">
        <f t="shared" si="62"/>
        <v>0</v>
      </c>
      <c r="T242" s="188">
        <f t="shared" si="63"/>
        <v>0</v>
      </c>
    </row>
    <row r="243" spans="1:20" ht="17.100000000000001" customHeight="1" x14ac:dyDescent="0.25">
      <c r="A243" s="320">
        <v>994</v>
      </c>
      <c r="B243" s="320"/>
      <c r="D243" s="233">
        <v>24</v>
      </c>
      <c r="E243" s="334" t="s">
        <v>1378</v>
      </c>
      <c r="F243" s="157" t="s">
        <v>1274</v>
      </c>
      <c r="G243" s="12">
        <f>+SUMIFS('2025 Lighting BDs'!C:C,'2025 Lighting BDs'!B:B,'E-13d'!A243)</f>
        <v>0</v>
      </c>
      <c r="H243" s="12">
        <v>10</v>
      </c>
      <c r="I243" s="153">
        <f t="shared" si="57"/>
        <v>0</v>
      </c>
      <c r="K243" s="19">
        <f>+SUMIFS('2024 Lighting Rates'!B:B,'2024 Lighting Rates'!A:A,A243)</f>
        <v>23.76</v>
      </c>
      <c r="L243" s="19">
        <f>+SUMIFS('2024 Lighting Rates'!C:C,'2024 Lighting Rates'!A:A,A243)</f>
        <v>2.2799999999999998</v>
      </c>
      <c r="M243" s="27">
        <f t="shared" si="58"/>
        <v>26.040000000000003</v>
      </c>
      <c r="N243" s="159">
        <f t="shared" si="59"/>
        <v>0</v>
      </c>
      <c r="P243" s="27">
        <f t="shared" si="60"/>
        <v>23.76</v>
      </c>
      <c r="Q243" s="27">
        <f t="shared" si="61"/>
        <v>2.2799999999999998</v>
      </c>
      <c r="R243" s="27">
        <f t="shared" si="64"/>
        <v>26.040000000000003</v>
      </c>
      <c r="S243" s="159">
        <f t="shared" si="62"/>
        <v>0</v>
      </c>
      <c r="T243" s="188">
        <f t="shared" si="63"/>
        <v>0</v>
      </c>
    </row>
    <row r="244" spans="1:20" ht="17.100000000000001" customHeight="1" x14ac:dyDescent="0.25">
      <c r="A244" s="320"/>
      <c r="B244" s="320"/>
      <c r="D244" s="233">
        <v>25</v>
      </c>
      <c r="E244" s="333" t="s">
        <v>1199</v>
      </c>
      <c r="F244" s="334"/>
      <c r="G244" s="334"/>
      <c r="H244" s="334"/>
      <c r="I244" s="13"/>
      <c r="J244" s="13"/>
      <c r="K244" s="334"/>
      <c r="L244" s="334"/>
      <c r="M244" s="334"/>
      <c r="N244" s="344">
        <f>SUM(N223:N243)</f>
        <v>44255.15</v>
      </c>
      <c r="P244" s="334"/>
      <c r="Q244" s="334"/>
      <c r="R244" s="334"/>
      <c r="S244" s="344">
        <f>SUM(S223:S243)</f>
        <v>44255.15</v>
      </c>
      <c r="T244" s="160"/>
    </row>
    <row r="245" spans="1:20" ht="17.100000000000001" customHeight="1" x14ac:dyDescent="0.25">
      <c r="A245" s="320"/>
      <c r="B245" s="320"/>
      <c r="D245" s="233">
        <v>26</v>
      </c>
      <c r="T245" s="313"/>
    </row>
    <row r="246" spans="1:20" ht="17.100000000000001" customHeight="1" x14ac:dyDescent="0.25">
      <c r="A246" s="320"/>
      <c r="B246" s="320"/>
      <c r="D246" s="233">
        <v>27</v>
      </c>
      <c r="E246" s="334" t="s">
        <v>1379</v>
      </c>
      <c r="F246" s="311"/>
      <c r="G246" s="54">
        <f>SUM(G13:G47)+SUM(G66:G99)+SUM(G118:G153)+SUM(G170:G239)</f>
        <v>2922431</v>
      </c>
      <c r="H246" s="12"/>
      <c r="I246" s="54">
        <f>SUM(I13:I47)+SUM(I66:I99)+SUM(I118:I153)+SUM(I170:I239)</f>
        <v>90975748</v>
      </c>
      <c r="J246" s="233"/>
      <c r="K246" s="233"/>
      <c r="L246" s="233"/>
      <c r="M246" s="233"/>
      <c r="N246" s="161">
        <f>N30+N48+N83+N100+N135+N154+N191+N244</f>
        <v>41424938.559999995</v>
      </c>
      <c r="O246" s="342"/>
      <c r="P246" s="342"/>
      <c r="Q246" s="233"/>
      <c r="R246" s="233"/>
      <c r="S246" s="161">
        <f>S30+S48+S83+S100+S135+S154+S191+S244</f>
        <v>41424938.559999995</v>
      </c>
      <c r="T246" s="188">
        <f>IF(S246=0,0,(S246-N246)/N246)</f>
        <v>0</v>
      </c>
    </row>
    <row r="247" spans="1:20" ht="17.100000000000001" customHeight="1" x14ac:dyDescent="0.25">
      <c r="A247" s="320"/>
      <c r="B247" s="320"/>
      <c r="D247" s="233">
        <v>28</v>
      </c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</row>
    <row r="248" spans="1:20" ht="17.100000000000001" customHeight="1" x14ac:dyDescent="0.25">
      <c r="A248" s="320"/>
      <c r="B248" s="320"/>
      <c r="D248" s="233">
        <v>29</v>
      </c>
      <c r="E248" s="233"/>
      <c r="F248" s="233"/>
      <c r="G248" s="233"/>
      <c r="H248" s="233"/>
      <c r="I248" s="233"/>
      <c r="J248" s="233"/>
      <c r="K248" s="233"/>
      <c r="L248" s="233"/>
      <c r="M248" s="233"/>
      <c r="N248" s="233"/>
      <c r="O248" s="233"/>
      <c r="P248" s="233"/>
      <c r="Q248" s="233"/>
      <c r="R248" s="233"/>
      <c r="S248" s="233"/>
      <c r="T248" s="233"/>
    </row>
    <row r="249" spans="1:20" ht="17.100000000000001" customHeight="1" x14ac:dyDescent="0.25">
      <c r="A249" s="320"/>
      <c r="B249" s="320"/>
      <c r="D249" s="233">
        <v>30</v>
      </c>
      <c r="E249" s="233"/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3"/>
      <c r="Q249" s="233"/>
      <c r="R249" s="233"/>
      <c r="S249" s="233"/>
      <c r="T249" s="233"/>
    </row>
    <row r="250" spans="1:20" ht="17.100000000000001" customHeight="1" x14ac:dyDescent="0.25">
      <c r="A250" s="320"/>
      <c r="B250" s="320"/>
      <c r="D250" s="233">
        <v>31</v>
      </c>
      <c r="E250" s="233"/>
      <c r="F250" s="233"/>
      <c r="G250" s="233"/>
      <c r="H250" s="233"/>
      <c r="I250" s="233"/>
      <c r="J250" s="233"/>
      <c r="K250" s="233"/>
      <c r="L250" s="233"/>
      <c r="M250" s="233"/>
      <c r="N250" s="233"/>
      <c r="O250" s="233"/>
      <c r="P250" s="233"/>
      <c r="Q250" s="233"/>
      <c r="R250" s="233"/>
      <c r="S250" s="233"/>
      <c r="T250" s="233"/>
    </row>
    <row r="251" spans="1:20" ht="17.100000000000001" customHeight="1" x14ac:dyDescent="0.25">
      <c r="A251" s="320"/>
      <c r="B251" s="320"/>
      <c r="D251" s="233">
        <v>32</v>
      </c>
      <c r="E251" s="233"/>
      <c r="F251" s="233"/>
      <c r="G251" s="233"/>
      <c r="H251" s="233"/>
      <c r="I251" s="233"/>
      <c r="J251" s="233"/>
      <c r="K251" s="233"/>
      <c r="L251" s="233"/>
      <c r="M251" s="233"/>
      <c r="N251" s="233"/>
      <c r="O251" s="233"/>
      <c r="P251" s="233"/>
      <c r="Q251" s="233"/>
      <c r="R251" s="233"/>
      <c r="S251" s="233"/>
      <c r="T251" s="233"/>
    </row>
    <row r="252" spans="1:20" ht="17.100000000000001" customHeight="1" x14ac:dyDescent="0.25">
      <c r="A252" s="320"/>
      <c r="B252" s="320"/>
      <c r="D252" s="233">
        <v>33</v>
      </c>
      <c r="E252" s="233"/>
      <c r="F252" s="233"/>
      <c r="G252" s="233"/>
      <c r="H252" s="233"/>
      <c r="I252" s="233"/>
      <c r="J252" s="233"/>
      <c r="K252" s="233"/>
      <c r="L252" s="233"/>
      <c r="M252" s="233"/>
      <c r="N252" s="233"/>
      <c r="O252" s="233"/>
      <c r="P252" s="233"/>
      <c r="Q252" s="233"/>
      <c r="R252" s="233"/>
      <c r="S252" s="233"/>
      <c r="T252" s="233"/>
    </row>
    <row r="253" spans="1:20" ht="17.100000000000001" customHeight="1" x14ac:dyDescent="0.25">
      <c r="A253" s="320"/>
      <c r="B253" s="320"/>
      <c r="D253" s="233">
        <v>34</v>
      </c>
      <c r="E253" s="233"/>
      <c r="F253" s="233"/>
      <c r="G253" s="233"/>
      <c r="H253" s="233"/>
      <c r="I253" s="233"/>
      <c r="J253" s="233"/>
      <c r="K253" s="233"/>
      <c r="L253" s="233"/>
      <c r="M253" s="233"/>
      <c r="N253" s="233"/>
      <c r="O253" s="233"/>
      <c r="P253" s="233"/>
      <c r="Q253" s="233"/>
      <c r="R253" s="233"/>
      <c r="S253" s="233"/>
      <c r="T253" s="233"/>
    </row>
    <row r="254" spans="1:20" ht="17.100000000000001" customHeight="1" x14ac:dyDescent="0.25">
      <c r="A254" s="320"/>
      <c r="B254" s="320"/>
      <c r="D254" s="233">
        <v>35</v>
      </c>
      <c r="E254" s="233"/>
      <c r="F254" s="233"/>
      <c r="G254" s="233"/>
      <c r="H254" s="233"/>
      <c r="I254" s="233"/>
      <c r="J254" s="233"/>
      <c r="K254" s="233"/>
      <c r="L254" s="233"/>
      <c r="M254" s="233"/>
      <c r="N254" s="233"/>
      <c r="O254" s="233"/>
      <c r="P254" s="233"/>
      <c r="Q254" s="233"/>
      <c r="R254" s="233"/>
      <c r="S254" s="233"/>
      <c r="T254" s="233"/>
    </row>
    <row r="255" spans="1:20" ht="17.100000000000001" customHeight="1" x14ac:dyDescent="0.25">
      <c r="A255" s="320"/>
      <c r="B255" s="320"/>
      <c r="D255" s="233">
        <v>36</v>
      </c>
      <c r="E255" s="233"/>
      <c r="F255" s="233"/>
      <c r="G255" s="233"/>
      <c r="H255" s="233"/>
      <c r="I255" s="233"/>
      <c r="J255" s="233"/>
      <c r="K255" s="233"/>
      <c r="L255" s="233"/>
      <c r="M255" s="233"/>
      <c r="N255" s="233"/>
      <c r="O255" s="233"/>
      <c r="P255" s="233"/>
      <c r="Q255" s="233"/>
      <c r="R255" s="233"/>
      <c r="S255" s="233"/>
      <c r="T255" s="233"/>
    </row>
    <row r="256" spans="1:20" ht="17.100000000000001" customHeight="1" x14ac:dyDescent="0.25">
      <c r="A256" s="320"/>
      <c r="B256" s="320"/>
      <c r="D256" s="233">
        <v>37</v>
      </c>
      <c r="E256" s="233"/>
      <c r="F256" s="233"/>
      <c r="G256" s="233"/>
      <c r="H256" s="233"/>
      <c r="I256" s="233"/>
      <c r="J256" s="233"/>
      <c r="K256" s="233"/>
      <c r="L256" s="233"/>
      <c r="M256" s="233"/>
      <c r="N256" s="233"/>
      <c r="O256" s="233"/>
      <c r="P256" s="233"/>
      <c r="Q256" s="233"/>
      <c r="R256" s="233"/>
      <c r="S256" s="233"/>
      <c r="T256" s="233"/>
    </row>
    <row r="257" spans="1:20" ht="17.100000000000001" customHeight="1" x14ac:dyDescent="0.25">
      <c r="A257" s="320"/>
      <c r="B257" s="320"/>
      <c r="D257" s="233">
        <v>38</v>
      </c>
      <c r="E257" s="233"/>
      <c r="F257" s="233"/>
      <c r="G257" s="233"/>
      <c r="H257" s="233"/>
      <c r="I257" s="233"/>
      <c r="J257" s="233"/>
      <c r="K257" s="233"/>
      <c r="L257" s="233"/>
      <c r="M257" s="233"/>
      <c r="N257" s="233"/>
      <c r="O257" s="233"/>
      <c r="P257" s="233"/>
      <c r="Q257" s="233"/>
      <c r="R257" s="233"/>
      <c r="S257" s="233"/>
      <c r="T257" s="233"/>
    </row>
    <row r="258" spans="1:20" ht="17.100000000000001" customHeight="1" x14ac:dyDescent="0.25">
      <c r="A258" s="320"/>
      <c r="B258" s="320"/>
      <c r="D258" s="233">
        <v>39</v>
      </c>
      <c r="E258" s="233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3"/>
      <c r="Q258" s="233"/>
      <c r="R258" s="233"/>
      <c r="S258" s="233"/>
      <c r="T258" s="233"/>
    </row>
    <row r="259" spans="1:20" ht="17.100000000000001" customHeight="1" thickBot="1" x14ac:dyDescent="0.3">
      <c r="A259" s="320"/>
      <c r="B259" s="320"/>
      <c r="D259" s="332">
        <v>40</v>
      </c>
      <c r="E259" s="332"/>
      <c r="F259" s="306"/>
      <c r="G259" s="306"/>
      <c r="H259" s="306"/>
      <c r="I259" s="306"/>
      <c r="J259" s="306"/>
      <c r="K259" s="306"/>
      <c r="L259" s="306"/>
      <c r="M259" s="306"/>
      <c r="N259" s="306"/>
      <c r="O259" s="343"/>
      <c r="P259" s="306"/>
      <c r="Q259" s="306"/>
      <c r="R259" s="306"/>
      <c r="S259" s="306"/>
      <c r="T259" s="326" t="s">
        <v>1380</v>
      </c>
    </row>
    <row r="260" spans="1:20" ht="17.100000000000001" customHeight="1" x14ac:dyDescent="0.25">
      <c r="A260" s="320"/>
      <c r="B260" s="320"/>
      <c r="D260" s="233" t="s">
        <v>1219</v>
      </c>
      <c r="E260" s="233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3" t="str">
        <f>R208</f>
        <v>Recap Schedules: E-13a</v>
      </c>
      <c r="S260" s="233"/>
      <c r="T260" s="233"/>
    </row>
    <row r="261" spans="1:20" ht="17.100000000000001" customHeight="1" thickBot="1" x14ac:dyDescent="0.3">
      <c r="A261" s="320"/>
      <c r="B261" s="320"/>
      <c r="D261" s="306" t="str">
        <f>+$D$1</f>
        <v>SCHEDULE E-13d</v>
      </c>
      <c r="E261" s="306"/>
      <c r="F261" s="306"/>
      <c r="G261" s="306"/>
      <c r="H261" s="306"/>
      <c r="I261" s="306" t="str">
        <f>+$I$1</f>
        <v>REVENUE BY RATE SCHEDULE - LIGHTING SCHEDULE CALCULATION</v>
      </c>
      <c r="J261" s="306"/>
      <c r="K261" s="306"/>
      <c r="L261" s="306"/>
      <c r="M261" s="306"/>
      <c r="N261" s="306"/>
      <c r="O261" s="306"/>
      <c r="P261" s="306"/>
      <c r="Q261" s="306"/>
      <c r="R261" s="306"/>
      <c r="S261" s="306"/>
      <c r="T261" s="306" t="s">
        <v>1381</v>
      </c>
    </row>
    <row r="262" spans="1:20" ht="17.100000000000001" customHeight="1" x14ac:dyDescent="0.25">
      <c r="A262" s="320"/>
      <c r="B262" s="320"/>
      <c r="D262" s="233" t="s">
        <v>307</v>
      </c>
      <c r="E262" s="233"/>
      <c r="F262" s="233"/>
      <c r="G262" s="311"/>
      <c r="H262" s="233"/>
      <c r="I262" s="311" t="s">
        <v>1222</v>
      </c>
      <c r="J262" s="233" t="s">
        <v>1491</v>
      </c>
      <c r="K262" s="233"/>
      <c r="L262" s="309"/>
      <c r="M262" s="309"/>
      <c r="N262" s="233"/>
      <c r="O262" s="233"/>
      <c r="P262" s="309"/>
      <c r="Q262" s="309" t="s">
        <v>309</v>
      </c>
      <c r="R262" s="233"/>
      <c r="S262" s="233"/>
      <c r="T262" s="310"/>
    </row>
    <row r="263" spans="1:20" ht="17.100000000000001" customHeight="1" x14ac:dyDescent="0.25">
      <c r="A263" s="320"/>
      <c r="B263" s="320"/>
      <c r="D263" s="233"/>
      <c r="E263" s="233"/>
      <c r="F263" s="233"/>
      <c r="G263" s="233"/>
      <c r="H263" s="233" t="str">
        <f>IF(+$H$3="","",$H$3)</f>
        <v/>
      </c>
      <c r="I263" s="233"/>
      <c r="J263" s="233" t="s">
        <v>1492</v>
      </c>
      <c r="K263" s="233"/>
      <c r="L263" s="311"/>
      <c r="M263" s="310"/>
      <c r="N263" s="233"/>
      <c r="O263" s="233"/>
      <c r="P263" s="233"/>
      <c r="Q263" s="312"/>
      <c r="R263" s="311" t="s">
        <v>919</v>
      </c>
      <c r="S263" s="310" t="s">
        <v>920</v>
      </c>
      <c r="T263" s="311"/>
    </row>
    <row r="264" spans="1:20" ht="17.100000000000001" customHeight="1" x14ac:dyDescent="0.25">
      <c r="A264" s="320"/>
      <c r="B264" s="320"/>
      <c r="D264" s="233" t="s">
        <v>310</v>
      </c>
      <c r="E264" s="233"/>
      <c r="F264" s="233"/>
      <c r="G264" s="233"/>
      <c r="H264" s="233" t="str">
        <f>IF(+$H$4="","",$H$4)</f>
        <v/>
      </c>
      <c r="I264" s="233"/>
      <c r="J264" s="233" t="s">
        <v>1493</v>
      </c>
      <c r="K264" s="233"/>
      <c r="L264" s="311"/>
      <c r="M264" s="310"/>
      <c r="N264" s="311"/>
      <c r="O264" s="311"/>
      <c r="P264" s="233"/>
      <c r="Q264" s="311"/>
      <c r="R264" s="311"/>
      <c r="S264" s="310" t="s">
        <v>937</v>
      </c>
      <c r="T264" s="311"/>
    </row>
    <row r="265" spans="1:20" ht="17.100000000000001" customHeight="1" x14ac:dyDescent="0.25">
      <c r="A265" s="320"/>
      <c r="B265" s="320"/>
      <c r="D265" s="233"/>
      <c r="E265" s="233"/>
      <c r="F265" s="233"/>
      <c r="G265" s="233"/>
      <c r="H265" s="233" t="str">
        <f>IF(+$H$5="","",$H$5)</f>
        <v/>
      </c>
      <c r="I265" s="233"/>
      <c r="J265" s="233" t="s">
        <v>1494</v>
      </c>
      <c r="K265" s="233"/>
      <c r="L265" s="311"/>
      <c r="M265" s="310"/>
      <c r="N265" s="311"/>
      <c r="O265" s="311"/>
      <c r="P265" s="233"/>
      <c r="Q265" s="311"/>
      <c r="R265" s="311"/>
      <c r="S265" s="310" t="s">
        <v>938</v>
      </c>
      <c r="T265" s="311"/>
    </row>
    <row r="266" spans="1:20" ht="17.100000000000001" customHeight="1" thickBot="1" x14ac:dyDescent="0.3">
      <c r="A266" s="320"/>
      <c r="B266" s="320"/>
      <c r="D266" s="306" t="str">
        <f>+$D$6</f>
        <v>DOCKET No. 20240026-EI</v>
      </c>
      <c r="E266" s="306"/>
      <c r="F266" s="306"/>
      <c r="G266" s="306"/>
      <c r="H266" s="306" t="str">
        <f>IF(+$H$8="","",$H$8)</f>
        <v/>
      </c>
      <c r="I266" s="306"/>
      <c r="J266" s="306"/>
      <c r="K266" s="314"/>
      <c r="L266" s="306"/>
      <c r="M266" s="306"/>
      <c r="N266" s="306"/>
      <c r="O266" s="306"/>
      <c r="P266" s="306"/>
      <c r="Q266" s="306"/>
      <c r="R266" s="233"/>
      <c r="S266" s="233" t="s">
        <v>311</v>
      </c>
      <c r="T266" s="306"/>
    </row>
    <row r="267" spans="1:20" ht="17.100000000000001" customHeight="1" x14ac:dyDescent="0.25">
      <c r="A267" s="320"/>
      <c r="B267" s="320"/>
      <c r="D267" s="315"/>
      <c r="E267" s="595" t="s">
        <v>1163</v>
      </c>
      <c r="F267" s="595"/>
      <c r="G267" s="595"/>
      <c r="H267" s="595"/>
      <c r="I267" s="595"/>
      <c r="J267" s="595"/>
      <c r="K267" s="595"/>
      <c r="L267" s="595"/>
      <c r="M267" s="595"/>
      <c r="N267" s="595"/>
      <c r="O267" s="595"/>
      <c r="P267" s="595"/>
      <c r="Q267" s="595"/>
      <c r="R267" s="595"/>
      <c r="S267" s="595"/>
      <c r="T267" s="595"/>
    </row>
    <row r="268" spans="1:20" ht="17.100000000000001" customHeight="1" x14ac:dyDescent="0.25">
      <c r="A268" s="320"/>
      <c r="B268" s="320"/>
      <c r="D268" s="233"/>
      <c r="E268" s="226"/>
      <c r="F268" s="317"/>
      <c r="G268" s="317"/>
      <c r="H268" s="317"/>
      <c r="I268" s="317"/>
      <c r="J268" s="317"/>
      <c r="K268" s="318"/>
      <c r="L268" s="345" t="s">
        <v>1164</v>
      </c>
      <c r="M268" s="318"/>
      <c r="N268" s="318"/>
      <c r="O268" s="318"/>
      <c r="P268" s="318"/>
      <c r="Q268" s="345" t="s">
        <v>873</v>
      </c>
      <c r="R268" s="318"/>
      <c r="S268" s="318"/>
      <c r="T268" s="317"/>
    </row>
    <row r="269" spans="1:20" ht="17.100000000000001" customHeight="1" x14ac:dyDescent="0.25">
      <c r="A269" s="320"/>
      <c r="B269" s="320"/>
      <c r="D269" s="233"/>
      <c r="E269" s="226"/>
      <c r="F269" s="317"/>
      <c r="G269" s="226" t="s">
        <v>1165</v>
      </c>
      <c r="H269" s="317" t="s">
        <v>1166</v>
      </c>
      <c r="I269" s="226"/>
      <c r="J269" s="226"/>
      <c r="K269" s="226" t="s">
        <v>1167</v>
      </c>
      <c r="L269" s="226" t="s">
        <v>1167</v>
      </c>
      <c r="M269" s="226" t="s">
        <v>1168</v>
      </c>
      <c r="N269" s="317" t="s">
        <v>807</v>
      </c>
      <c r="O269" s="317"/>
      <c r="P269" s="226" t="s">
        <v>1167</v>
      </c>
      <c r="Q269" s="226" t="s">
        <v>1167</v>
      </c>
      <c r="R269" s="226" t="s">
        <v>1168</v>
      </c>
      <c r="S269" s="226" t="s">
        <v>807</v>
      </c>
      <c r="T269" s="226"/>
    </row>
    <row r="270" spans="1:20" ht="17.100000000000001" customHeight="1" x14ac:dyDescent="0.25">
      <c r="A270" s="320"/>
      <c r="B270" s="320"/>
      <c r="D270" s="233" t="s">
        <v>314</v>
      </c>
      <c r="E270" s="226" t="s">
        <v>315</v>
      </c>
      <c r="F270" s="226"/>
      <c r="G270" s="226" t="s">
        <v>1169</v>
      </c>
      <c r="H270" s="226" t="s">
        <v>1167</v>
      </c>
      <c r="I270" s="317" t="s">
        <v>1165</v>
      </c>
      <c r="J270" s="317"/>
      <c r="K270" s="317" t="s">
        <v>1170</v>
      </c>
      <c r="L270" s="317" t="s">
        <v>1171</v>
      </c>
      <c r="M270" s="317" t="s">
        <v>1167</v>
      </c>
      <c r="N270" s="226" t="s">
        <v>336</v>
      </c>
      <c r="O270" s="226"/>
      <c r="P270" s="317" t="s">
        <v>1170</v>
      </c>
      <c r="Q270" s="317" t="s">
        <v>1171</v>
      </c>
      <c r="R270" s="317" t="s">
        <v>1167</v>
      </c>
      <c r="S270" s="317" t="s">
        <v>336</v>
      </c>
      <c r="T270" s="317" t="s">
        <v>857</v>
      </c>
    </row>
    <row r="271" spans="1:20" ht="17.100000000000001" customHeight="1" thickBot="1" x14ac:dyDescent="0.3">
      <c r="A271" s="320"/>
      <c r="B271" s="320"/>
      <c r="D271" s="306" t="s">
        <v>320</v>
      </c>
      <c r="E271" s="314" t="s">
        <v>1170</v>
      </c>
      <c r="F271" s="314"/>
      <c r="G271" s="314" t="s">
        <v>1172</v>
      </c>
      <c r="H271" s="314" t="s">
        <v>711</v>
      </c>
      <c r="I271" s="319" t="s">
        <v>711</v>
      </c>
      <c r="J271" s="319"/>
      <c r="K271" s="319" t="s">
        <v>1173</v>
      </c>
      <c r="L271" s="319" t="s">
        <v>1173</v>
      </c>
      <c r="M271" s="319" t="s">
        <v>1173</v>
      </c>
      <c r="N271" s="319" t="s">
        <v>318</v>
      </c>
      <c r="O271" s="319"/>
      <c r="P271" s="319" t="s">
        <v>1173</v>
      </c>
      <c r="Q271" s="319" t="s">
        <v>1173</v>
      </c>
      <c r="R271" s="319" t="s">
        <v>1173</v>
      </c>
      <c r="S271" s="319" t="s">
        <v>318</v>
      </c>
      <c r="T271" s="319" t="s">
        <v>326</v>
      </c>
    </row>
    <row r="272" spans="1:20" ht="17.100000000000001" customHeight="1" x14ac:dyDescent="0.25">
      <c r="A272" s="320"/>
      <c r="B272" s="320"/>
      <c r="D272" s="233">
        <v>1</v>
      </c>
      <c r="E272" s="327" t="s">
        <v>811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spans="1:22" ht="17.100000000000001" customHeight="1" x14ac:dyDescent="0.25">
      <c r="A273" s="320"/>
      <c r="B273" s="320"/>
      <c r="D273" s="233">
        <v>2</v>
      </c>
      <c r="E273" s="346" t="s">
        <v>1382</v>
      </c>
      <c r="F273" s="15"/>
      <c r="G273" s="15"/>
      <c r="H273" s="15"/>
      <c r="I273" s="15"/>
      <c r="J273" s="233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spans="1:22" ht="17.100000000000001" customHeight="1" x14ac:dyDescent="0.25">
      <c r="A274" s="320">
        <v>425</v>
      </c>
      <c r="B274" s="320"/>
      <c r="D274" s="233">
        <v>3</v>
      </c>
      <c r="E274" s="329" t="s">
        <v>1383</v>
      </c>
      <c r="F274" s="311" t="s">
        <v>1384</v>
      </c>
      <c r="G274" s="12">
        <f>+SUMIFS('2025 Lighting BDs'!C:C,'2025 Lighting BDs'!B:B,'E-13d'!A274)</f>
        <v>287</v>
      </c>
      <c r="H274" s="12"/>
      <c r="I274" s="19"/>
      <c r="J274" s="233"/>
      <c r="K274" s="19">
        <f>+SUMIFS('2024 Lighting Rates'!B:B,'2024 Lighting Rates'!A:A,A274)</f>
        <v>7.83</v>
      </c>
      <c r="L274" s="19">
        <f>+SUMIFS('2024 Lighting Rates'!C:C,'2024 Lighting Rates'!A:A,A274)</f>
        <v>0.17</v>
      </c>
      <c r="M274" s="27">
        <f>+K274+L274</f>
        <v>8</v>
      </c>
      <c r="N274" s="15">
        <f t="shared" ref="N274:N306" si="65">+M274*G274</f>
        <v>2296</v>
      </c>
      <c r="O274" s="12"/>
      <c r="P274" s="27">
        <f t="shared" ref="P274:P306" si="66">+K274</f>
        <v>7.83</v>
      </c>
      <c r="Q274" s="27">
        <f t="shared" ref="Q274:Q306" si="67">+L274</f>
        <v>0.17</v>
      </c>
      <c r="R274" s="27">
        <f t="shared" ref="R274:R306" si="68">+P274+Q274</f>
        <v>8</v>
      </c>
      <c r="S274" s="162">
        <f t="shared" ref="S274:S306" si="69">+R274*G274</f>
        <v>2296</v>
      </c>
      <c r="T274" s="188">
        <f t="shared" ref="T274:T306" si="70">IF(S274=0,0,(S274-N274)/N274)</f>
        <v>0</v>
      </c>
      <c r="U274" s="347"/>
      <c r="V274" s="347"/>
    </row>
    <row r="275" spans="1:22" ht="17.100000000000001" customHeight="1" x14ac:dyDescent="0.25">
      <c r="A275" s="320">
        <v>626</v>
      </c>
      <c r="B275" s="320"/>
      <c r="D275" s="233">
        <v>4</v>
      </c>
      <c r="E275" s="329" t="s">
        <v>1385</v>
      </c>
      <c r="F275" s="311" t="s">
        <v>1384</v>
      </c>
      <c r="G275" s="12">
        <f>+SUMIFS('2025 Lighting BDs'!C:C,'2025 Lighting BDs'!B:B,'E-13d'!A275)</f>
        <v>199058</v>
      </c>
      <c r="H275" s="12"/>
      <c r="I275" s="19"/>
      <c r="J275" s="233"/>
      <c r="K275" s="19">
        <f>+SUMIFS('2024 Lighting Rates'!B:B,'2024 Lighting Rates'!A:A,A275)</f>
        <v>3.87</v>
      </c>
      <c r="L275" s="19">
        <f>+SUMIFS('2024 Lighting Rates'!C:C,'2024 Lighting Rates'!A:A,A275)</f>
        <v>0.17</v>
      </c>
      <c r="M275" s="27">
        <f t="shared" ref="M275:M306" si="71">+K275+L275</f>
        <v>4.04</v>
      </c>
      <c r="N275" s="15">
        <f t="shared" si="65"/>
        <v>804194.32000000007</v>
      </c>
      <c r="O275" s="12"/>
      <c r="P275" s="27">
        <f t="shared" si="66"/>
        <v>3.87</v>
      </c>
      <c r="Q275" s="27">
        <f t="shared" si="67"/>
        <v>0.17</v>
      </c>
      <c r="R275" s="27">
        <f t="shared" si="68"/>
        <v>4.04</v>
      </c>
      <c r="S275" s="162">
        <f t="shared" si="69"/>
        <v>804194.32000000007</v>
      </c>
      <c r="T275" s="188">
        <f t="shared" si="70"/>
        <v>0</v>
      </c>
      <c r="U275" s="347"/>
    </row>
    <row r="276" spans="1:22" ht="17.100000000000001" customHeight="1" x14ac:dyDescent="0.25">
      <c r="A276" s="320">
        <v>627</v>
      </c>
      <c r="B276" s="320"/>
      <c r="D276" s="233">
        <v>5</v>
      </c>
      <c r="E276" s="329" t="s">
        <v>1386</v>
      </c>
      <c r="F276" s="311" t="s">
        <v>1384</v>
      </c>
      <c r="G276" s="12">
        <f>+SUMIFS('2025 Lighting BDs'!C:C,'2025 Lighting BDs'!B:B,'E-13d'!A276)</f>
        <v>233468</v>
      </c>
      <c r="H276" s="12"/>
      <c r="I276" s="19"/>
      <c r="J276" s="233"/>
      <c r="K276" s="19">
        <f>+SUMIFS('2024 Lighting Rates'!B:B,'2024 Lighting Rates'!A:A,A276)</f>
        <v>4.58</v>
      </c>
      <c r="L276" s="19">
        <f>+SUMIFS('2024 Lighting Rates'!C:C,'2024 Lighting Rates'!A:A,A276)</f>
        <v>0.17</v>
      </c>
      <c r="M276" s="27">
        <f t="shared" si="71"/>
        <v>4.75</v>
      </c>
      <c r="N276" s="15">
        <f t="shared" si="65"/>
        <v>1108973</v>
      </c>
      <c r="O276" s="12"/>
      <c r="P276" s="27">
        <f t="shared" si="66"/>
        <v>4.58</v>
      </c>
      <c r="Q276" s="27">
        <f t="shared" si="67"/>
        <v>0.17</v>
      </c>
      <c r="R276" s="27">
        <f t="shared" si="68"/>
        <v>4.75</v>
      </c>
      <c r="S276" s="162">
        <f t="shared" si="69"/>
        <v>1108973</v>
      </c>
      <c r="T276" s="188">
        <f t="shared" si="70"/>
        <v>0</v>
      </c>
      <c r="U276" s="347"/>
    </row>
    <row r="277" spans="1:22" ht="17.100000000000001" customHeight="1" x14ac:dyDescent="0.25">
      <c r="A277" s="320">
        <v>597</v>
      </c>
      <c r="B277" s="320"/>
      <c r="D277" s="233">
        <v>6</v>
      </c>
      <c r="E277" s="348" t="s">
        <v>1387</v>
      </c>
      <c r="F277" s="311" t="s">
        <v>1384</v>
      </c>
      <c r="G277" s="12">
        <f>+SUMIFS('2025 Lighting BDs'!C:C,'2025 Lighting BDs'!B:B,'E-13d'!A277)</f>
        <v>20808</v>
      </c>
      <c r="H277" s="12"/>
      <c r="I277" s="19"/>
      <c r="J277" s="233"/>
      <c r="K277" s="19">
        <f>+SUMIFS('2024 Lighting Rates'!B:B,'2024 Lighting Rates'!A:A,A277)</f>
        <v>9.7799999999999994</v>
      </c>
      <c r="L277" s="19">
        <f>+SUMIFS('2024 Lighting Rates'!C:C,'2024 Lighting Rates'!A:A,A277)</f>
        <v>0.31</v>
      </c>
      <c r="M277" s="27">
        <f t="shared" si="71"/>
        <v>10.09</v>
      </c>
      <c r="N277" s="15">
        <f t="shared" si="65"/>
        <v>209952.72</v>
      </c>
      <c r="O277" s="12"/>
      <c r="P277" s="27">
        <f t="shared" si="66"/>
        <v>9.7799999999999994</v>
      </c>
      <c r="Q277" s="27">
        <f t="shared" si="67"/>
        <v>0.31</v>
      </c>
      <c r="R277" s="27">
        <f t="shared" si="68"/>
        <v>10.09</v>
      </c>
      <c r="S277" s="162">
        <f t="shared" si="69"/>
        <v>209952.72</v>
      </c>
      <c r="T277" s="188">
        <f t="shared" si="70"/>
        <v>0</v>
      </c>
      <c r="U277" s="347"/>
    </row>
    <row r="278" spans="1:22" ht="17.100000000000001" customHeight="1" x14ac:dyDescent="0.25">
      <c r="A278" s="320">
        <v>637</v>
      </c>
      <c r="B278" s="320"/>
      <c r="D278" s="233">
        <v>7</v>
      </c>
      <c r="E278" s="310" t="s">
        <v>1388</v>
      </c>
      <c r="F278" s="311" t="s">
        <v>1384</v>
      </c>
      <c r="G278" s="12">
        <f>+SUMIFS('2025 Lighting BDs'!C:C,'2025 Lighting BDs'!B:B,'E-13d'!A278)</f>
        <v>55862</v>
      </c>
      <c r="H278" s="12"/>
      <c r="I278" s="19"/>
      <c r="J278" s="233"/>
      <c r="K278" s="19">
        <f>+SUMIFS('2024 Lighting Rates'!B:B,'2024 Lighting Rates'!A:A,A278)</f>
        <v>8.19</v>
      </c>
      <c r="L278" s="19">
        <f>+SUMIFS('2024 Lighting Rates'!C:C,'2024 Lighting Rates'!A:A,A278)</f>
        <v>0.17</v>
      </c>
      <c r="M278" s="27">
        <f t="shared" si="71"/>
        <v>8.36</v>
      </c>
      <c r="N278" s="15">
        <f t="shared" si="65"/>
        <v>467006.31999999995</v>
      </c>
      <c r="O278" s="12"/>
      <c r="P278" s="27">
        <f t="shared" si="66"/>
        <v>8.19</v>
      </c>
      <c r="Q278" s="27">
        <f t="shared" si="67"/>
        <v>0.17</v>
      </c>
      <c r="R278" s="27">
        <f t="shared" si="68"/>
        <v>8.36</v>
      </c>
      <c r="S278" s="162">
        <f t="shared" si="69"/>
        <v>467006.31999999995</v>
      </c>
      <c r="T278" s="188">
        <f t="shared" si="70"/>
        <v>0</v>
      </c>
      <c r="U278" s="347"/>
    </row>
    <row r="279" spans="1:22" ht="17.100000000000001" customHeight="1" x14ac:dyDescent="0.25">
      <c r="A279" s="320">
        <v>594</v>
      </c>
      <c r="B279" s="320"/>
      <c r="D279" s="233">
        <v>8</v>
      </c>
      <c r="E279" s="349" t="s">
        <v>1389</v>
      </c>
      <c r="F279" s="311" t="s">
        <v>1384</v>
      </c>
      <c r="G279" s="12">
        <f>+SUMIFS('2025 Lighting BDs'!C:C,'2025 Lighting BDs'!B:B,'E-13d'!A279)</f>
        <v>13487</v>
      </c>
      <c r="H279" s="350"/>
      <c r="J279" s="233"/>
      <c r="K279" s="19">
        <f>+SUMIFS('2024 Lighting Rates'!B:B,'2024 Lighting Rates'!A:A,A279)</f>
        <v>15.68</v>
      </c>
      <c r="L279" s="19">
        <f>+SUMIFS('2024 Lighting Rates'!C:C,'2024 Lighting Rates'!A:A,A279)</f>
        <v>0.31</v>
      </c>
      <c r="M279" s="27">
        <f t="shared" si="71"/>
        <v>15.99</v>
      </c>
      <c r="N279" s="15">
        <f t="shared" si="65"/>
        <v>215657.13</v>
      </c>
      <c r="O279" s="12"/>
      <c r="P279" s="27">
        <f t="shared" si="66"/>
        <v>15.68</v>
      </c>
      <c r="Q279" s="27">
        <f t="shared" si="67"/>
        <v>0.31</v>
      </c>
      <c r="R279" s="27">
        <f t="shared" si="68"/>
        <v>15.99</v>
      </c>
      <c r="S279" s="162">
        <f t="shared" si="69"/>
        <v>215657.13</v>
      </c>
      <c r="T279" s="188">
        <f t="shared" si="70"/>
        <v>0</v>
      </c>
      <c r="U279" s="347"/>
    </row>
    <row r="280" spans="1:22" ht="17.100000000000001" customHeight="1" x14ac:dyDescent="0.25">
      <c r="A280" s="320">
        <v>599</v>
      </c>
      <c r="B280" s="320"/>
      <c r="D280" s="233">
        <v>9</v>
      </c>
      <c r="E280" s="329" t="s">
        <v>1390</v>
      </c>
      <c r="F280" s="311" t="s">
        <v>1391</v>
      </c>
      <c r="G280" s="12">
        <f>+SUMIFS('2025 Lighting BDs'!C:C,'2025 Lighting BDs'!B:B,'E-13d'!A280)</f>
        <v>593</v>
      </c>
      <c r="H280" s="12"/>
      <c r="I280" s="19"/>
      <c r="J280" s="233"/>
      <c r="K280" s="19">
        <f>+SUMIFS('2024 Lighting Rates'!B:B,'2024 Lighting Rates'!A:A,A280)</f>
        <v>22.6</v>
      </c>
      <c r="L280" s="19">
        <f>+SUMIFS('2024 Lighting Rates'!C:C,'2024 Lighting Rates'!A:A,A280)</f>
        <v>0.14000000000000001</v>
      </c>
      <c r="M280" s="27">
        <f t="shared" si="71"/>
        <v>22.740000000000002</v>
      </c>
      <c r="N280" s="15">
        <f t="shared" si="65"/>
        <v>13484.820000000002</v>
      </c>
      <c r="O280" s="12"/>
      <c r="P280" s="27">
        <f t="shared" si="66"/>
        <v>22.6</v>
      </c>
      <c r="Q280" s="27">
        <f t="shared" si="67"/>
        <v>0.14000000000000001</v>
      </c>
      <c r="R280" s="27">
        <f t="shared" si="68"/>
        <v>22.740000000000002</v>
      </c>
      <c r="S280" s="162">
        <f t="shared" si="69"/>
        <v>13484.820000000002</v>
      </c>
      <c r="T280" s="188">
        <f t="shared" si="70"/>
        <v>0</v>
      </c>
    </row>
    <row r="281" spans="1:22" ht="17.100000000000001" customHeight="1" x14ac:dyDescent="0.25">
      <c r="A281" s="320">
        <v>595</v>
      </c>
      <c r="B281" s="320"/>
      <c r="D281" s="233">
        <v>10</v>
      </c>
      <c r="E281" s="329" t="s">
        <v>1392</v>
      </c>
      <c r="F281" s="311" t="s">
        <v>1391</v>
      </c>
      <c r="G281" s="12">
        <f>+SUMIFS('2025 Lighting BDs'!C:C,'2025 Lighting BDs'!B:B,'E-13d'!A281)</f>
        <v>4867</v>
      </c>
      <c r="H281" s="12"/>
      <c r="I281" s="19"/>
      <c r="J281" s="233"/>
      <c r="K281" s="19">
        <f>+SUMIFS('2024 Lighting Rates'!B:B,'2024 Lighting Rates'!A:A,A281)</f>
        <v>31.03</v>
      </c>
      <c r="L281" s="19">
        <f>+SUMIFS('2024 Lighting Rates'!C:C,'2024 Lighting Rates'!A:A,A281)</f>
        <v>0.14000000000000001</v>
      </c>
      <c r="M281" s="27">
        <f t="shared" si="71"/>
        <v>31.17</v>
      </c>
      <c r="N281" s="15">
        <f t="shared" si="65"/>
        <v>151704.39000000001</v>
      </c>
      <c r="O281" s="12"/>
      <c r="P281" s="27">
        <f t="shared" si="66"/>
        <v>31.03</v>
      </c>
      <c r="Q281" s="27">
        <f t="shared" si="67"/>
        <v>0.14000000000000001</v>
      </c>
      <c r="R281" s="27">
        <f t="shared" si="68"/>
        <v>31.17</v>
      </c>
      <c r="S281" s="162">
        <f t="shared" si="69"/>
        <v>151704.39000000001</v>
      </c>
      <c r="T281" s="188">
        <f t="shared" si="70"/>
        <v>0</v>
      </c>
    </row>
    <row r="282" spans="1:22" ht="17.100000000000001" customHeight="1" x14ac:dyDescent="0.25">
      <c r="A282" s="320">
        <v>588</v>
      </c>
      <c r="B282" s="320"/>
      <c r="D282" s="233">
        <v>11</v>
      </c>
      <c r="E282" s="329" t="s">
        <v>1393</v>
      </c>
      <c r="F282" s="311" t="s">
        <v>1391</v>
      </c>
      <c r="G282" s="12">
        <f>+SUMIFS('2025 Lighting BDs'!C:C,'2025 Lighting BDs'!B:B,'E-13d'!A282)</f>
        <v>178974</v>
      </c>
      <c r="H282" s="12"/>
      <c r="I282" s="19"/>
      <c r="J282" s="233"/>
      <c r="K282" s="19">
        <f>+SUMIFS('2024 Lighting Rates'!B:B,'2024 Lighting Rates'!A:A,A282)</f>
        <v>32.53</v>
      </c>
      <c r="L282" s="19">
        <f>+SUMIFS('2024 Lighting Rates'!C:C,'2024 Lighting Rates'!A:A,A282)</f>
        <v>0.34</v>
      </c>
      <c r="M282" s="27">
        <f t="shared" si="71"/>
        <v>32.870000000000005</v>
      </c>
      <c r="N282" s="15">
        <f t="shared" si="65"/>
        <v>5882875.3800000008</v>
      </c>
      <c r="O282" s="12"/>
      <c r="P282" s="27">
        <f t="shared" si="66"/>
        <v>32.53</v>
      </c>
      <c r="Q282" s="27">
        <f t="shared" si="67"/>
        <v>0.34</v>
      </c>
      <c r="R282" s="27">
        <f t="shared" si="68"/>
        <v>32.870000000000005</v>
      </c>
      <c r="S282" s="162">
        <f t="shared" si="69"/>
        <v>5882875.3800000008</v>
      </c>
      <c r="T282" s="188">
        <f t="shared" si="70"/>
        <v>0</v>
      </c>
    </row>
    <row r="283" spans="1:22" ht="17.100000000000001" customHeight="1" x14ac:dyDescent="0.25">
      <c r="A283" s="320">
        <v>607</v>
      </c>
      <c r="B283" s="320"/>
      <c r="D283" s="233">
        <v>12</v>
      </c>
      <c r="E283" s="329" t="s">
        <v>1394</v>
      </c>
      <c r="F283" s="311" t="s">
        <v>1391</v>
      </c>
      <c r="G283" s="12">
        <f>+SUMIFS('2025 Lighting BDs'!C:C,'2025 Lighting BDs'!B:B,'E-13d'!A283)</f>
        <v>362275</v>
      </c>
      <c r="H283" s="12"/>
      <c r="I283" s="19"/>
      <c r="J283" s="233"/>
      <c r="K283" s="19">
        <f>+SUMIFS('2024 Lighting Rates'!B:B,'2024 Lighting Rates'!A:A,A283)</f>
        <v>16.63</v>
      </c>
      <c r="L283" s="19">
        <f>+SUMIFS('2024 Lighting Rates'!C:C,'2024 Lighting Rates'!A:A,A283)</f>
        <v>0.34</v>
      </c>
      <c r="M283" s="27">
        <f t="shared" si="71"/>
        <v>16.97</v>
      </c>
      <c r="N283" s="15">
        <f t="shared" si="65"/>
        <v>6147806.75</v>
      </c>
      <c r="O283" s="12"/>
      <c r="P283" s="27">
        <f t="shared" si="66"/>
        <v>16.63</v>
      </c>
      <c r="Q283" s="27">
        <f t="shared" si="67"/>
        <v>0.34</v>
      </c>
      <c r="R283" s="27">
        <f t="shared" si="68"/>
        <v>16.97</v>
      </c>
      <c r="S283" s="162">
        <f t="shared" si="69"/>
        <v>6147806.75</v>
      </c>
      <c r="T283" s="188">
        <f t="shared" si="70"/>
        <v>0</v>
      </c>
    </row>
    <row r="284" spans="1:22" ht="17.100000000000001" customHeight="1" x14ac:dyDescent="0.25">
      <c r="A284" s="320">
        <v>612</v>
      </c>
      <c r="B284" s="320"/>
      <c r="D284" s="233">
        <v>13</v>
      </c>
      <c r="E284" s="329" t="s">
        <v>1395</v>
      </c>
      <c r="F284" s="311" t="s">
        <v>1391</v>
      </c>
      <c r="G284" s="12">
        <f>+SUMIFS('2025 Lighting BDs'!C:C,'2025 Lighting BDs'!B:B,'E-13d'!A284)</f>
        <v>48585</v>
      </c>
      <c r="H284" s="12"/>
      <c r="I284" s="19"/>
      <c r="J284" s="233"/>
      <c r="K284" s="19">
        <f>+SUMIFS('2024 Lighting Rates'!B:B,'2024 Lighting Rates'!A:A,A284)</f>
        <v>22.29</v>
      </c>
      <c r="L284" s="19">
        <f>+SUMIFS('2024 Lighting Rates'!C:C,'2024 Lighting Rates'!A:A,A284)</f>
        <v>0.34</v>
      </c>
      <c r="M284" s="27">
        <f t="shared" si="71"/>
        <v>22.63</v>
      </c>
      <c r="N284" s="15">
        <f t="shared" si="65"/>
        <v>1099478.55</v>
      </c>
      <c r="O284" s="12"/>
      <c r="P284" s="27">
        <f t="shared" si="66"/>
        <v>22.29</v>
      </c>
      <c r="Q284" s="27">
        <f t="shared" si="67"/>
        <v>0.34</v>
      </c>
      <c r="R284" s="27">
        <f t="shared" si="68"/>
        <v>22.63</v>
      </c>
      <c r="S284" s="162">
        <f t="shared" si="69"/>
        <v>1099478.55</v>
      </c>
      <c r="T284" s="188">
        <f t="shared" si="70"/>
        <v>0</v>
      </c>
    </row>
    <row r="285" spans="1:22" ht="17.100000000000001" customHeight="1" x14ac:dyDescent="0.25">
      <c r="A285" s="320">
        <v>614</v>
      </c>
      <c r="B285" s="320"/>
      <c r="D285" s="233">
        <v>14</v>
      </c>
      <c r="E285" s="329" t="s">
        <v>1396</v>
      </c>
      <c r="F285" s="311" t="s">
        <v>1391</v>
      </c>
      <c r="G285" s="12">
        <f>+SUMIFS('2025 Lighting BDs'!C:C,'2025 Lighting BDs'!B:B,'E-13d'!A285)</f>
        <v>43498</v>
      </c>
      <c r="H285" s="12"/>
      <c r="I285" s="19"/>
      <c r="J285" s="233"/>
      <c r="K285" s="19">
        <f>+SUMIFS('2024 Lighting Rates'!B:B,'2024 Lighting Rates'!A:A,A285)</f>
        <v>33.64</v>
      </c>
      <c r="L285" s="19">
        <f>+SUMIFS('2024 Lighting Rates'!C:C,'2024 Lighting Rates'!A:A,A285)</f>
        <v>0.34</v>
      </c>
      <c r="M285" s="27">
        <f t="shared" si="71"/>
        <v>33.980000000000004</v>
      </c>
      <c r="N285" s="15">
        <f t="shared" si="65"/>
        <v>1478062.0400000003</v>
      </c>
      <c r="O285" s="12"/>
      <c r="P285" s="27">
        <f t="shared" si="66"/>
        <v>33.64</v>
      </c>
      <c r="Q285" s="27">
        <f t="shared" si="67"/>
        <v>0.34</v>
      </c>
      <c r="R285" s="27">
        <f t="shared" si="68"/>
        <v>33.980000000000004</v>
      </c>
      <c r="S285" s="162">
        <f t="shared" si="69"/>
        <v>1478062.0400000003</v>
      </c>
      <c r="T285" s="188">
        <f t="shared" si="70"/>
        <v>0</v>
      </c>
    </row>
    <row r="286" spans="1:22" ht="17.100000000000001" customHeight="1" x14ac:dyDescent="0.25">
      <c r="A286" s="320">
        <v>596</v>
      </c>
      <c r="B286" s="320"/>
      <c r="D286" s="233">
        <v>15</v>
      </c>
      <c r="E286" s="329" t="s">
        <v>1397</v>
      </c>
      <c r="F286" s="311" t="s">
        <v>1391</v>
      </c>
      <c r="G286" s="12">
        <f>+SUMIFS('2025 Lighting BDs'!C:C,'2025 Lighting BDs'!B:B,'E-13d'!A286)</f>
        <v>19521</v>
      </c>
      <c r="H286" s="12"/>
      <c r="I286" s="12"/>
      <c r="J286" s="233"/>
      <c r="K286" s="19">
        <f>+SUMIFS('2024 Lighting Rates'!B:B,'2024 Lighting Rates'!A:A,A286)</f>
        <v>37.9</v>
      </c>
      <c r="L286" s="19">
        <f>+SUMIFS('2024 Lighting Rates'!C:C,'2024 Lighting Rates'!A:A,A286)</f>
        <v>0.14000000000000001</v>
      </c>
      <c r="M286" s="27">
        <f t="shared" si="71"/>
        <v>38.04</v>
      </c>
      <c r="N286" s="15">
        <f t="shared" si="65"/>
        <v>742578.84</v>
      </c>
      <c r="O286" s="12"/>
      <c r="P286" s="27">
        <f t="shared" si="66"/>
        <v>37.9</v>
      </c>
      <c r="Q286" s="27">
        <f t="shared" si="67"/>
        <v>0.14000000000000001</v>
      </c>
      <c r="R286" s="27">
        <f t="shared" si="68"/>
        <v>38.04</v>
      </c>
      <c r="S286" s="162">
        <f t="shared" si="69"/>
        <v>742578.84</v>
      </c>
      <c r="T286" s="188">
        <f t="shared" si="70"/>
        <v>0</v>
      </c>
    </row>
    <row r="287" spans="1:22" ht="17.100000000000001" customHeight="1" x14ac:dyDescent="0.25">
      <c r="A287" s="320">
        <v>523</v>
      </c>
      <c r="B287" s="320"/>
      <c r="D287" s="233">
        <v>16</v>
      </c>
      <c r="E287" s="329" t="s">
        <v>1398</v>
      </c>
      <c r="F287" s="311" t="s">
        <v>1391</v>
      </c>
      <c r="G287" s="12">
        <f>+SUMIFS('2025 Lighting BDs'!C:C,'2025 Lighting BDs'!B:B,'E-13d'!A287)</f>
        <v>1376</v>
      </c>
      <c r="H287" s="12"/>
      <c r="I287" s="12"/>
      <c r="J287" s="233"/>
      <c r="K287" s="19">
        <f>+SUMIFS('2024 Lighting Rates'!B:B,'2024 Lighting Rates'!A:A,A287)</f>
        <v>30.45</v>
      </c>
      <c r="L287" s="19">
        <f>+SUMIFS('2024 Lighting Rates'!C:C,'2024 Lighting Rates'!A:A,A287)</f>
        <v>0.14000000000000001</v>
      </c>
      <c r="M287" s="27">
        <f t="shared" si="71"/>
        <v>30.59</v>
      </c>
      <c r="N287" s="15">
        <f t="shared" si="65"/>
        <v>42091.839999999997</v>
      </c>
      <c r="O287" s="12"/>
      <c r="P287" s="27">
        <f t="shared" si="66"/>
        <v>30.45</v>
      </c>
      <c r="Q287" s="27">
        <f t="shared" si="67"/>
        <v>0.14000000000000001</v>
      </c>
      <c r="R287" s="27">
        <f t="shared" si="68"/>
        <v>30.59</v>
      </c>
      <c r="S287" s="162">
        <f t="shared" si="69"/>
        <v>42091.839999999997</v>
      </c>
      <c r="T287" s="188">
        <f t="shared" si="70"/>
        <v>0</v>
      </c>
    </row>
    <row r="288" spans="1:22" ht="17.100000000000001" customHeight="1" x14ac:dyDescent="0.25">
      <c r="A288" s="320">
        <v>591</v>
      </c>
      <c r="B288" s="320"/>
      <c r="D288" s="233">
        <v>17</v>
      </c>
      <c r="E288" s="329" t="s">
        <v>1399</v>
      </c>
      <c r="F288" s="311" t="s">
        <v>1391</v>
      </c>
      <c r="G288" s="12">
        <f>+SUMIFS('2025 Lighting BDs'!C:C,'2025 Lighting BDs'!B:B,'E-13d'!A288)</f>
        <v>17924</v>
      </c>
      <c r="H288" s="12"/>
      <c r="I288" s="12"/>
      <c r="J288" s="233"/>
      <c r="K288" s="19">
        <f>+SUMIFS('2024 Lighting Rates'!B:B,'2024 Lighting Rates'!A:A,A288)</f>
        <v>41.94</v>
      </c>
      <c r="L288" s="19">
        <f>+SUMIFS('2024 Lighting Rates'!C:C,'2024 Lighting Rates'!A:A,A288)</f>
        <v>0.14000000000000001</v>
      </c>
      <c r="M288" s="27">
        <f t="shared" si="71"/>
        <v>42.08</v>
      </c>
      <c r="N288" s="15">
        <f t="shared" si="65"/>
        <v>754241.91999999993</v>
      </c>
      <c r="O288" s="12"/>
      <c r="P288" s="27">
        <f t="shared" si="66"/>
        <v>41.94</v>
      </c>
      <c r="Q288" s="27">
        <f t="shared" si="67"/>
        <v>0.14000000000000001</v>
      </c>
      <c r="R288" s="27">
        <f t="shared" si="68"/>
        <v>42.08</v>
      </c>
      <c r="S288" s="162">
        <f t="shared" si="69"/>
        <v>754241.91999999993</v>
      </c>
      <c r="T288" s="188">
        <f t="shared" si="70"/>
        <v>0</v>
      </c>
    </row>
    <row r="289" spans="1:21" ht="17.100000000000001" customHeight="1" x14ac:dyDescent="0.25">
      <c r="A289" s="320">
        <v>592</v>
      </c>
      <c r="B289" s="320"/>
      <c r="D289" s="233">
        <v>18</v>
      </c>
      <c r="E289" s="329" t="s">
        <v>1400</v>
      </c>
      <c r="F289" s="311" t="s">
        <v>1391</v>
      </c>
      <c r="G289" s="12">
        <f>+SUMIFS('2025 Lighting BDs'!C:C,'2025 Lighting BDs'!B:B,'E-13d'!A289)</f>
        <v>11419</v>
      </c>
      <c r="H289" s="12"/>
      <c r="I289" s="12"/>
      <c r="J289" s="233"/>
      <c r="K289" s="19">
        <f>+SUMIFS('2024 Lighting Rates'!B:B,'2024 Lighting Rates'!A:A,A289)</f>
        <v>36.01</v>
      </c>
      <c r="L289" s="19">
        <f>+SUMIFS('2024 Lighting Rates'!C:C,'2024 Lighting Rates'!A:A,A289)</f>
        <v>0.14000000000000001</v>
      </c>
      <c r="M289" s="27">
        <f t="shared" si="71"/>
        <v>36.15</v>
      </c>
      <c r="N289" s="15">
        <f t="shared" si="65"/>
        <v>412796.85</v>
      </c>
      <c r="O289" s="12"/>
      <c r="P289" s="27">
        <f t="shared" si="66"/>
        <v>36.01</v>
      </c>
      <c r="Q289" s="27">
        <f t="shared" si="67"/>
        <v>0.14000000000000001</v>
      </c>
      <c r="R289" s="27">
        <f t="shared" si="68"/>
        <v>36.15</v>
      </c>
      <c r="S289" s="162">
        <f t="shared" si="69"/>
        <v>412796.85</v>
      </c>
      <c r="T289" s="188">
        <f t="shared" si="70"/>
        <v>0</v>
      </c>
    </row>
    <row r="290" spans="1:21" ht="17.100000000000001" customHeight="1" x14ac:dyDescent="0.25">
      <c r="A290" s="320">
        <v>593</v>
      </c>
      <c r="B290" s="320"/>
      <c r="D290" s="233">
        <v>19</v>
      </c>
      <c r="E290" s="339" t="s">
        <v>1401</v>
      </c>
      <c r="F290" s="311" t="s">
        <v>1391</v>
      </c>
      <c r="G290" s="12">
        <f>+SUMIFS('2025 Lighting BDs'!C:C,'2025 Lighting BDs'!B:B,'E-13d'!A290)</f>
        <v>92326</v>
      </c>
      <c r="H290" s="12"/>
      <c r="I290" s="233"/>
      <c r="J290" s="233"/>
      <c r="K290" s="19">
        <f>+SUMIFS('2024 Lighting Rates'!B:B,'2024 Lighting Rates'!A:A,A290)</f>
        <v>20.260000000000002</v>
      </c>
      <c r="L290" s="19">
        <f>+SUMIFS('2024 Lighting Rates'!C:C,'2024 Lighting Rates'!A:A,A290)</f>
        <v>1.1000000000000001</v>
      </c>
      <c r="M290" s="27">
        <f t="shared" si="71"/>
        <v>21.360000000000003</v>
      </c>
      <c r="N290" s="15">
        <f t="shared" si="65"/>
        <v>1972083.3600000003</v>
      </c>
      <c r="O290" s="12"/>
      <c r="P290" s="27">
        <f t="shared" si="66"/>
        <v>20.260000000000002</v>
      </c>
      <c r="Q290" s="27">
        <f t="shared" si="67"/>
        <v>1.1000000000000001</v>
      </c>
      <c r="R290" s="27">
        <f t="shared" si="68"/>
        <v>21.360000000000003</v>
      </c>
      <c r="S290" s="162">
        <f t="shared" si="69"/>
        <v>1972083.3600000003</v>
      </c>
      <c r="T290" s="188">
        <f t="shared" si="70"/>
        <v>0</v>
      </c>
      <c r="U290" s="351"/>
    </row>
    <row r="291" spans="1:21" ht="17.100000000000001" customHeight="1" x14ac:dyDescent="0.25">
      <c r="A291" s="320">
        <v>583</v>
      </c>
      <c r="B291" s="320"/>
      <c r="D291" s="233">
        <v>20</v>
      </c>
      <c r="E291" s="233" t="s">
        <v>1402</v>
      </c>
      <c r="F291" s="311" t="s">
        <v>1391</v>
      </c>
      <c r="G291" s="12">
        <f>+SUMIFS('2025 Lighting BDs'!C:C,'2025 Lighting BDs'!B:B,'E-13d'!A291)</f>
        <v>6517</v>
      </c>
      <c r="H291" s="12"/>
      <c r="I291" s="233"/>
      <c r="J291" s="233"/>
      <c r="K291" s="19">
        <f>+SUMIFS('2024 Lighting Rates'!B:B,'2024 Lighting Rates'!A:A,A291)</f>
        <v>30.44</v>
      </c>
      <c r="L291" s="19">
        <f>+SUMIFS('2024 Lighting Rates'!C:C,'2024 Lighting Rates'!A:A,A291)</f>
        <v>0.14000000000000001</v>
      </c>
      <c r="M291" s="27">
        <f t="shared" si="71"/>
        <v>30.580000000000002</v>
      </c>
      <c r="N291" s="15">
        <f t="shared" si="65"/>
        <v>199289.86000000002</v>
      </c>
      <c r="O291" s="12"/>
      <c r="P291" s="27">
        <f t="shared" si="66"/>
        <v>30.44</v>
      </c>
      <c r="Q291" s="27">
        <f t="shared" si="67"/>
        <v>0.14000000000000001</v>
      </c>
      <c r="R291" s="27">
        <f t="shared" si="68"/>
        <v>30.580000000000002</v>
      </c>
      <c r="S291" s="162">
        <f t="shared" si="69"/>
        <v>199289.86000000002</v>
      </c>
      <c r="T291" s="188">
        <f t="shared" si="70"/>
        <v>0</v>
      </c>
    </row>
    <row r="292" spans="1:21" ht="17.100000000000001" customHeight="1" x14ac:dyDescent="0.25">
      <c r="A292" s="320">
        <v>422</v>
      </c>
      <c r="B292" s="320"/>
      <c r="D292" s="233">
        <v>21</v>
      </c>
      <c r="E292" s="329" t="s">
        <v>1403</v>
      </c>
      <c r="F292" s="311" t="s">
        <v>1391</v>
      </c>
      <c r="G292" s="12">
        <f>+SUMIFS('2025 Lighting BDs'!C:C,'2025 Lighting BDs'!B:B,'E-13d'!A292)</f>
        <v>896</v>
      </c>
      <c r="H292" s="233"/>
      <c r="I292" s="233"/>
      <c r="J292" s="233"/>
      <c r="K292" s="19">
        <f>+SUMIFS('2024 Lighting Rates'!B:B,'2024 Lighting Rates'!A:A,A292)</f>
        <v>12.46</v>
      </c>
      <c r="L292" s="19">
        <f>+SUMIFS('2024 Lighting Rates'!C:C,'2024 Lighting Rates'!A:A,A292)</f>
        <v>1.3</v>
      </c>
      <c r="M292" s="27">
        <f t="shared" si="71"/>
        <v>13.760000000000002</v>
      </c>
      <c r="N292" s="15">
        <f t="shared" si="65"/>
        <v>12328.960000000001</v>
      </c>
      <c r="O292" s="352"/>
      <c r="P292" s="27">
        <f t="shared" si="66"/>
        <v>12.46</v>
      </c>
      <c r="Q292" s="27">
        <f t="shared" si="67"/>
        <v>1.3</v>
      </c>
      <c r="R292" s="27">
        <f t="shared" si="68"/>
        <v>13.760000000000002</v>
      </c>
      <c r="S292" s="196">
        <f t="shared" si="69"/>
        <v>12328.960000000001</v>
      </c>
      <c r="T292" s="188">
        <f t="shared" si="70"/>
        <v>0</v>
      </c>
    </row>
    <row r="293" spans="1:21" ht="17.100000000000001" customHeight="1" x14ac:dyDescent="0.25">
      <c r="A293" s="320">
        <v>616</v>
      </c>
      <c r="B293" s="320"/>
      <c r="D293" s="233">
        <v>22</v>
      </c>
      <c r="E293" s="329" t="s">
        <v>1404</v>
      </c>
      <c r="F293" s="311" t="s">
        <v>1391</v>
      </c>
      <c r="G293" s="12">
        <f>+SUMIFS('2025 Lighting BDs'!C:C,'2025 Lighting BDs'!B:B,'E-13d'!A293)</f>
        <v>8599</v>
      </c>
      <c r="H293" s="12"/>
      <c r="I293" s="353"/>
      <c r="J293" s="233"/>
      <c r="K293" s="19">
        <f>+SUMIFS('2024 Lighting Rates'!B:B,'2024 Lighting Rates'!A:A,A293)</f>
        <v>41.39</v>
      </c>
      <c r="L293" s="19">
        <f>+SUMIFS('2024 Lighting Rates'!C:C,'2024 Lighting Rates'!A:A,A293)</f>
        <v>0.34</v>
      </c>
      <c r="M293" s="27">
        <f t="shared" si="71"/>
        <v>41.730000000000004</v>
      </c>
      <c r="N293" s="15">
        <f t="shared" si="65"/>
        <v>358836.27</v>
      </c>
      <c r="O293" s="15"/>
      <c r="P293" s="27">
        <f t="shared" si="66"/>
        <v>41.39</v>
      </c>
      <c r="Q293" s="27">
        <f t="shared" si="67"/>
        <v>0.34</v>
      </c>
      <c r="R293" s="27">
        <f t="shared" si="68"/>
        <v>41.730000000000004</v>
      </c>
      <c r="S293" s="162">
        <f t="shared" si="69"/>
        <v>358836.27</v>
      </c>
      <c r="T293" s="188">
        <f t="shared" si="70"/>
        <v>0</v>
      </c>
    </row>
    <row r="294" spans="1:21" ht="17.100000000000001" customHeight="1" x14ac:dyDescent="0.25">
      <c r="A294" s="320">
        <v>615</v>
      </c>
      <c r="B294" s="320"/>
      <c r="D294" s="233">
        <v>23</v>
      </c>
      <c r="E294" s="329" t="s">
        <v>1405</v>
      </c>
      <c r="F294" s="311" t="s">
        <v>1391</v>
      </c>
      <c r="G294" s="12">
        <f>+SUMIFS('2025 Lighting BDs'!C:C,'2025 Lighting BDs'!B:B,'E-13d'!A294)</f>
        <v>30346</v>
      </c>
      <c r="H294" s="12"/>
      <c r="I294" s="233"/>
      <c r="J294" s="233"/>
      <c r="K294" s="19">
        <f>+SUMIFS('2024 Lighting Rates'!B:B,'2024 Lighting Rates'!A:A,A294)</f>
        <v>17.78</v>
      </c>
      <c r="L294" s="19">
        <f>+SUMIFS('2024 Lighting Rates'!C:C,'2024 Lighting Rates'!A:A,A294)</f>
        <v>0.34</v>
      </c>
      <c r="M294" s="27">
        <f t="shared" si="71"/>
        <v>18.12</v>
      </c>
      <c r="N294" s="15">
        <f t="shared" si="65"/>
        <v>549869.52</v>
      </c>
      <c r="O294" s="12"/>
      <c r="P294" s="27">
        <f t="shared" si="66"/>
        <v>17.78</v>
      </c>
      <c r="Q294" s="27">
        <f t="shared" si="67"/>
        <v>0.34</v>
      </c>
      <c r="R294" s="27">
        <f t="shared" si="68"/>
        <v>18.12</v>
      </c>
      <c r="S294" s="162">
        <f t="shared" si="69"/>
        <v>549869.52</v>
      </c>
      <c r="T294" s="188">
        <f t="shared" si="70"/>
        <v>0</v>
      </c>
    </row>
    <row r="295" spans="1:21" ht="17.100000000000001" customHeight="1" x14ac:dyDescent="0.25">
      <c r="A295" s="320">
        <v>622</v>
      </c>
      <c r="B295" s="320"/>
      <c r="D295" s="233">
        <v>24</v>
      </c>
      <c r="E295" s="329" t="s">
        <v>1406</v>
      </c>
      <c r="F295" s="311" t="s">
        <v>1391</v>
      </c>
      <c r="G295" s="12">
        <f>+SUMIFS('2025 Lighting BDs'!C:C,'2025 Lighting BDs'!B:B,'E-13d'!A295)</f>
        <v>4223</v>
      </c>
      <c r="H295" s="12"/>
      <c r="I295" s="353"/>
      <c r="J295" s="233"/>
      <c r="K295" s="19">
        <f>+SUMIFS('2024 Lighting Rates'!B:B,'2024 Lighting Rates'!A:A,A295)</f>
        <v>56.67</v>
      </c>
      <c r="L295" s="19">
        <f>+SUMIFS('2024 Lighting Rates'!C:C,'2024 Lighting Rates'!A:A,A295)</f>
        <v>0.34</v>
      </c>
      <c r="M295" s="27">
        <f t="shared" si="71"/>
        <v>57.010000000000005</v>
      </c>
      <c r="N295" s="15">
        <f t="shared" si="65"/>
        <v>240753.23</v>
      </c>
      <c r="O295" s="12"/>
      <c r="P295" s="27">
        <f t="shared" si="66"/>
        <v>56.67</v>
      </c>
      <c r="Q295" s="27">
        <f t="shared" si="67"/>
        <v>0.34</v>
      </c>
      <c r="R295" s="27">
        <f t="shared" si="68"/>
        <v>57.010000000000005</v>
      </c>
      <c r="S295" s="162">
        <f t="shared" si="69"/>
        <v>240753.23</v>
      </c>
      <c r="T295" s="188">
        <f t="shared" si="70"/>
        <v>0</v>
      </c>
    </row>
    <row r="296" spans="1:21" ht="17.100000000000001" customHeight="1" x14ac:dyDescent="0.25">
      <c r="A296" s="320">
        <v>623</v>
      </c>
      <c r="B296" s="320"/>
      <c r="D296" s="233">
        <v>25</v>
      </c>
      <c r="E296" s="233" t="s">
        <v>1407</v>
      </c>
      <c r="F296" s="311" t="s">
        <v>1391</v>
      </c>
      <c r="G296" s="12">
        <f>+SUMIFS('2025 Lighting BDs'!C:C,'2025 Lighting BDs'!B:B,'E-13d'!A296)</f>
        <v>2416</v>
      </c>
      <c r="I296" s="233"/>
      <c r="J296" s="233"/>
      <c r="K296" s="19">
        <f>+SUMIFS('2024 Lighting Rates'!B:B,'2024 Lighting Rates'!A:A,A296)</f>
        <v>48.78</v>
      </c>
      <c r="L296" s="19">
        <f>+SUMIFS('2024 Lighting Rates'!C:C,'2024 Lighting Rates'!A:A,A296)</f>
        <v>3.85</v>
      </c>
      <c r="M296" s="27">
        <f t="shared" si="71"/>
        <v>52.63</v>
      </c>
      <c r="N296" s="15">
        <f t="shared" si="65"/>
        <v>127154.08</v>
      </c>
      <c r="O296" s="12"/>
      <c r="P296" s="27">
        <f t="shared" si="66"/>
        <v>48.78</v>
      </c>
      <c r="Q296" s="27">
        <f t="shared" si="67"/>
        <v>3.85</v>
      </c>
      <c r="R296" s="27">
        <f t="shared" si="68"/>
        <v>52.63</v>
      </c>
      <c r="S296" s="162">
        <f t="shared" si="69"/>
        <v>127154.08</v>
      </c>
      <c r="T296" s="188">
        <f t="shared" si="70"/>
        <v>0</v>
      </c>
    </row>
    <row r="297" spans="1:21" ht="17.100000000000001" customHeight="1" x14ac:dyDescent="0.25">
      <c r="A297" s="320">
        <v>584</v>
      </c>
      <c r="B297" s="320"/>
      <c r="D297" s="233">
        <v>26</v>
      </c>
      <c r="E297" s="349" t="s">
        <v>1408</v>
      </c>
      <c r="F297" s="311" t="s">
        <v>1391</v>
      </c>
      <c r="G297" s="12">
        <f>+SUMIFS('2025 Lighting BDs'!C:C,'2025 Lighting BDs'!B:B,'E-13d'!A297)</f>
        <v>1695</v>
      </c>
      <c r="H297" s="12"/>
      <c r="I297" s="233"/>
      <c r="J297" s="233"/>
      <c r="K297" s="19">
        <f>+SUMIFS('2024 Lighting Rates'!B:B,'2024 Lighting Rates'!A:A,A297)</f>
        <v>23.38</v>
      </c>
      <c r="L297" s="19">
        <f>+SUMIFS('2024 Lighting Rates'!C:C,'2024 Lighting Rates'!A:A,A297)</f>
        <v>1.1000000000000001</v>
      </c>
      <c r="M297" s="27">
        <f t="shared" si="71"/>
        <v>24.48</v>
      </c>
      <c r="N297" s="15">
        <f t="shared" si="65"/>
        <v>41493.599999999999</v>
      </c>
      <c r="O297" s="15"/>
      <c r="P297" s="27">
        <f t="shared" si="66"/>
        <v>23.38</v>
      </c>
      <c r="Q297" s="27">
        <f t="shared" si="67"/>
        <v>1.1000000000000001</v>
      </c>
      <c r="R297" s="27">
        <f t="shared" si="68"/>
        <v>24.48</v>
      </c>
      <c r="S297" s="162">
        <f t="shared" si="69"/>
        <v>41493.599999999999</v>
      </c>
      <c r="T297" s="188">
        <f t="shared" si="70"/>
        <v>0</v>
      </c>
    </row>
    <row r="298" spans="1:21" ht="17.100000000000001" customHeight="1" x14ac:dyDescent="0.25">
      <c r="A298" s="320">
        <v>581</v>
      </c>
      <c r="B298" s="320"/>
      <c r="D298" s="233">
        <v>27</v>
      </c>
      <c r="E298" s="329" t="s">
        <v>1409</v>
      </c>
      <c r="F298" s="311" t="s">
        <v>1391</v>
      </c>
      <c r="G298" s="12">
        <f>+SUMIFS('2025 Lighting BDs'!C:C,'2025 Lighting BDs'!B:B,'E-13d'!A298)</f>
        <v>537</v>
      </c>
      <c r="H298" s="12"/>
      <c r="I298" s="233"/>
      <c r="J298" s="233"/>
      <c r="K298" s="19">
        <f>+SUMIFS('2024 Lighting Rates'!B:B,'2024 Lighting Rates'!A:A,A298)</f>
        <v>35.69</v>
      </c>
      <c r="L298" s="19">
        <f>+SUMIFS('2024 Lighting Rates'!C:C,'2024 Lighting Rates'!A:A,A298)</f>
        <v>1.1000000000000001</v>
      </c>
      <c r="M298" s="27">
        <f t="shared" si="71"/>
        <v>36.79</v>
      </c>
      <c r="N298" s="15">
        <f t="shared" si="65"/>
        <v>19756.23</v>
      </c>
      <c r="O298" s="12"/>
      <c r="P298" s="27">
        <f t="shared" si="66"/>
        <v>35.69</v>
      </c>
      <c r="Q298" s="27">
        <f t="shared" si="67"/>
        <v>1.1000000000000001</v>
      </c>
      <c r="R298" s="27">
        <f t="shared" si="68"/>
        <v>36.79</v>
      </c>
      <c r="S298" s="162">
        <f t="shared" si="69"/>
        <v>19756.23</v>
      </c>
      <c r="T298" s="188">
        <f t="shared" si="70"/>
        <v>0</v>
      </c>
    </row>
    <row r="299" spans="1:21" ht="17.100000000000001" customHeight="1" x14ac:dyDescent="0.25">
      <c r="A299" s="320">
        <v>586</v>
      </c>
      <c r="B299" s="320"/>
      <c r="D299" s="233">
        <v>28</v>
      </c>
      <c r="E299" s="329" t="s">
        <v>1410</v>
      </c>
      <c r="F299" s="311" t="s">
        <v>1391</v>
      </c>
      <c r="G299" s="12">
        <f>+SUMIFS('2025 Lighting BDs'!C:C,'2025 Lighting BDs'!B:B,'E-13d'!A299)</f>
        <v>235155</v>
      </c>
      <c r="H299" s="12"/>
      <c r="I299" s="233"/>
      <c r="J299" s="233"/>
      <c r="K299" s="19">
        <f>+SUMIFS('2024 Lighting Rates'!B:B,'2024 Lighting Rates'!A:A,A299)</f>
        <v>27.22</v>
      </c>
      <c r="L299" s="19">
        <f>+SUMIFS('2024 Lighting Rates'!C:C,'2024 Lighting Rates'!A:A,A299)</f>
        <v>1.1000000000000001</v>
      </c>
      <c r="M299" s="27">
        <f t="shared" si="71"/>
        <v>28.32</v>
      </c>
      <c r="N299" s="15">
        <f t="shared" si="65"/>
        <v>6659589.5999999996</v>
      </c>
      <c r="O299" s="12"/>
      <c r="P299" s="27">
        <f t="shared" si="66"/>
        <v>27.22</v>
      </c>
      <c r="Q299" s="27">
        <f t="shared" si="67"/>
        <v>1.1000000000000001</v>
      </c>
      <c r="R299" s="27">
        <f t="shared" si="68"/>
        <v>28.32</v>
      </c>
      <c r="S299" s="162">
        <f t="shared" si="69"/>
        <v>6659589.5999999996</v>
      </c>
      <c r="T299" s="188">
        <f t="shared" si="70"/>
        <v>0</v>
      </c>
    </row>
    <row r="300" spans="1:21" ht="17.100000000000001" customHeight="1" x14ac:dyDescent="0.25">
      <c r="A300" s="320">
        <v>585</v>
      </c>
      <c r="B300" s="320"/>
      <c r="D300" s="233">
        <v>29</v>
      </c>
      <c r="E300" s="353" t="s">
        <v>1411</v>
      </c>
      <c r="F300" s="311" t="s">
        <v>1391</v>
      </c>
      <c r="G300" s="12">
        <f>+SUMIFS('2025 Lighting BDs'!C:C,'2025 Lighting BDs'!B:B,'E-13d'!A300)</f>
        <v>1463</v>
      </c>
      <c r="H300" s="12"/>
      <c r="I300" s="233"/>
      <c r="J300" s="233"/>
      <c r="K300" s="19">
        <f>+SUMIFS('2024 Lighting Rates'!B:B,'2024 Lighting Rates'!A:A,A300)</f>
        <v>35.630000000000003</v>
      </c>
      <c r="L300" s="19">
        <f>+SUMIFS('2024 Lighting Rates'!C:C,'2024 Lighting Rates'!A:A,A300)</f>
        <v>1.1000000000000001</v>
      </c>
      <c r="M300" s="27">
        <f t="shared" si="71"/>
        <v>36.730000000000004</v>
      </c>
      <c r="N300" s="15">
        <f t="shared" si="65"/>
        <v>53735.990000000005</v>
      </c>
      <c r="O300" s="12"/>
      <c r="P300" s="27">
        <f t="shared" si="66"/>
        <v>35.630000000000003</v>
      </c>
      <c r="Q300" s="27">
        <f t="shared" si="67"/>
        <v>1.1000000000000001</v>
      </c>
      <c r="R300" s="27">
        <f t="shared" si="68"/>
        <v>36.730000000000004</v>
      </c>
      <c r="S300" s="162">
        <f t="shared" si="69"/>
        <v>53735.990000000005</v>
      </c>
      <c r="T300" s="188">
        <f t="shared" si="70"/>
        <v>0</v>
      </c>
    </row>
    <row r="301" spans="1:21" ht="17.100000000000001" customHeight="1" x14ac:dyDescent="0.25">
      <c r="A301" s="320">
        <v>590</v>
      </c>
      <c r="B301" s="320"/>
      <c r="D301" s="233">
        <v>30</v>
      </c>
      <c r="E301" s="353" t="s">
        <v>1412</v>
      </c>
      <c r="F301" s="311" t="s">
        <v>1391</v>
      </c>
      <c r="G301" s="12">
        <f>+SUMIFS('2025 Lighting BDs'!C:C,'2025 Lighting BDs'!B:B,'E-13d'!A301)</f>
        <v>274</v>
      </c>
      <c r="H301" s="12"/>
      <c r="I301" s="233"/>
      <c r="J301" s="233"/>
      <c r="K301" s="19">
        <f>+SUMIFS('2024 Lighting Rates'!B:B,'2024 Lighting Rates'!A:A,A301)</f>
        <v>30.8</v>
      </c>
      <c r="L301" s="19">
        <f>+SUMIFS('2024 Lighting Rates'!C:C,'2024 Lighting Rates'!A:A,A301)</f>
        <v>1.1000000000000001</v>
      </c>
      <c r="M301" s="27">
        <f t="shared" si="71"/>
        <v>31.900000000000002</v>
      </c>
      <c r="N301" s="15">
        <f t="shared" si="65"/>
        <v>8740.6</v>
      </c>
      <c r="O301" s="12"/>
      <c r="P301" s="27">
        <f t="shared" si="66"/>
        <v>30.8</v>
      </c>
      <c r="Q301" s="27">
        <f t="shared" si="67"/>
        <v>1.1000000000000001</v>
      </c>
      <c r="R301" s="27">
        <f t="shared" si="68"/>
        <v>31.900000000000002</v>
      </c>
      <c r="S301" s="162">
        <f t="shared" si="69"/>
        <v>8740.6</v>
      </c>
      <c r="T301" s="188">
        <f t="shared" si="70"/>
        <v>0</v>
      </c>
    </row>
    <row r="302" spans="1:21" ht="17.100000000000001" customHeight="1" x14ac:dyDescent="0.25">
      <c r="A302" s="320">
        <v>580</v>
      </c>
      <c r="B302" s="320"/>
      <c r="D302" s="233">
        <v>31</v>
      </c>
      <c r="E302" s="329" t="s">
        <v>1413</v>
      </c>
      <c r="F302" s="311" t="s">
        <v>1391</v>
      </c>
      <c r="G302" s="12">
        <f>+SUMIFS('2025 Lighting BDs'!C:C,'2025 Lighting BDs'!B:B,'E-13d'!A302)</f>
        <v>1455</v>
      </c>
      <c r="H302" s="12"/>
      <c r="I302" s="233"/>
      <c r="J302" s="233"/>
      <c r="K302" s="19">
        <f>+SUMIFS('2024 Lighting Rates'!B:B,'2024 Lighting Rates'!A:A,A302)</f>
        <v>25.79</v>
      </c>
      <c r="L302" s="19">
        <f>+SUMIFS('2024 Lighting Rates'!C:C,'2024 Lighting Rates'!A:A,A302)</f>
        <v>1.1000000000000001</v>
      </c>
      <c r="M302" s="27">
        <f t="shared" si="71"/>
        <v>26.89</v>
      </c>
      <c r="N302" s="15">
        <f t="shared" si="65"/>
        <v>39124.950000000004</v>
      </c>
      <c r="O302" s="12"/>
      <c r="P302" s="27">
        <f t="shared" si="66"/>
        <v>25.79</v>
      </c>
      <c r="Q302" s="27">
        <f t="shared" si="67"/>
        <v>1.1000000000000001</v>
      </c>
      <c r="R302" s="27">
        <f t="shared" si="68"/>
        <v>26.89</v>
      </c>
      <c r="S302" s="162">
        <f t="shared" si="69"/>
        <v>39124.950000000004</v>
      </c>
      <c r="T302" s="188">
        <f t="shared" si="70"/>
        <v>0</v>
      </c>
    </row>
    <row r="303" spans="1:21" ht="17.100000000000001" customHeight="1" x14ac:dyDescent="0.25">
      <c r="A303" s="320">
        <v>587</v>
      </c>
      <c r="B303" s="320"/>
      <c r="D303" s="233">
        <v>32</v>
      </c>
      <c r="E303" s="329" t="s">
        <v>1414</v>
      </c>
      <c r="F303" s="311" t="s">
        <v>1391</v>
      </c>
      <c r="G303" s="12">
        <f>+SUMIFS('2025 Lighting BDs'!C:C,'2025 Lighting BDs'!B:B,'E-13d'!A303)</f>
        <v>0</v>
      </c>
      <c r="H303" s="354"/>
      <c r="I303" s="354"/>
      <c r="J303" s="233"/>
      <c r="K303" s="19">
        <f>+SUMIFS('2024 Lighting Rates'!B:B,'2024 Lighting Rates'!A:A,A303)</f>
        <v>27.23</v>
      </c>
      <c r="L303" s="19">
        <f>+SUMIFS('2024 Lighting Rates'!C:C,'2024 Lighting Rates'!A:A,A303)</f>
        <v>1.1000000000000001</v>
      </c>
      <c r="M303" s="27">
        <f t="shared" si="71"/>
        <v>28.330000000000002</v>
      </c>
      <c r="N303" s="15">
        <f t="shared" si="65"/>
        <v>0</v>
      </c>
      <c r="O303" s="12"/>
      <c r="P303" s="27">
        <f t="shared" si="66"/>
        <v>27.23</v>
      </c>
      <c r="Q303" s="27">
        <f t="shared" si="67"/>
        <v>1.1000000000000001</v>
      </c>
      <c r="R303" s="27">
        <f t="shared" si="68"/>
        <v>28.330000000000002</v>
      </c>
      <c r="S303" s="162">
        <f t="shared" si="69"/>
        <v>0</v>
      </c>
      <c r="T303" s="188">
        <f t="shared" si="70"/>
        <v>0</v>
      </c>
    </row>
    <row r="304" spans="1:21" ht="17.100000000000001" customHeight="1" x14ac:dyDescent="0.25">
      <c r="A304" s="320">
        <v>589</v>
      </c>
      <c r="B304" s="320"/>
      <c r="D304" s="233">
        <v>33</v>
      </c>
      <c r="E304" s="329" t="s">
        <v>1415</v>
      </c>
      <c r="F304" s="311" t="s">
        <v>1391</v>
      </c>
      <c r="G304" s="12">
        <f>+SUMIFS('2025 Lighting BDs'!C:C,'2025 Lighting BDs'!B:B,'E-13d'!A304)</f>
        <v>1512</v>
      </c>
      <c r="H304" s="12"/>
      <c r="I304" s="12"/>
      <c r="J304" s="233"/>
      <c r="K304" s="19">
        <f>+SUMIFS('2024 Lighting Rates'!B:B,'2024 Lighting Rates'!A:A,A304)</f>
        <v>51.02</v>
      </c>
      <c r="L304" s="19">
        <f>+SUMIFS('2024 Lighting Rates'!C:C,'2024 Lighting Rates'!A:A,A304)</f>
        <v>1.68</v>
      </c>
      <c r="M304" s="27">
        <f t="shared" si="71"/>
        <v>52.7</v>
      </c>
      <c r="N304" s="15">
        <f t="shared" si="65"/>
        <v>79682.400000000009</v>
      </c>
      <c r="O304" s="12"/>
      <c r="P304" s="27">
        <f t="shared" si="66"/>
        <v>51.02</v>
      </c>
      <c r="Q304" s="27">
        <f t="shared" si="67"/>
        <v>1.68</v>
      </c>
      <c r="R304" s="27">
        <f t="shared" si="68"/>
        <v>52.7</v>
      </c>
      <c r="S304" s="162">
        <f t="shared" si="69"/>
        <v>79682.400000000009</v>
      </c>
      <c r="T304" s="188">
        <f t="shared" si="70"/>
        <v>0</v>
      </c>
    </row>
    <row r="305" spans="1:21" ht="17.100000000000001" customHeight="1" x14ac:dyDescent="0.25">
      <c r="A305" s="320">
        <v>624</v>
      </c>
      <c r="B305" s="320"/>
      <c r="D305" s="233">
        <v>34</v>
      </c>
      <c r="E305" s="329" t="s">
        <v>1416</v>
      </c>
      <c r="F305" s="311" t="s">
        <v>1391</v>
      </c>
      <c r="G305" s="12">
        <f>+SUMIFS('2025 Lighting BDs'!C:C,'2025 Lighting BDs'!B:B,'E-13d'!A305)</f>
        <v>47131</v>
      </c>
      <c r="H305" s="12"/>
      <c r="I305" s="12"/>
      <c r="J305" s="233"/>
      <c r="K305" s="19">
        <f>+SUMIFS('2024 Lighting Rates'!B:B,'2024 Lighting Rates'!A:A,A305)</f>
        <v>10.84</v>
      </c>
      <c r="L305" s="19">
        <f>+SUMIFS('2024 Lighting Rates'!C:C,'2024 Lighting Rates'!A:A,A305)</f>
        <v>1.3</v>
      </c>
      <c r="M305" s="27">
        <f t="shared" si="71"/>
        <v>12.14</v>
      </c>
      <c r="N305" s="15">
        <f t="shared" si="65"/>
        <v>572170.34000000008</v>
      </c>
      <c r="O305" s="12"/>
      <c r="P305" s="27">
        <f t="shared" si="66"/>
        <v>10.84</v>
      </c>
      <c r="Q305" s="27">
        <f t="shared" si="67"/>
        <v>1.3</v>
      </c>
      <c r="R305" s="27">
        <f t="shared" si="68"/>
        <v>12.14</v>
      </c>
      <c r="S305" s="162">
        <f t="shared" si="69"/>
        <v>572170.34000000008</v>
      </c>
      <c r="T305" s="188">
        <f t="shared" si="70"/>
        <v>0</v>
      </c>
    </row>
    <row r="306" spans="1:21" ht="17.100000000000001" customHeight="1" x14ac:dyDescent="0.25">
      <c r="A306" s="320">
        <v>582</v>
      </c>
      <c r="B306" s="320"/>
      <c r="D306" s="233">
        <v>35</v>
      </c>
      <c r="E306" s="233" t="s">
        <v>1417</v>
      </c>
      <c r="F306" s="311" t="s">
        <v>1391</v>
      </c>
      <c r="G306" s="12">
        <f>+SUMIFS('2025 Lighting BDs'!C:C,'2025 Lighting BDs'!B:B,'E-13d'!A306)</f>
        <v>192212</v>
      </c>
      <c r="H306" s="233"/>
      <c r="I306" s="233"/>
      <c r="J306" s="233"/>
      <c r="K306" s="19">
        <f>+SUMIFS('2024 Lighting Rates'!B:B,'2024 Lighting Rates'!A:A,A306)</f>
        <v>19.72</v>
      </c>
      <c r="L306" s="19">
        <f>+SUMIFS('2024 Lighting Rates'!C:C,'2024 Lighting Rates'!A:A,A306)</f>
        <v>1.1000000000000001</v>
      </c>
      <c r="M306" s="27">
        <f t="shared" si="71"/>
        <v>20.82</v>
      </c>
      <c r="N306" s="15">
        <f t="shared" si="65"/>
        <v>4001853.84</v>
      </c>
      <c r="P306" s="27">
        <f t="shared" si="66"/>
        <v>19.72</v>
      </c>
      <c r="Q306" s="27">
        <f t="shared" si="67"/>
        <v>1.1000000000000001</v>
      </c>
      <c r="R306" s="27">
        <f t="shared" si="68"/>
        <v>20.82</v>
      </c>
      <c r="S306" s="162">
        <f t="shared" si="69"/>
        <v>4001853.84</v>
      </c>
      <c r="T306" s="188">
        <f t="shared" si="70"/>
        <v>0</v>
      </c>
      <c r="U306" s="351"/>
    </row>
    <row r="307" spans="1:21" ht="17.100000000000001" customHeight="1" x14ac:dyDescent="0.25">
      <c r="A307" s="320"/>
      <c r="B307" s="320"/>
      <c r="D307" s="233">
        <v>36</v>
      </c>
      <c r="E307" s="233"/>
      <c r="F307" s="311"/>
      <c r="G307" s="354"/>
      <c r="H307" s="354"/>
      <c r="I307" s="354"/>
      <c r="J307" s="354"/>
      <c r="K307" s="27"/>
      <c r="L307" s="27"/>
      <c r="M307" s="27"/>
      <c r="N307" s="15"/>
      <c r="O307" s="233"/>
      <c r="P307" s="27"/>
      <c r="Q307" s="27"/>
      <c r="R307" s="27"/>
      <c r="S307" s="162"/>
      <c r="T307" s="23"/>
    </row>
    <row r="308" spans="1:21" ht="17.100000000000001" customHeight="1" x14ac:dyDescent="0.25">
      <c r="A308" s="320"/>
      <c r="B308" s="320"/>
      <c r="D308" s="233">
        <v>37</v>
      </c>
      <c r="E308" s="233"/>
      <c r="F308" s="233"/>
      <c r="G308" s="233"/>
      <c r="H308" s="233"/>
      <c r="I308" s="233"/>
      <c r="J308" s="233"/>
      <c r="K308" s="233"/>
      <c r="L308" s="233"/>
      <c r="M308" s="27"/>
      <c r="N308" s="15"/>
      <c r="P308" s="27"/>
      <c r="Q308" s="27"/>
      <c r="R308" s="27"/>
      <c r="S308" s="162"/>
      <c r="T308" s="23"/>
    </row>
    <row r="309" spans="1:21" ht="17.100000000000001" customHeight="1" x14ac:dyDescent="0.25">
      <c r="A309" s="320"/>
      <c r="B309" s="320"/>
      <c r="D309" s="233">
        <v>38</v>
      </c>
      <c r="E309" s="233"/>
      <c r="F309" s="233"/>
      <c r="G309" s="233"/>
      <c r="H309" s="233"/>
      <c r="I309" s="233"/>
      <c r="J309" s="233"/>
      <c r="K309" s="233"/>
      <c r="L309" s="233"/>
      <c r="M309" s="27"/>
      <c r="N309" s="15"/>
      <c r="P309" s="27"/>
      <c r="Q309" s="27"/>
      <c r="R309" s="27"/>
      <c r="S309" s="162"/>
      <c r="T309" s="23"/>
    </row>
    <row r="310" spans="1:21" ht="17.100000000000001" customHeight="1" x14ac:dyDescent="0.25">
      <c r="A310" s="320"/>
      <c r="B310" s="320"/>
      <c r="D310" s="233">
        <v>39</v>
      </c>
      <c r="E310" s="233"/>
      <c r="F310" s="233"/>
      <c r="G310" s="233"/>
      <c r="H310" s="233"/>
      <c r="I310" s="233"/>
      <c r="J310" s="233"/>
      <c r="K310" s="233"/>
      <c r="L310" s="233"/>
      <c r="M310" s="27"/>
      <c r="N310" s="15"/>
      <c r="P310" s="27"/>
      <c r="Q310" s="27"/>
      <c r="R310" s="27"/>
      <c r="S310" s="162"/>
      <c r="T310" s="23"/>
    </row>
    <row r="311" spans="1:21" ht="17.100000000000001" customHeight="1" thickBot="1" x14ac:dyDescent="0.3">
      <c r="A311" s="320"/>
      <c r="B311" s="320"/>
      <c r="D311" s="306">
        <v>40</v>
      </c>
      <c r="E311" s="306"/>
      <c r="F311" s="306"/>
      <c r="G311" s="355"/>
      <c r="H311" s="306"/>
      <c r="I311" s="306"/>
      <c r="J311" s="306"/>
      <c r="K311" s="163"/>
      <c r="L311" s="163"/>
      <c r="M311" s="163"/>
      <c r="N311" s="164"/>
      <c r="O311" s="306"/>
      <c r="P311" s="306"/>
      <c r="Q311" s="306"/>
      <c r="R311" s="326"/>
      <c r="S311" s="306"/>
      <c r="T311" s="326" t="s">
        <v>1105</v>
      </c>
    </row>
    <row r="312" spans="1:21" ht="17.100000000000001" customHeight="1" x14ac:dyDescent="0.25">
      <c r="A312" s="320"/>
      <c r="B312" s="320"/>
      <c r="D312" s="233" t="s">
        <v>1219</v>
      </c>
      <c r="E312" s="233"/>
      <c r="F312" s="233"/>
      <c r="G312" s="233"/>
      <c r="H312" s="233"/>
      <c r="I312" s="233"/>
      <c r="J312" s="233"/>
      <c r="K312" s="233"/>
      <c r="L312" s="233"/>
      <c r="M312" s="233"/>
      <c r="N312" s="233"/>
      <c r="O312" s="233"/>
      <c r="P312" s="233"/>
      <c r="Q312" s="233"/>
      <c r="R312" s="233" t="str">
        <f>+R104</f>
        <v>Recap Schedules: E-13a</v>
      </c>
      <c r="S312" s="233"/>
      <c r="T312" s="233"/>
    </row>
    <row r="313" spans="1:21" ht="17.100000000000001" customHeight="1" thickBot="1" x14ac:dyDescent="0.3">
      <c r="A313" s="320"/>
      <c r="B313" s="320"/>
      <c r="D313" s="306" t="str">
        <f>+$D$1</f>
        <v>SCHEDULE E-13d</v>
      </c>
      <c r="E313" s="306"/>
      <c r="F313" s="306"/>
      <c r="G313" s="306"/>
      <c r="H313" s="306"/>
      <c r="I313" s="306" t="str">
        <f>+$I$1</f>
        <v>REVENUE BY RATE SCHEDULE - LIGHTING SCHEDULE CALCULATION</v>
      </c>
      <c r="J313" s="306"/>
      <c r="K313" s="306"/>
      <c r="L313" s="306"/>
      <c r="M313" s="306"/>
      <c r="N313" s="306"/>
      <c r="O313" s="306"/>
      <c r="P313" s="306"/>
      <c r="Q313" s="306"/>
      <c r="R313" s="306"/>
      <c r="S313" s="306"/>
      <c r="T313" s="306" t="s">
        <v>1418</v>
      </c>
    </row>
    <row r="314" spans="1:21" ht="17.100000000000001" customHeight="1" x14ac:dyDescent="0.25">
      <c r="A314" s="320"/>
      <c r="B314" s="320"/>
      <c r="D314" s="233" t="s">
        <v>307</v>
      </c>
      <c r="E314" s="233"/>
      <c r="F314" s="233"/>
      <c r="G314" s="311"/>
      <c r="H314" s="233"/>
      <c r="I314" s="311" t="s">
        <v>1222</v>
      </c>
      <c r="J314" s="233" t="s">
        <v>1491</v>
      </c>
      <c r="K314" s="233"/>
      <c r="L314" s="309"/>
      <c r="M314" s="309"/>
      <c r="N314" s="233"/>
      <c r="O314" s="233"/>
      <c r="P314" s="309"/>
      <c r="Q314" s="309" t="s">
        <v>309</v>
      </c>
      <c r="R314" s="233"/>
      <c r="S314" s="233"/>
      <c r="T314" s="310"/>
    </row>
    <row r="315" spans="1:21" ht="17.100000000000001" customHeight="1" x14ac:dyDescent="0.25">
      <c r="A315" s="320"/>
      <c r="B315" s="320"/>
      <c r="D315" s="233"/>
      <c r="E315" s="233"/>
      <c r="F315" s="233"/>
      <c r="G315" s="233"/>
      <c r="H315" s="233"/>
      <c r="I315" s="233"/>
      <c r="J315" s="233" t="s">
        <v>1492</v>
      </c>
      <c r="K315" s="233"/>
      <c r="L315" s="311"/>
      <c r="M315" s="310"/>
      <c r="N315" s="233"/>
      <c r="O315" s="233"/>
      <c r="P315" s="233"/>
      <c r="Q315" s="312"/>
      <c r="R315" s="311" t="s">
        <v>919</v>
      </c>
      <c r="S315" s="310" t="s">
        <v>920</v>
      </c>
      <c r="T315" s="311"/>
    </row>
    <row r="316" spans="1:21" ht="17.100000000000001" customHeight="1" x14ac:dyDescent="0.25">
      <c r="A316" s="320"/>
      <c r="B316" s="320"/>
      <c r="D316" s="233" t="s">
        <v>310</v>
      </c>
      <c r="E316" s="233"/>
      <c r="F316" s="233"/>
      <c r="G316" s="233"/>
      <c r="H316" s="233"/>
      <c r="I316" s="233"/>
      <c r="J316" s="233" t="s">
        <v>1493</v>
      </c>
      <c r="K316" s="233"/>
      <c r="L316" s="311"/>
      <c r="M316" s="310"/>
      <c r="N316" s="311"/>
      <c r="O316" s="311"/>
      <c r="P316" s="233"/>
      <c r="Q316" s="311"/>
      <c r="R316" s="311"/>
      <c r="S316" s="310" t="s">
        <v>937</v>
      </c>
      <c r="T316" s="311"/>
    </row>
    <row r="317" spans="1:21" ht="17.100000000000001" customHeight="1" x14ac:dyDescent="0.25">
      <c r="A317" s="320"/>
      <c r="B317" s="320"/>
      <c r="D317" s="233"/>
      <c r="E317" s="233"/>
      <c r="F317" s="233"/>
      <c r="G317" s="233"/>
      <c r="H317" s="233"/>
      <c r="I317" s="233"/>
      <c r="J317" s="233" t="s">
        <v>1494</v>
      </c>
      <c r="K317" s="233"/>
      <c r="L317" s="311"/>
      <c r="M317" s="310"/>
      <c r="N317" s="311"/>
      <c r="O317" s="311"/>
      <c r="P317" s="233"/>
      <c r="Q317" s="311"/>
      <c r="R317" s="311"/>
      <c r="S317" s="310" t="s">
        <v>938</v>
      </c>
      <c r="T317" s="311"/>
    </row>
    <row r="318" spans="1:21" ht="17.100000000000001" customHeight="1" thickBot="1" x14ac:dyDescent="0.3">
      <c r="A318" s="320"/>
      <c r="B318" s="320"/>
      <c r="D318" s="306" t="str">
        <f>+$D$6</f>
        <v>DOCKET No. 20240026-EI</v>
      </c>
      <c r="E318" s="306"/>
      <c r="F318" s="306"/>
      <c r="G318" s="306"/>
      <c r="H318" s="306" t="str">
        <f>IF(+$H$8="","",$H$8)</f>
        <v/>
      </c>
      <c r="I318" s="306"/>
      <c r="J318" s="306"/>
      <c r="K318" s="314"/>
      <c r="L318" s="306"/>
      <c r="M318" s="306"/>
      <c r="N318" s="306"/>
      <c r="O318" s="306"/>
      <c r="P318" s="306"/>
      <c r="Q318" s="306"/>
      <c r="R318" s="233"/>
      <c r="S318" s="233" t="s">
        <v>311</v>
      </c>
      <c r="T318" s="306"/>
    </row>
    <row r="319" spans="1:21" ht="17.100000000000001" customHeight="1" x14ac:dyDescent="0.25">
      <c r="A319" s="320"/>
      <c r="B319" s="320"/>
      <c r="D319" s="315"/>
      <c r="E319" s="595" t="s">
        <v>1163</v>
      </c>
      <c r="F319" s="595"/>
      <c r="G319" s="595"/>
      <c r="H319" s="595"/>
      <c r="I319" s="595"/>
      <c r="J319" s="595"/>
      <c r="K319" s="595"/>
      <c r="L319" s="595"/>
      <c r="M319" s="595"/>
      <c r="N319" s="595"/>
      <c r="O319" s="595"/>
      <c r="P319" s="595"/>
      <c r="Q319" s="595"/>
      <c r="R319" s="595"/>
      <c r="S319" s="595"/>
      <c r="T319" s="595"/>
    </row>
    <row r="320" spans="1:21" ht="17.100000000000001" customHeight="1" x14ac:dyDescent="0.25">
      <c r="A320" s="320"/>
      <c r="B320" s="320"/>
      <c r="D320" s="233"/>
      <c r="E320" s="226"/>
      <c r="F320" s="317"/>
      <c r="G320" s="317"/>
      <c r="H320" s="317"/>
      <c r="I320" s="317"/>
      <c r="J320" s="317"/>
      <c r="K320" s="318"/>
      <c r="L320" s="345" t="s">
        <v>1164</v>
      </c>
      <c r="M320" s="318"/>
      <c r="N320" s="318"/>
      <c r="O320" s="318"/>
      <c r="P320" s="318"/>
      <c r="Q320" s="345" t="s">
        <v>873</v>
      </c>
      <c r="R320" s="318"/>
      <c r="S320" s="318"/>
      <c r="T320" s="317"/>
    </row>
    <row r="321" spans="1:22" ht="17.100000000000001" customHeight="1" x14ac:dyDescent="0.25">
      <c r="A321" s="320"/>
      <c r="B321" s="320"/>
      <c r="D321" s="233"/>
      <c r="E321" s="226"/>
      <c r="F321" s="317"/>
      <c r="G321" s="226" t="s">
        <v>1165</v>
      </c>
      <c r="H321" s="317" t="s">
        <v>1166</v>
      </c>
      <c r="I321" s="226"/>
      <c r="J321" s="226"/>
      <c r="K321" s="226" t="s">
        <v>1167</v>
      </c>
      <c r="L321" s="226" t="s">
        <v>1167</v>
      </c>
      <c r="M321" s="226" t="s">
        <v>1168</v>
      </c>
      <c r="N321" s="317" t="s">
        <v>807</v>
      </c>
      <c r="O321" s="317"/>
      <c r="P321" s="226" t="s">
        <v>1167</v>
      </c>
      <c r="Q321" s="226" t="s">
        <v>1167</v>
      </c>
      <c r="R321" s="226" t="s">
        <v>1168</v>
      </c>
      <c r="S321" s="226" t="s">
        <v>807</v>
      </c>
      <c r="T321" s="226"/>
    </row>
    <row r="322" spans="1:22" ht="17.100000000000001" customHeight="1" x14ac:dyDescent="0.25">
      <c r="A322" s="320"/>
      <c r="B322" s="320"/>
      <c r="D322" s="233" t="s">
        <v>314</v>
      </c>
      <c r="E322" s="226" t="s">
        <v>315</v>
      </c>
      <c r="F322" s="226"/>
      <c r="G322" s="226" t="s">
        <v>1169</v>
      </c>
      <c r="H322" s="226" t="s">
        <v>1167</v>
      </c>
      <c r="I322" s="317" t="s">
        <v>1165</v>
      </c>
      <c r="J322" s="317"/>
      <c r="K322" s="317" t="s">
        <v>1170</v>
      </c>
      <c r="L322" s="317" t="s">
        <v>1171</v>
      </c>
      <c r="M322" s="317" t="s">
        <v>1167</v>
      </c>
      <c r="N322" s="226" t="s">
        <v>336</v>
      </c>
      <c r="O322" s="226"/>
      <c r="P322" s="317" t="s">
        <v>1170</v>
      </c>
      <c r="Q322" s="317" t="s">
        <v>1171</v>
      </c>
      <c r="R322" s="317" t="s">
        <v>1167</v>
      </c>
      <c r="S322" s="317" t="s">
        <v>336</v>
      </c>
      <c r="T322" s="317" t="s">
        <v>857</v>
      </c>
    </row>
    <row r="323" spans="1:22" ht="17.100000000000001" customHeight="1" thickBot="1" x14ac:dyDescent="0.3">
      <c r="A323" s="320"/>
      <c r="B323" s="320"/>
      <c r="D323" s="306" t="s">
        <v>320</v>
      </c>
      <c r="E323" s="314" t="s">
        <v>1170</v>
      </c>
      <c r="F323" s="314"/>
      <c r="G323" s="314" t="s">
        <v>1172</v>
      </c>
      <c r="H323" s="314" t="s">
        <v>711</v>
      </c>
      <c r="I323" s="319" t="s">
        <v>711</v>
      </c>
      <c r="J323" s="319"/>
      <c r="K323" s="319" t="s">
        <v>1173</v>
      </c>
      <c r="L323" s="319" t="s">
        <v>1173</v>
      </c>
      <c r="M323" s="319" t="s">
        <v>1173</v>
      </c>
      <c r="N323" s="319" t="s">
        <v>318</v>
      </c>
      <c r="O323" s="319"/>
      <c r="P323" s="319" t="s">
        <v>1173</v>
      </c>
      <c r="Q323" s="319" t="s">
        <v>1173</v>
      </c>
      <c r="R323" s="319" t="s">
        <v>1173</v>
      </c>
      <c r="S323" s="319" t="s">
        <v>318</v>
      </c>
      <c r="T323" s="319" t="s">
        <v>326</v>
      </c>
    </row>
    <row r="324" spans="1:22" ht="17.100000000000001" customHeight="1" x14ac:dyDescent="0.25">
      <c r="A324" s="320"/>
      <c r="B324" s="320"/>
      <c r="D324" s="233">
        <v>1</v>
      </c>
      <c r="E324" s="592" t="s">
        <v>1106</v>
      </c>
      <c r="F324" s="592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1:22" ht="17.100000000000001" customHeight="1" x14ac:dyDescent="0.25">
      <c r="A325" s="320"/>
      <c r="B325" s="320"/>
      <c r="D325" s="233">
        <v>2</v>
      </c>
      <c r="E325" s="353"/>
      <c r="F325" s="233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1:22" ht="17.100000000000001" customHeight="1" x14ac:dyDescent="0.25">
      <c r="A326" s="320">
        <v>525</v>
      </c>
      <c r="B326" s="320"/>
      <c r="D326" s="233">
        <v>3</v>
      </c>
      <c r="E326" s="329" t="s">
        <v>1419</v>
      </c>
      <c r="F326" s="311" t="s">
        <v>1391</v>
      </c>
      <c r="G326" s="12">
        <f>+SUMIFS('2025 Lighting BDs'!C:C,'2025 Lighting BDs'!B:B,'E-13d'!A326)</f>
        <v>43526</v>
      </c>
      <c r="H326" s="12"/>
      <c r="I326" s="12"/>
      <c r="J326" s="12"/>
      <c r="K326" s="19">
        <f>+SUMIFS('2024 Lighting Rates'!B:B,'2024 Lighting Rates'!A:A,A326)</f>
        <v>32.49</v>
      </c>
      <c r="L326" s="19">
        <f>+SUMIFS('2024 Lighting Rates'!C:C,'2024 Lighting Rates'!A:A,A326)</f>
        <v>1.1000000000000001</v>
      </c>
      <c r="M326" s="27">
        <f t="shared" ref="M326:M327" si="72">+K326+L326</f>
        <v>33.590000000000003</v>
      </c>
      <c r="N326" s="15">
        <f>+M326*G326</f>
        <v>1462038.34</v>
      </c>
      <c r="O326" s="12"/>
      <c r="P326" s="27">
        <f t="shared" ref="P326:P327" si="73">+K326</f>
        <v>32.49</v>
      </c>
      <c r="Q326" s="27">
        <f t="shared" ref="Q326:Q327" si="74">+L326</f>
        <v>1.1000000000000001</v>
      </c>
      <c r="R326" s="27">
        <f t="shared" ref="R326:R327" si="75">+P326+Q326</f>
        <v>33.590000000000003</v>
      </c>
      <c r="S326" s="162">
        <f>+R326*G326</f>
        <v>1462038.34</v>
      </c>
      <c r="T326" s="188">
        <f t="shared" ref="T326:T328" si="76">IF(S326=0,0,(S326-N326)/N326)</f>
        <v>0</v>
      </c>
      <c r="V326" s="347"/>
    </row>
    <row r="327" spans="1:22" ht="17.100000000000001" customHeight="1" x14ac:dyDescent="0.25">
      <c r="A327" s="320">
        <v>641</v>
      </c>
      <c r="B327" s="320"/>
      <c r="D327" s="233">
        <v>4</v>
      </c>
      <c r="E327" s="356" t="s">
        <v>1420</v>
      </c>
      <c r="F327" s="357" t="s">
        <v>1391</v>
      </c>
      <c r="G327" s="12">
        <f>+SUMIFS('2025 Lighting BDs'!C:C,'2025 Lighting BDs'!B:B,'E-13d'!A327)</f>
        <v>413</v>
      </c>
      <c r="H327" s="12"/>
      <c r="I327" s="12"/>
      <c r="J327" s="12"/>
      <c r="K327" s="19">
        <f>+SUMIFS('2024 Lighting Rates'!B:B,'2024 Lighting Rates'!A:A,A327)</f>
        <v>6.94</v>
      </c>
      <c r="L327" s="19">
        <f>+SUMIFS('2024 Lighting Rates'!C:C,'2024 Lighting Rates'!A:A,A327)</f>
        <v>0.34</v>
      </c>
      <c r="M327" s="27">
        <f t="shared" si="72"/>
        <v>7.28</v>
      </c>
      <c r="N327" s="15">
        <f>+M327*G327</f>
        <v>3006.6400000000003</v>
      </c>
      <c r="O327" s="12"/>
      <c r="P327" s="27">
        <f t="shared" si="73"/>
        <v>6.94</v>
      </c>
      <c r="Q327" s="27">
        <f t="shared" si="74"/>
        <v>0.34</v>
      </c>
      <c r="R327" s="27">
        <f t="shared" si="75"/>
        <v>7.28</v>
      </c>
      <c r="S327" s="162">
        <f>+R327*G327</f>
        <v>3006.6400000000003</v>
      </c>
      <c r="T327" s="188">
        <f t="shared" si="76"/>
        <v>0</v>
      </c>
    </row>
    <row r="328" spans="1:22" ht="17.100000000000001" customHeight="1" x14ac:dyDescent="0.25">
      <c r="A328" s="320"/>
      <c r="B328" s="320"/>
      <c r="D328" s="233">
        <v>5</v>
      </c>
      <c r="E328" s="233" t="s">
        <v>1421</v>
      </c>
      <c r="F328" s="233"/>
      <c r="G328" s="165">
        <f>SUM($G$274:$G$307)+G326+G327</f>
        <v>1882698</v>
      </c>
      <c r="H328" s="166"/>
      <c r="I328" s="12"/>
      <c r="J328" s="12"/>
      <c r="K328" s="12"/>
      <c r="L328" s="30"/>
      <c r="M328" s="12"/>
      <c r="N328" s="167">
        <f>SUM($N$274:$N$306)+N326+N327</f>
        <v>35934708.680000007</v>
      </c>
      <c r="O328" s="15"/>
      <c r="P328" s="12"/>
      <c r="Q328" s="12"/>
      <c r="R328" s="12"/>
      <c r="S328" s="167">
        <f>SUM($S$274:$S$306)+S326+S327</f>
        <v>35934708.680000007</v>
      </c>
      <c r="T328" s="188">
        <f t="shared" si="76"/>
        <v>0</v>
      </c>
    </row>
    <row r="329" spans="1:22" ht="17.100000000000001" customHeight="1" x14ac:dyDescent="0.25">
      <c r="A329" s="320"/>
      <c r="B329" s="320"/>
      <c r="D329" s="233">
        <v>6</v>
      </c>
      <c r="O329" s="15"/>
    </row>
    <row r="330" spans="1:22" ht="17.100000000000001" customHeight="1" x14ac:dyDescent="0.25">
      <c r="A330" s="320"/>
      <c r="B330" s="320"/>
      <c r="D330" s="233">
        <v>7</v>
      </c>
    </row>
    <row r="331" spans="1:22" ht="17.100000000000001" customHeight="1" x14ac:dyDescent="0.25">
      <c r="A331" s="320"/>
      <c r="B331" s="320"/>
      <c r="D331" s="233">
        <v>8</v>
      </c>
      <c r="E331" s="356" t="s">
        <v>1422</v>
      </c>
      <c r="F331" s="328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2" ht="17.100000000000001" customHeight="1" x14ac:dyDescent="0.25">
      <c r="A332" s="320">
        <v>563</v>
      </c>
      <c r="B332" s="320"/>
      <c r="D332" s="233">
        <v>9</v>
      </c>
      <c r="E332" s="353" t="s">
        <v>1423</v>
      </c>
      <c r="F332" s="233"/>
      <c r="G332" s="12">
        <f>+SUMIFS('2025 Lighting BDs'!C:C,'2025 Lighting BDs'!B:B,'E-13d'!A332)</f>
        <v>120</v>
      </c>
      <c r="J332" s="12"/>
      <c r="K332" s="19">
        <f>+SUMIFS('2024 Lighting Rates'!B:B,'2024 Lighting Rates'!A:A,A332)</f>
        <v>8.39</v>
      </c>
      <c r="L332" s="19">
        <f>+SUMIFS('2024 Lighting Rates'!C:C,'2024 Lighting Rates'!A:A,A332)</f>
        <v>1.43</v>
      </c>
      <c r="M332" s="29">
        <f>+K332+L332</f>
        <v>9.82</v>
      </c>
      <c r="N332" s="162">
        <f>+M332*G332</f>
        <v>1178.4000000000001</v>
      </c>
      <c r="O332" s="12"/>
      <c r="P332" s="27">
        <f t="shared" ref="P332:P333" si="77">+K332</f>
        <v>8.39</v>
      </c>
      <c r="Q332" s="27">
        <f t="shared" ref="Q332:Q333" si="78">+L332</f>
        <v>1.43</v>
      </c>
      <c r="R332" s="27">
        <f t="shared" ref="R332:R333" si="79">+P332+Q332</f>
        <v>9.82</v>
      </c>
      <c r="S332" s="15">
        <f>+R332*G332</f>
        <v>1178.4000000000001</v>
      </c>
      <c r="T332" s="197">
        <f t="shared" ref="T332:T335" si="80">IF(S332=0,0,(S332-N332)/N332)</f>
        <v>0</v>
      </c>
    </row>
    <row r="333" spans="1:22" ht="17.100000000000001" customHeight="1" x14ac:dyDescent="0.25">
      <c r="A333" s="320">
        <v>569</v>
      </c>
      <c r="B333" s="320"/>
      <c r="D333" s="233">
        <v>10</v>
      </c>
      <c r="E333" s="233" t="s">
        <v>1424</v>
      </c>
      <c r="F333" s="233"/>
      <c r="G333" s="12">
        <f>+SUMIFS('2025 Lighting BDs'!C:C,'2025 Lighting BDs'!B:B,'E-13d'!A333)</f>
        <v>3360</v>
      </c>
      <c r="J333" s="12"/>
      <c r="K333" s="19">
        <f>+SUMIFS('2024 Lighting Rates'!B:B,'2024 Lighting Rates'!A:A,A333)</f>
        <v>4.75</v>
      </c>
      <c r="L333" s="19">
        <f>+SUMIFS('2024 Lighting Rates'!C:C,'2024 Lighting Rates'!A:A,A333)</f>
        <v>0.06</v>
      </c>
      <c r="M333" s="29">
        <f>+K333+L333</f>
        <v>4.8099999999999996</v>
      </c>
      <c r="N333" s="158">
        <f>+M333*G333</f>
        <v>16161.599999999999</v>
      </c>
      <c r="O333" s="12"/>
      <c r="P333" s="27">
        <f t="shared" si="77"/>
        <v>4.75</v>
      </c>
      <c r="Q333" s="27">
        <f t="shared" si="78"/>
        <v>0.06</v>
      </c>
      <c r="R333" s="27">
        <f t="shared" si="79"/>
        <v>4.8099999999999996</v>
      </c>
      <c r="S333" s="15">
        <f>+R333*G333</f>
        <v>16161.599999999999</v>
      </c>
      <c r="T333" s="197">
        <f t="shared" si="80"/>
        <v>0</v>
      </c>
    </row>
    <row r="334" spans="1:22" ht="17.100000000000001" customHeight="1" x14ac:dyDescent="0.25">
      <c r="A334" s="320"/>
      <c r="B334" s="320"/>
      <c r="D334" s="233">
        <v>11</v>
      </c>
      <c r="E334" s="233"/>
      <c r="F334" s="233"/>
      <c r="G334" s="12"/>
      <c r="H334" s="12"/>
      <c r="I334" s="12"/>
      <c r="J334" s="12"/>
      <c r="K334" s="19"/>
      <c r="L334" s="19"/>
      <c r="M334" s="29"/>
      <c r="N334" s="158"/>
      <c r="O334" s="12"/>
      <c r="P334" s="27"/>
      <c r="Q334" s="29"/>
      <c r="R334" s="27"/>
      <c r="S334" s="15"/>
      <c r="T334" s="197"/>
    </row>
    <row r="335" spans="1:22" ht="17.100000000000001" customHeight="1" x14ac:dyDescent="0.25">
      <c r="A335" s="320"/>
      <c r="B335" s="320"/>
      <c r="D335" s="233">
        <v>12</v>
      </c>
      <c r="E335" s="358" t="s">
        <v>1425</v>
      </c>
      <c r="F335" s="233"/>
      <c r="G335" s="165">
        <f>+G332+G333+G334</f>
        <v>3480</v>
      </c>
      <c r="H335" s="166"/>
      <c r="I335" s="12"/>
      <c r="J335" s="12"/>
      <c r="K335" s="12"/>
      <c r="L335" s="12"/>
      <c r="M335" s="12"/>
      <c r="N335" s="167">
        <f>+N332+N333+N334</f>
        <v>17340</v>
      </c>
      <c r="O335" s="12"/>
      <c r="P335" s="233"/>
      <c r="Q335" s="12"/>
      <c r="R335" s="12"/>
      <c r="S335" s="167">
        <f>+S332+S333+S334</f>
        <v>17340</v>
      </c>
      <c r="T335" s="197">
        <f t="shared" si="80"/>
        <v>0</v>
      </c>
    </row>
    <row r="336" spans="1:22" ht="17.100000000000001" customHeight="1" x14ac:dyDescent="0.25">
      <c r="A336" s="320"/>
      <c r="B336" s="320"/>
      <c r="D336" s="233">
        <v>13</v>
      </c>
      <c r="E336" s="12"/>
      <c r="F336" s="12"/>
      <c r="T336" s="190"/>
    </row>
    <row r="337" spans="1:20" ht="17.100000000000001" customHeight="1" x14ac:dyDescent="0.25">
      <c r="A337" s="320"/>
      <c r="B337" s="320"/>
      <c r="D337" s="233">
        <v>14</v>
      </c>
      <c r="E337" s="356" t="s">
        <v>1574</v>
      </c>
      <c r="F337" s="12"/>
      <c r="G337" s="12"/>
      <c r="H337" s="30"/>
      <c r="I337" s="12"/>
      <c r="J337" s="12"/>
      <c r="K337" s="30"/>
      <c r="L337" s="233"/>
      <c r="M337" s="233"/>
      <c r="N337" s="233"/>
      <c r="O337" s="233"/>
      <c r="P337" s="27"/>
      <c r="Q337" s="30"/>
      <c r="R337" s="30"/>
      <c r="S337" s="12"/>
    </row>
    <row r="338" spans="1:20" ht="17.100000000000001" customHeight="1" x14ac:dyDescent="0.25">
      <c r="A338" s="320"/>
      <c r="B338" s="320"/>
      <c r="D338" s="233">
        <v>15</v>
      </c>
      <c r="E338" s="12" t="s">
        <v>1575</v>
      </c>
      <c r="F338" s="12"/>
      <c r="N338" s="15">
        <f>+SUM('LS-2 Facilities Input'!S3:S14)</f>
        <v>5330833.4751721025</v>
      </c>
      <c r="O338" s="233"/>
      <c r="P338" s="233"/>
      <c r="Q338" s="233"/>
      <c r="S338" s="15">
        <f>+N338</f>
        <v>5330833.4751721025</v>
      </c>
      <c r="T338" s="197">
        <f t="shared" ref="T338:T339" si="81">IF(S338=0,0,(S338-N338)/N338)</f>
        <v>0</v>
      </c>
    </row>
    <row r="339" spans="1:20" ht="17.100000000000001" customHeight="1" x14ac:dyDescent="0.25">
      <c r="A339" s="320"/>
      <c r="B339" s="320"/>
      <c r="D339" s="233">
        <v>16</v>
      </c>
      <c r="E339" s="358" t="s">
        <v>1597</v>
      </c>
      <c r="F339" s="12"/>
      <c r="G339" s="12"/>
      <c r="H339" s="30"/>
      <c r="I339" s="12"/>
      <c r="J339" s="12"/>
      <c r="K339" s="30"/>
      <c r="L339" s="233"/>
      <c r="M339" s="233"/>
      <c r="N339" s="167">
        <f>+N336+N337+N338</f>
        <v>5330833.4751721025</v>
      </c>
      <c r="O339" s="233"/>
      <c r="P339" s="27"/>
      <c r="Q339" s="30"/>
      <c r="R339" s="30"/>
      <c r="S339" s="167">
        <f>+S336+S337+S338</f>
        <v>5330833.4751721025</v>
      </c>
      <c r="T339" s="197">
        <f t="shared" si="81"/>
        <v>0</v>
      </c>
    </row>
    <row r="340" spans="1:20" ht="17.100000000000001" customHeight="1" x14ac:dyDescent="0.25">
      <c r="A340" s="320"/>
      <c r="B340" s="320"/>
      <c r="D340" s="233">
        <v>17</v>
      </c>
      <c r="E340" s="12"/>
      <c r="F340" s="12"/>
      <c r="G340" s="12"/>
      <c r="H340" s="12"/>
      <c r="I340" s="12"/>
      <c r="J340" s="12"/>
      <c r="K340" s="233"/>
      <c r="L340" s="233"/>
      <c r="M340" s="233"/>
      <c r="N340" s="233"/>
      <c r="O340" s="233"/>
      <c r="P340" s="233"/>
      <c r="Q340" s="233"/>
      <c r="R340" s="27"/>
      <c r="S340" s="12"/>
      <c r="T340" s="190"/>
    </row>
    <row r="341" spans="1:20" ht="17.100000000000001" customHeight="1" thickBot="1" x14ac:dyDescent="0.3">
      <c r="A341" s="320"/>
      <c r="B341" s="320"/>
      <c r="D341" s="233">
        <v>18</v>
      </c>
      <c r="E341" s="359" t="s">
        <v>1426</v>
      </c>
      <c r="F341" s="233"/>
      <c r="G341" s="12"/>
      <c r="H341" s="12"/>
      <c r="I341" s="12"/>
      <c r="J341" s="12"/>
      <c r="K341" s="233"/>
      <c r="L341" s="233"/>
      <c r="M341" s="233"/>
      <c r="N341" s="198">
        <f>+N246+N328+N335+N339</f>
        <v>82707820.715172112</v>
      </c>
      <c r="P341" s="233"/>
      <c r="Q341" s="233"/>
      <c r="R341" s="12"/>
      <c r="S341" s="198">
        <f>+S246+S328+S335+S339</f>
        <v>82707820.715172112</v>
      </c>
      <c r="T341" s="197">
        <f t="shared" ref="T341" si="82">IF(S341=0,0,(S341-N341)/N341)</f>
        <v>0</v>
      </c>
    </row>
    <row r="342" spans="1:20" ht="17.100000000000001" customHeight="1" thickTop="1" x14ac:dyDescent="0.25">
      <c r="A342" s="320"/>
      <c r="B342" s="320"/>
      <c r="D342" s="233">
        <v>19</v>
      </c>
      <c r="E342" s="12"/>
      <c r="F342" s="12"/>
      <c r="G342" s="12"/>
      <c r="H342" s="12"/>
      <c r="I342" s="12"/>
      <c r="J342" s="12"/>
      <c r="K342" s="233"/>
      <c r="L342" s="233"/>
      <c r="M342" s="233"/>
      <c r="N342" s="321"/>
      <c r="O342" s="233"/>
      <c r="P342" s="233"/>
      <c r="Q342" s="233"/>
      <c r="R342" s="30"/>
      <c r="S342" s="12"/>
      <c r="T342" s="12"/>
    </row>
    <row r="343" spans="1:20" ht="17.100000000000001" customHeight="1" x14ac:dyDescent="0.25">
      <c r="A343" s="320"/>
      <c r="B343" s="320"/>
      <c r="D343" s="233">
        <v>20</v>
      </c>
      <c r="E343" s="12"/>
      <c r="F343" s="12"/>
      <c r="G343" s="12"/>
      <c r="H343" s="12"/>
      <c r="I343" s="12"/>
      <c r="J343" s="12"/>
      <c r="K343" s="233"/>
      <c r="L343" s="233"/>
      <c r="M343" s="233"/>
      <c r="N343" s="233"/>
      <c r="O343" s="233"/>
      <c r="P343" s="233"/>
      <c r="Q343" s="233"/>
      <c r="R343" s="30"/>
      <c r="S343" s="12"/>
      <c r="T343" s="12"/>
    </row>
    <row r="344" spans="1:20" ht="17.100000000000001" customHeight="1" x14ac:dyDescent="0.25">
      <c r="A344" s="320"/>
      <c r="B344" s="320"/>
      <c r="D344" s="233">
        <v>21</v>
      </c>
      <c r="E344" s="12"/>
      <c r="F344" s="12"/>
      <c r="G344" s="12"/>
      <c r="H344" s="12"/>
      <c r="I344" s="12"/>
      <c r="J344" s="12"/>
      <c r="K344" s="30"/>
      <c r="L344" s="233"/>
      <c r="M344" s="233"/>
      <c r="N344" s="352"/>
      <c r="O344" s="233"/>
      <c r="P344" s="27"/>
      <c r="Q344" s="30"/>
      <c r="R344" s="37"/>
      <c r="S344" s="352"/>
      <c r="T344" s="190"/>
    </row>
    <row r="345" spans="1:20" ht="17.100000000000001" customHeight="1" x14ac:dyDescent="0.25">
      <c r="A345" s="320"/>
      <c r="B345" s="320"/>
      <c r="D345" s="233">
        <v>22</v>
      </c>
      <c r="E345" s="12"/>
      <c r="F345" s="12"/>
      <c r="G345" s="12"/>
      <c r="H345" s="12"/>
      <c r="I345" s="12"/>
      <c r="J345" s="12"/>
      <c r="K345" s="12"/>
      <c r="L345" s="233"/>
      <c r="M345" s="233"/>
      <c r="N345" s="233"/>
      <c r="O345" s="12"/>
      <c r="P345" s="12"/>
      <c r="Q345" s="12"/>
      <c r="R345" s="12"/>
      <c r="S345" s="15"/>
      <c r="T345" s="190"/>
    </row>
    <row r="346" spans="1:20" ht="17.100000000000001" customHeight="1" x14ac:dyDescent="0.25">
      <c r="A346" s="320"/>
      <c r="B346" s="320"/>
      <c r="D346" s="233">
        <v>23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ht="17.100000000000001" customHeight="1" x14ac:dyDescent="0.25">
      <c r="A347" s="320"/>
      <c r="B347" s="320"/>
      <c r="D347" s="233">
        <v>24</v>
      </c>
      <c r="E347" s="12"/>
      <c r="F347" s="12"/>
      <c r="G347" s="12"/>
      <c r="H347" s="12"/>
      <c r="I347" s="12"/>
      <c r="J347" s="12"/>
      <c r="K347" s="233"/>
      <c r="L347" s="233"/>
      <c r="M347" s="233"/>
      <c r="N347" s="233"/>
      <c r="O347" s="233"/>
      <c r="P347" s="233"/>
      <c r="Q347" s="233"/>
      <c r="R347" s="233"/>
      <c r="S347" s="233"/>
      <c r="T347" s="233"/>
    </row>
    <row r="348" spans="1:20" ht="17.100000000000001" customHeight="1" x14ac:dyDescent="0.25">
      <c r="A348" s="320"/>
      <c r="B348" s="320"/>
      <c r="D348" s="233">
        <v>25</v>
      </c>
      <c r="E348" s="12"/>
      <c r="F348" s="12"/>
      <c r="G348" s="12"/>
      <c r="H348" s="12"/>
      <c r="I348" s="12"/>
      <c r="J348" s="12"/>
      <c r="K348" s="233"/>
      <c r="L348" s="233"/>
      <c r="M348" s="233"/>
      <c r="N348" s="233"/>
      <c r="O348" s="233"/>
      <c r="P348" s="233"/>
      <c r="Q348" s="233"/>
      <c r="R348" s="233"/>
      <c r="S348" s="233"/>
      <c r="T348" s="233"/>
    </row>
    <row r="349" spans="1:20" ht="17.100000000000001" customHeight="1" x14ac:dyDescent="0.25">
      <c r="A349" s="320"/>
      <c r="B349" s="320"/>
      <c r="D349" s="233">
        <v>26</v>
      </c>
      <c r="E349" s="12"/>
      <c r="F349" s="12"/>
      <c r="G349" s="12"/>
      <c r="H349" s="12"/>
      <c r="I349" s="12"/>
      <c r="J349" s="12"/>
      <c r="K349" s="233"/>
      <c r="L349" s="233"/>
      <c r="M349" s="233"/>
      <c r="N349" s="233"/>
      <c r="O349" s="233"/>
      <c r="P349" s="233"/>
      <c r="Q349" s="233"/>
      <c r="R349" s="233"/>
      <c r="S349" s="233"/>
      <c r="T349" s="233"/>
    </row>
    <row r="350" spans="1:20" ht="17.100000000000001" customHeight="1" x14ac:dyDescent="0.25">
      <c r="A350" s="320"/>
      <c r="B350" s="320"/>
      <c r="D350" s="233">
        <v>27</v>
      </c>
      <c r="E350" s="233"/>
      <c r="F350" s="233"/>
      <c r="G350" s="233"/>
      <c r="H350" s="233"/>
      <c r="I350" s="233"/>
      <c r="J350" s="233"/>
      <c r="K350" s="233"/>
      <c r="L350" s="233"/>
      <c r="M350" s="233"/>
      <c r="N350" s="233"/>
      <c r="O350" s="233"/>
      <c r="P350" s="233"/>
      <c r="Q350" s="233"/>
      <c r="R350" s="233"/>
      <c r="S350" s="233"/>
      <c r="T350" s="233"/>
    </row>
    <row r="351" spans="1:20" ht="17.100000000000001" customHeight="1" x14ac:dyDescent="0.25">
      <c r="A351" s="320"/>
      <c r="B351" s="320"/>
      <c r="D351" s="233">
        <v>28</v>
      </c>
      <c r="E351" s="233"/>
      <c r="F351" s="233"/>
      <c r="G351" s="233"/>
      <c r="H351" s="233"/>
      <c r="I351" s="233"/>
      <c r="J351" s="233"/>
      <c r="K351" s="233"/>
      <c r="L351" s="233"/>
      <c r="M351" s="233"/>
      <c r="N351" s="233"/>
      <c r="O351" s="233"/>
      <c r="P351" s="233"/>
      <c r="Q351" s="233"/>
      <c r="R351" s="233"/>
      <c r="S351" s="233"/>
      <c r="T351" s="233"/>
    </row>
    <row r="352" spans="1:20" ht="17.100000000000001" customHeight="1" x14ac:dyDescent="0.25">
      <c r="A352" s="320"/>
      <c r="B352" s="320"/>
      <c r="D352" s="233">
        <v>29</v>
      </c>
      <c r="E352" s="233"/>
      <c r="F352" s="233"/>
      <c r="G352" s="233"/>
      <c r="H352" s="233"/>
      <c r="I352" s="233"/>
      <c r="J352" s="233"/>
      <c r="K352" s="233"/>
      <c r="L352" s="233"/>
      <c r="M352" s="233"/>
      <c r="N352" s="233"/>
      <c r="O352" s="233"/>
      <c r="P352" s="233"/>
      <c r="Q352" s="233"/>
      <c r="R352" s="233"/>
      <c r="S352" s="233"/>
      <c r="T352" s="233"/>
    </row>
    <row r="353" spans="1:20" ht="17.100000000000001" customHeight="1" x14ac:dyDescent="0.25">
      <c r="A353" s="320"/>
      <c r="B353" s="320"/>
      <c r="D353" s="233">
        <v>30</v>
      </c>
      <c r="E353" s="233"/>
      <c r="F353" s="233"/>
      <c r="G353" s="233"/>
      <c r="H353" s="233"/>
      <c r="I353" s="233"/>
      <c r="J353" s="233"/>
      <c r="K353" s="233"/>
      <c r="L353" s="233"/>
      <c r="M353" s="233"/>
      <c r="N353" s="233"/>
      <c r="O353" s="233"/>
      <c r="P353" s="233"/>
      <c r="Q353" s="233"/>
      <c r="R353" s="233"/>
      <c r="S353" s="233"/>
      <c r="T353" s="233"/>
    </row>
    <row r="354" spans="1:20" ht="17.100000000000001" customHeight="1" x14ac:dyDescent="0.25">
      <c r="A354" s="320"/>
      <c r="B354" s="320"/>
      <c r="D354" s="233">
        <v>31</v>
      </c>
      <c r="E354" s="233"/>
      <c r="F354" s="233"/>
      <c r="G354" s="233"/>
      <c r="H354" s="233"/>
      <c r="I354" s="233"/>
      <c r="J354" s="233"/>
      <c r="K354" s="233"/>
      <c r="L354" s="233"/>
      <c r="M354" s="233"/>
      <c r="N354" s="233"/>
      <c r="O354" s="233"/>
      <c r="P354" s="233"/>
      <c r="Q354" s="233"/>
      <c r="R354" s="233"/>
      <c r="S354" s="233"/>
      <c r="T354" s="233"/>
    </row>
    <row r="355" spans="1:20" ht="17.100000000000001" customHeight="1" x14ac:dyDescent="0.25">
      <c r="A355" s="320"/>
      <c r="B355" s="320"/>
      <c r="D355" s="233">
        <v>32</v>
      </c>
      <c r="E355" s="233"/>
      <c r="F355" s="233"/>
      <c r="G355" s="233"/>
      <c r="H355" s="233"/>
      <c r="I355" s="233"/>
      <c r="J355" s="233"/>
      <c r="K355" s="233"/>
      <c r="L355" s="233"/>
      <c r="M355" s="233"/>
      <c r="N355" s="233"/>
      <c r="O355" s="233"/>
      <c r="P355" s="233"/>
      <c r="Q355" s="233"/>
      <c r="R355" s="233"/>
      <c r="S355" s="233"/>
      <c r="T355" s="233"/>
    </row>
    <row r="356" spans="1:20" ht="17.100000000000001" customHeight="1" x14ac:dyDescent="0.25">
      <c r="A356" s="320"/>
      <c r="B356" s="320"/>
      <c r="D356" s="233">
        <v>33</v>
      </c>
      <c r="E356" s="233"/>
      <c r="F356" s="233"/>
      <c r="G356" s="233"/>
      <c r="H356" s="233"/>
      <c r="I356" s="233"/>
      <c r="J356" s="233"/>
      <c r="K356" s="233"/>
      <c r="L356" s="233"/>
      <c r="M356" s="233"/>
      <c r="N356" s="233"/>
      <c r="O356" s="233"/>
      <c r="P356" s="233"/>
      <c r="Q356" s="233"/>
      <c r="R356" s="233"/>
      <c r="S356" s="233"/>
      <c r="T356" s="233"/>
    </row>
    <row r="357" spans="1:20" ht="17.100000000000001" customHeight="1" x14ac:dyDescent="0.25">
      <c r="A357" s="320"/>
      <c r="B357" s="320"/>
      <c r="D357" s="233">
        <v>34</v>
      </c>
      <c r="E357" s="330"/>
      <c r="F357" s="233"/>
      <c r="G357" s="233"/>
      <c r="H357" s="233"/>
      <c r="I357" s="233"/>
      <c r="J357" s="233"/>
      <c r="K357" s="233"/>
      <c r="L357" s="233"/>
      <c r="M357" s="233"/>
      <c r="N357" s="11"/>
      <c r="O357" s="233"/>
      <c r="P357" s="233"/>
      <c r="Q357" s="233"/>
      <c r="R357" s="233"/>
      <c r="S357" s="27"/>
      <c r="T357" s="233"/>
    </row>
    <row r="358" spans="1:20" ht="17.100000000000001" customHeight="1" x14ac:dyDescent="0.25">
      <c r="A358" s="320"/>
      <c r="B358" s="320"/>
      <c r="D358" s="233">
        <v>35</v>
      </c>
      <c r="E358" s="353"/>
      <c r="F358" s="233"/>
      <c r="G358" s="28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ht="17.100000000000001" customHeight="1" x14ac:dyDescent="0.25">
      <c r="A359" s="320"/>
      <c r="B359" s="320"/>
      <c r="D359" s="233">
        <v>36</v>
      </c>
      <c r="E359" s="353"/>
      <c r="F359" s="233"/>
      <c r="G359" s="28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ht="17.100000000000001" customHeight="1" x14ac:dyDescent="0.25">
      <c r="A360" s="320"/>
      <c r="B360" s="320"/>
      <c r="D360" s="233">
        <v>37</v>
      </c>
      <c r="E360" s="353"/>
      <c r="F360" s="233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ht="17.100000000000001" customHeight="1" x14ac:dyDescent="0.25">
      <c r="A361" s="320"/>
      <c r="B361" s="320"/>
      <c r="D361" s="233">
        <v>38</v>
      </c>
      <c r="E361" s="353"/>
      <c r="F361" s="233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ht="17.100000000000001" customHeight="1" x14ac:dyDescent="0.25">
      <c r="A362" s="320"/>
      <c r="B362" s="320"/>
      <c r="D362" s="233">
        <v>39</v>
      </c>
      <c r="E362" s="353"/>
      <c r="F362" s="233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ht="17.100000000000001" customHeight="1" thickBot="1" x14ac:dyDescent="0.3">
      <c r="A363" s="320"/>
      <c r="B363" s="320"/>
      <c r="D363" s="306">
        <v>40</v>
      </c>
      <c r="E363" s="306"/>
      <c r="F363" s="306"/>
      <c r="G363" s="306"/>
      <c r="H363" s="306"/>
      <c r="I363" s="306"/>
      <c r="J363" s="306"/>
      <c r="K363" s="306"/>
      <c r="L363" s="306"/>
      <c r="M363" s="306"/>
      <c r="N363" s="306"/>
      <c r="O363" s="306"/>
      <c r="P363" s="306"/>
      <c r="Q363" s="306"/>
      <c r="R363" s="306"/>
      <c r="S363" s="306"/>
      <c r="T363" s="306"/>
    </row>
    <row r="364" spans="1:20" ht="17.100000000000001" customHeight="1" x14ac:dyDescent="0.25">
      <c r="A364" s="320"/>
      <c r="B364" s="320"/>
      <c r="D364" s="233" t="s">
        <v>1219</v>
      </c>
      <c r="E364" s="233"/>
      <c r="F364" s="233"/>
      <c r="G364" s="233"/>
      <c r="H364" s="233"/>
      <c r="I364" s="233"/>
      <c r="J364" s="233"/>
      <c r="K364" s="233"/>
      <c r="L364" s="233"/>
      <c r="M364" s="233"/>
      <c r="N364" s="233"/>
      <c r="O364" s="233"/>
      <c r="P364" s="233"/>
      <c r="Q364" s="233"/>
      <c r="R364" s="233" t="str">
        <f>+R312</f>
        <v>Recap Schedules: E-13a</v>
      </c>
      <c r="S364" s="233"/>
      <c r="T364" s="233"/>
    </row>
    <row r="373" spans="22:24" ht="17.100000000000001" customHeight="1" x14ac:dyDescent="0.25">
      <c r="V373" s="360"/>
      <c r="W373" s="360"/>
      <c r="X373" s="360"/>
    </row>
  </sheetData>
  <mergeCells count="27">
    <mergeCell ref="E319:T319"/>
    <mergeCell ref="E324:F324"/>
    <mergeCell ref="E169:F169"/>
    <mergeCell ref="E215:T215"/>
    <mergeCell ref="K216:N216"/>
    <mergeCell ref="P216:S216"/>
    <mergeCell ref="E222:F222"/>
    <mergeCell ref="E267:T267"/>
    <mergeCell ref="K164:N164"/>
    <mergeCell ref="P164:S164"/>
    <mergeCell ref="E59:T59"/>
    <mergeCell ref="K60:N60"/>
    <mergeCell ref="P60:S60"/>
    <mergeCell ref="E65:F65"/>
    <mergeCell ref="E85:F85"/>
    <mergeCell ref="E111:T111"/>
    <mergeCell ref="K112:N112"/>
    <mergeCell ref="P112:S112"/>
    <mergeCell ref="E117:F117"/>
    <mergeCell ref="E136:F136"/>
    <mergeCell ref="E163:T163"/>
    <mergeCell ref="E12:F12"/>
    <mergeCell ref="E7:T7"/>
    <mergeCell ref="K8:N8"/>
    <mergeCell ref="P8:S8"/>
    <mergeCell ref="E10:F10"/>
    <mergeCell ref="E11:F11"/>
  </mergeCells>
  <pageMargins left="0.75" right="0" top="1" bottom="0" header="0" footer="0"/>
  <pageSetup scale="55" orientation="landscape" r:id="rId1"/>
  <rowBreaks count="6" manualBreakCount="6">
    <brk id="52" max="16383" man="1"/>
    <brk id="104" max="16383" man="1"/>
    <brk id="156" max="16383" man="1"/>
    <brk id="208" min="3" max="19" man="1"/>
    <brk id="260" max="16383" man="1"/>
    <brk id="312" max="16383" man="1"/>
  </rowBreaks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C292-AE8E-4A83-AADA-7D5F51F489DB}">
  <sheetPr codeName="Sheet132">
    <pageSetUpPr fitToPage="1"/>
  </sheetPr>
  <dimension ref="A2:V443"/>
  <sheetViews>
    <sheetView zoomScaleNormal="100" zoomScaleSheetLayoutView="90" workbookViewId="0"/>
  </sheetViews>
  <sheetFormatPr defaultRowHeight="12.75" x14ac:dyDescent="0.2"/>
  <cols>
    <col min="1" max="1" width="7.28515625" style="260" customWidth="1"/>
    <col min="2" max="2" width="7.140625" style="260" customWidth="1"/>
    <col min="3" max="3" width="4" style="260" customWidth="1"/>
    <col min="4" max="7" width="9.140625" style="260"/>
    <col min="8" max="8" width="12.7109375" style="260" bestFit="1" customWidth="1"/>
    <col min="9" max="9" width="1.5703125" style="260" customWidth="1"/>
    <col min="10" max="10" width="12.42578125" style="260" customWidth="1"/>
    <col min="11" max="11" width="1.85546875" style="260" customWidth="1"/>
    <col min="12" max="12" width="11.28515625" style="260" customWidth="1"/>
    <col min="13" max="13" width="1.85546875" style="260" customWidth="1"/>
    <col min="14" max="14" width="15.85546875" style="260" bestFit="1" customWidth="1"/>
    <col min="15" max="15" width="1.42578125" style="260" customWidth="1"/>
    <col min="16" max="16" width="7.140625" style="260" customWidth="1"/>
    <col min="17" max="21" width="9.140625" style="260"/>
    <col min="22" max="22" width="9.140625" style="259"/>
    <col min="23" max="16384" width="9.140625" style="260"/>
  </cols>
  <sheetData>
    <row r="2" spans="1:21" ht="13.5" thickBot="1" x14ac:dyDescent="0.25">
      <c r="A2" s="257" t="s">
        <v>1699</v>
      </c>
      <c r="B2" s="258"/>
      <c r="C2" s="257"/>
      <c r="D2" s="257"/>
      <c r="E2" s="257"/>
      <c r="F2" s="258"/>
      <c r="G2" s="602" t="s">
        <v>1700</v>
      </c>
      <c r="H2" s="602"/>
      <c r="I2" s="602"/>
      <c r="J2" s="602"/>
      <c r="K2" s="602"/>
      <c r="L2" s="602"/>
      <c r="M2" s="602"/>
      <c r="N2" s="602"/>
      <c r="O2" s="257"/>
      <c r="P2" s="257"/>
      <c r="Q2" s="257"/>
      <c r="R2" s="257"/>
      <c r="S2" s="257"/>
      <c r="T2" s="257"/>
      <c r="U2" s="257" t="s">
        <v>1701</v>
      </c>
    </row>
    <row r="3" spans="1:21" x14ac:dyDescent="0.2"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</row>
    <row r="4" spans="1:21" x14ac:dyDescent="0.2">
      <c r="B4" s="601" t="s">
        <v>987</v>
      </c>
      <c r="C4" s="601"/>
      <c r="D4" s="261"/>
      <c r="E4" s="261"/>
      <c r="H4" s="262" t="s">
        <v>1702</v>
      </c>
      <c r="I4" s="262"/>
      <c r="J4" s="262" t="s">
        <v>984</v>
      </c>
      <c r="K4" s="262"/>
      <c r="L4" s="262" t="s">
        <v>1703</v>
      </c>
      <c r="M4" s="262"/>
      <c r="N4" s="262"/>
      <c r="O4" s="261"/>
      <c r="P4" s="261"/>
      <c r="Q4" s="261"/>
      <c r="R4" s="261"/>
      <c r="S4" s="261"/>
      <c r="T4" s="261"/>
      <c r="U4" s="261"/>
    </row>
    <row r="5" spans="1:21" x14ac:dyDescent="0.2">
      <c r="A5" s="263" t="s">
        <v>1704</v>
      </c>
      <c r="B5" s="600" t="s">
        <v>1705</v>
      </c>
      <c r="C5" s="600"/>
      <c r="D5" s="600" t="s">
        <v>1706</v>
      </c>
      <c r="E5" s="600"/>
      <c r="F5" s="600"/>
      <c r="H5" s="264" t="s">
        <v>987</v>
      </c>
      <c r="I5" s="262"/>
      <c r="J5" s="264" t="s">
        <v>987</v>
      </c>
      <c r="K5" s="262"/>
      <c r="L5" s="264" t="s">
        <v>1707</v>
      </c>
      <c r="M5" s="262"/>
      <c r="N5" s="264" t="s">
        <v>1708</v>
      </c>
      <c r="P5" s="600" t="s">
        <v>1709</v>
      </c>
      <c r="Q5" s="600"/>
      <c r="R5" s="600"/>
      <c r="S5" s="600"/>
      <c r="T5" s="600"/>
      <c r="U5" s="261"/>
    </row>
    <row r="6" spans="1:21" x14ac:dyDescent="0.2">
      <c r="A6" s="262">
        <v>1</v>
      </c>
      <c r="R6" s="261"/>
      <c r="S6" s="261"/>
      <c r="T6" s="261"/>
      <c r="U6" s="261"/>
    </row>
    <row r="7" spans="1:21" x14ac:dyDescent="0.2">
      <c r="A7" s="262">
        <v>2</v>
      </c>
      <c r="B7" s="261" t="s">
        <v>1710</v>
      </c>
      <c r="D7" s="261" t="s">
        <v>1711</v>
      </c>
      <c r="E7" s="261"/>
      <c r="F7" s="261"/>
      <c r="G7" s="261"/>
      <c r="H7" s="212">
        <v>112</v>
      </c>
      <c r="I7" s="212"/>
      <c r="J7" s="212">
        <v>168</v>
      </c>
      <c r="K7" s="212"/>
      <c r="L7" s="212">
        <v>330.72614266361023</v>
      </c>
      <c r="M7" s="200"/>
      <c r="N7" s="262" t="s">
        <v>1712</v>
      </c>
      <c r="O7" s="261"/>
      <c r="P7" s="261" t="s">
        <v>1713</v>
      </c>
      <c r="R7" s="261"/>
      <c r="S7" s="261"/>
      <c r="T7" s="261"/>
      <c r="U7" s="261"/>
    </row>
    <row r="8" spans="1:21" x14ac:dyDescent="0.2">
      <c r="A8" s="262">
        <v>3</v>
      </c>
      <c r="B8" s="261" t="s">
        <v>1710</v>
      </c>
      <c r="D8" s="261" t="s">
        <v>1714</v>
      </c>
      <c r="E8" s="261"/>
      <c r="F8" s="261"/>
      <c r="G8" s="261"/>
      <c r="H8" s="212">
        <v>10</v>
      </c>
      <c r="I8" s="212"/>
      <c r="J8" s="212">
        <v>15</v>
      </c>
      <c r="K8" s="212"/>
      <c r="L8" s="212">
        <v>22.73062044198571</v>
      </c>
      <c r="M8" s="200"/>
      <c r="N8" s="262" t="s">
        <v>1712</v>
      </c>
      <c r="O8" s="261"/>
      <c r="P8" s="261" t="s">
        <v>1713</v>
      </c>
      <c r="R8" s="261"/>
      <c r="S8" s="261"/>
      <c r="T8" s="261"/>
      <c r="U8" s="261"/>
    </row>
    <row r="9" spans="1:21" x14ac:dyDescent="0.2">
      <c r="A9" s="262">
        <v>4</v>
      </c>
      <c r="B9" s="261" t="s">
        <v>1710</v>
      </c>
      <c r="D9" s="261" t="s">
        <v>1716</v>
      </c>
      <c r="E9" s="261"/>
      <c r="F9" s="261"/>
      <c r="G9" s="261"/>
      <c r="H9" s="212">
        <v>12</v>
      </c>
      <c r="I9" s="212"/>
      <c r="J9" s="212">
        <v>18</v>
      </c>
      <c r="K9" s="212"/>
      <c r="L9" s="212">
        <v>20.42110432692953</v>
      </c>
      <c r="M9" s="200"/>
      <c r="N9" s="262" t="s">
        <v>1712</v>
      </c>
      <c r="O9" s="261"/>
      <c r="P9" s="261" t="s">
        <v>1713</v>
      </c>
      <c r="R9" s="261"/>
      <c r="S9" s="261"/>
      <c r="T9" s="261"/>
      <c r="U9" s="261"/>
    </row>
    <row r="10" spans="1:21" x14ac:dyDescent="0.2">
      <c r="A10" s="262">
        <v>5</v>
      </c>
      <c r="B10" s="261" t="s">
        <v>1710</v>
      </c>
      <c r="D10" s="261" t="s">
        <v>1717</v>
      </c>
      <c r="E10" s="261"/>
      <c r="F10" s="261"/>
      <c r="G10" s="261"/>
      <c r="H10" s="212">
        <v>185</v>
      </c>
      <c r="I10" s="212"/>
      <c r="J10" s="212">
        <v>175</v>
      </c>
      <c r="K10" s="212"/>
      <c r="L10" s="212">
        <v>175.26523714156639</v>
      </c>
      <c r="M10" s="200"/>
      <c r="N10" s="262" t="s">
        <v>1712</v>
      </c>
      <c r="O10" s="261"/>
      <c r="P10" s="261" t="s">
        <v>1715</v>
      </c>
      <c r="R10" s="261"/>
      <c r="S10" s="261"/>
      <c r="T10" s="261"/>
      <c r="U10" s="261"/>
    </row>
    <row r="11" spans="1:21" x14ac:dyDescent="0.2">
      <c r="A11" s="262">
        <v>6</v>
      </c>
      <c r="B11" s="261" t="s">
        <v>1710</v>
      </c>
      <c r="D11" s="261" t="s">
        <v>1718</v>
      </c>
      <c r="E11" s="261"/>
      <c r="F11" s="261"/>
      <c r="G11" s="261"/>
      <c r="H11" s="212">
        <v>25</v>
      </c>
      <c r="I11" s="212"/>
      <c r="J11" s="212">
        <v>37</v>
      </c>
      <c r="K11" s="212"/>
      <c r="L11" s="212">
        <v>78.74743727912454</v>
      </c>
      <c r="M11" s="200"/>
      <c r="N11" s="262" t="s">
        <v>1712</v>
      </c>
      <c r="O11" s="261"/>
      <c r="P11" s="261" t="s">
        <v>1713</v>
      </c>
      <c r="R11" s="261"/>
      <c r="S11" s="261"/>
      <c r="T11" s="261"/>
      <c r="U11" s="261"/>
    </row>
    <row r="12" spans="1:21" x14ac:dyDescent="0.2">
      <c r="A12" s="262">
        <v>7</v>
      </c>
      <c r="B12" s="261" t="s">
        <v>1710</v>
      </c>
      <c r="D12" s="261" t="s">
        <v>1719</v>
      </c>
      <c r="E12" s="261"/>
      <c r="F12" s="261"/>
      <c r="G12" s="261"/>
      <c r="H12" s="212">
        <v>50</v>
      </c>
      <c r="I12" s="212"/>
      <c r="J12" s="212">
        <v>75</v>
      </c>
      <c r="K12" s="212"/>
      <c r="L12" s="212">
        <v>187.26239236750385</v>
      </c>
      <c r="M12" s="200"/>
      <c r="N12" s="262" t="s">
        <v>1712</v>
      </c>
      <c r="O12" s="261"/>
      <c r="P12" s="261" t="s">
        <v>1713</v>
      </c>
      <c r="R12" s="261"/>
      <c r="S12" s="261"/>
      <c r="T12" s="261"/>
      <c r="U12" s="261"/>
    </row>
    <row r="13" spans="1:21" x14ac:dyDescent="0.2">
      <c r="A13" s="262">
        <v>8</v>
      </c>
      <c r="B13" s="261" t="s">
        <v>1710</v>
      </c>
      <c r="D13" s="261" t="s">
        <v>1720</v>
      </c>
      <c r="E13" s="261"/>
      <c r="F13" s="261"/>
      <c r="G13" s="261"/>
      <c r="H13" s="212">
        <v>320</v>
      </c>
      <c r="I13" s="212"/>
      <c r="J13" s="212">
        <v>480</v>
      </c>
      <c r="K13" s="212"/>
      <c r="L13" s="212">
        <v>567.52376138602926</v>
      </c>
      <c r="M13" s="201"/>
      <c r="N13" s="262" t="s">
        <v>1712</v>
      </c>
      <c r="O13" s="261"/>
      <c r="P13" s="261" t="s">
        <v>1713</v>
      </c>
      <c r="R13" s="261"/>
      <c r="S13" s="261"/>
      <c r="T13" s="261"/>
      <c r="U13" s="261"/>
    </row>
    <row r="14" spans="1:21" x14ac:dyDescent="0.2">
      <c r="A14" s="262">
        <v>9</v>
      </c>
      <c r="B14" s="261" t="s">
        <v>1710</v>
      </c>
      <c r="D14" s="261" t="s">
        <v>1720</v>
      </c>
      <c r="E14" s="261"/>
      <c r="F14" s="261"/>
      <c r="G14" s="261"/>
      <c r="H14" s="200" t="s">
        <v>1721</v>
      </c>
      <c r="I14" s="202"/>
      <c r="J14" s="200" t="s">
        <v>1721</v>
      </c>
      <c r="K14" s="201"/>
      <c r="L14" s="201" t="s">
        <v>1721</v>
      </c>
      <c r="M14" s="201"/>
      <c r="N14" s="262" t="s">
        <v>1712</v>
      </c>
      <c r="O14" s="261"/>
      <c r="P14" s="261" t="s">
        <v>1722</v>
      </c>
      <c r="R14" s="261"/>
      <c r="S14" s="261"/>
      <c r="T14" s="261"/>
      <c r="U14" s="261"/>
    </row>
    <row r="15" spans="1:21" x14ac:dyDescent="0.2">
      <c r="A15" s="262">
        <v>10</v>
      </c>
      <c r="B15" s="261" t="s">
        <v>1710</v>
      </c>
      <c r="D15" s="261" t="s">
        <v>1723</v>
      </c>
      <c r="E15" s="261"/>
      <c r="F15" s="261"/>
      <c r="G15" s="261"/>
      <c r="H15" s="200" t="s">
        <v>1724</v>
      </c>
      <c r="I15" s="202"/>
      <c r="J15" s="200" t="s">
        <v>1724</v>
      </c>
      <c r="K15" s="201"/>
      <c r="L15" s="201" t="s">
        <v>1724</v>
      </c>
      <c r="M15" s="201"/>
      <c r="N15" s="262" t="s">
        <v>1712</v>
      </c>
      <c r="O15" s="261"/>
      <c r="P15" s="261" t="s">
        <v>1722</v>
      </c>
      <c r="R15" s="261"/>
      <c r="S15" s="261"/>
      <c r="T15" s="261"/>
      <c r="U15" s="261"/>
    </row>
    <row r="16" spans="1:21" x14ac:dyDescent="0.2">
      <c r="A16" s="262">
        <v>11</v>
      </c>
      <c r="B16" s="261"/>
      <c r="D16" s="261"/>
      <c r="H16" s="200"/>
      <c r="I16" s="202"/>
      <c r="J16" s="200"/>
      <c r="K16" s="201"/>
      <c r="L16" s="201"/>
      <c r="M16" s="201"/>
      <c r="N16" s="262"/>
      <c r="O16" s="261"/>
      <c r="P16" s="261"/>
      <c r="S16" s="261"/>
      <c r="T16" s="261"/>
      <c r="U16" s="261"/>
    </row>
    <row r="17" spans="1:21" x14ac:dyDescent="0.2">
      <c r="A17" s="262">
        <v>12</v>
      </c>
      <c r="N17" s="259"/>
      <c r="O17" s="259"/>
      <c r="P17" s="259"/>
      <c r="S17" s="261"/>
      <c r="T17" s="261"/>
      <c r="U17" s="261"/>
    </row>
    <row r="18" spans="1:21" x14ac:dyDescent="0.2">
      <c r="A18" s="262">
        <v>13</v>
      </c>
      <c r="B18" s="265" t="s">
        <v>313</v>
      </c>
      <c r="D18" s="261"/>
      <c r="E18" s="261"/>
      <c r="F18" s="261"/>
      <c r="G18" s="261"/>
      <c r="H18" s="200"/>
      <c r="I18" s="200"/>
      <c r="J18" s="200"/>
      <c r="K18" s="200"/>
      <c r="L18" s="261"/>
      <c r="M18" s="261"/>
      <c r="N18" s="266"/>
      <c r="O18" s="266"/>
      <c r="P18" s="266"/>
      <c r="R18" s="261"/>
      <c r="S18" s="261"/>
      <c r="T18" s="261"/>
      <c r="U18" s="261"/>
    </row>
    <row r="19" spans="1:21" x14ac:dyDescent="0.2">
      <c r="A19" s="262">
        <v>14</v>
      </c>
      <c r="C19" s="267"/>
      <c r="D19" s="261" t="s">
        <v>1823</v>
      </c>
      <c r="G19" s="261"/>
      <c r="L19" s="261"/>
      <c r="M19" s="261"/>
      <c r="N19" s="266"/>
      <c r="O19" s="266"/>
      <c r="P19" s="266"/>
      <c r="R19" s="261"/>
      <c r="S19" s="261"/>
      <c r="T19" s="261"/>
      <c r="U19" s="261"/>
    </row>
    <row r="20" spans="1:21" x14ac:dyDescent="0.2">
      <c r="A20" s="262">
        <v>15</v>
      </c>
      <c r="B20" s="268"/>
      <c r="C20" s="267"/>
      <c r="D20" s="269" t="s">
        <v>328</v>
      </c>
      <c r="G20" s="261"/>
      <c r="H20" s="213">
        <f>+'2025 RS Rate Class E-13c'!J19</f>
        <v>0.71</v>
      </c>
      <c r="I20" s="270"/>
      <c r="J20" s="213">
        <f>+'2025 RS Rate Class E-13c'!Q19</f>
        <v>1.07</v>
      </c>
      <c r="K20" s="270"/>
      <c r="L20" s="212">
        <f>+'Unit Cost Rate Design Input'!D5</f>
        <v>1.07</v>
      </c>
      <c r="M20" s="200"/>
      <c r="N20" s="262" t="s">
        <v>1726</v>
      </c>
      <c r="O20" s="261"/>
      <c r="P20" s="261" t="s">
        <v>1800</v>
      </c>
      <c r="Q20" s="261"/>
      <c r="R20" s="261"/>
      <c r="S20" s="261"/>
      <c r="T20" s="261"/>
      <c r="U20" s="261"/>
    </row>
    <row r="21" spans="1:21" x14ac:dyDescent="0.2">
      <c r="A21" s="262">
        <v>16</v>
      </c>
      <c r="B21" s="268"/>
      <c r="C21" s="267"/>
      <c r="D21" s="269" t="s">
        <v>330</v>
      </c>
      <c r="G21" s="261"/>
      <c r="H21" s="213">
        <f>+'2025 RS Rate Class E-13c'!J20</f>
        <v>0.71</v>
      </c>
      <c r="I21" s="270"/>
      <c r="J21" s="213">
        <f>+'2025 RS Rate Class E-13c'!Q20</f>
        <v>1.07</v>
      </c>
      <c r="K21" s="270"/>
      <c r="L21" s="212">
        <f>+'Unit Cost Rate Design Input'!D6</f>
        <v>1.07</v>
      </c>
      <c r="M21" s="200"/>
      <c r="N21" s="262" t="s">
        <v>1726</v>
      </c>
      <c r="O21" s="261"/>
      <c r="P21" s="261" t="s">
        <v>1800</v>
      </c>
      <c r="Q21" s="261"/>
      <c r="R21" s="261"/>
      <c r="S21" s="261"/>
      <c r="T21" s="261"/>
      <c r="U21" s="261"/>
    </row>
    <row r="22" spans="1:21" x14ac:dyDescent="0.2">
      <c r="A22" s="262">
        <v>17</v>
      </c>
      <c r="B22" s="268"/>
      <c r="C22" s="267"/>
      <c r="D22" s="269"/>
      <c r="G22" s="261"/>
      <c r="H22" s="270"/>
      <c r="I22" s="270"/>
      <c r="J22" s="270"/>
      <c r="K22" s="270"/>
      <c r="L22" s="200"/>
      <c r="M22" s="200"/>
      <c r="N22" s="271"/>
      <c r="O22" s="266"/>
      <c r="P22" s="266"/>
      <c r="Q22" s="261"/>
      <c r="R22" s="261"/>
      <c r="S22" s="261"/>
      <c r="T22" s="261"/>
      <c r="U22" s="261"/>
    </row>
    <row r="23" spans="1:21" x14ac:dyDescent="0.2">
      <c r="A23" s="262">
        <v>18</v>
      </c>
      <c r="B23" s="268"/>
      <c r="C23" s="267"/>
      <c r="D23" s="261" t="s">
        <v>1727</v>
      </c>
      <c r="L23" s="200"/>
      <c r="M23" s="200"/>
      <c r="N23" s="266"/>
      <c r="O23" s="266"/>
      <c r="P23" s="266"/>
      <c r="Q23" s="261"/>
      <c r="R23" s="261"/>
      <c r="S23" s="261"/>
      <c r="T23" s="261"/>
      <c r="U23" s="261"/>
    </row>
    <row r="24" spans="1:21" x14ac:dyDescent="0.2">
      <c r="A24" s="262">
        <v>19</v>
      </c>
      <c r="B24" s="268"/>
      <c r="C24" s="267"/>
      <c r="D24" s="269" t="s">
        <v>328</v>
      </c>
      <c r="H24" s="203"/>
      <c r="I24" s="203"/>
      <c r="J24" s="203"/>
      <c r="K24" s="203"/>
      <c r="L24" s="203"/>
      <c r="M24" s="203"/>
      <c r="N24" s="259"/>
      <c r="O24" s="266"/>
      <c r="P24" s="266"/>
      <c r="Q24" s="261"/>
      <c r="R24" s="261"/>
      <c r="S24" s="261"/>
      <c r="T24" s="261"/>
      <c r="U24" s="261"/>
    </row>
    <row r="25" spans="1:21" x14ac:dyDescent="0.2">
      <c r="A25" s="262">
        <v>20</v>
      </c>
      <c r="B25" s="268"/>
      <c r="C25" s="267"/>
      <c r="D25" s="272" t="s">
        <v>334</v>
      </c>
      <c r="H25" s="213">
        <f>+'2025 RS Rate Class E-13c'!J27*1000</f>
        <v>66.5</v>
      </c>
      <c r="I25" s="204"/>
      <c r="J25" s="213">
        <f>+'2025 RS Rate Class E-13c'!Q27*1000</f>
        <v>74.914944597099392</v>
      </c>
      <c r="K25" s="203"/>
      <c r="L25" s="203"/>
      <c r="M25" s="203"/>
      <c r="N25" s="262"/>
      <c r="O25" s="261"/>
      <c r="P25" s="261" t="s">
        <v>1728</v>
      </c>
      <c r="Q25" s="261"/>
      <c r="R25" s="261"/>
      <c r="S25" s="261"/>
      <c r="T25" s="261"/>
      <c r="U25" s="261"/>
    </row>
    <row r="26" spans="1:21" x14ac:dyDescent="0.2">
      <c r="A26" s="262">
        <v>21</v>
      </c>
      <c r="B26" s="268"/>
      <c r="D26" s="272" t="s">
        <v>335</v>
      </c>
      <c r="H26" s="213">
        <f>+'2025 RS Rate Class E-13c'!J28*1000</f>
        <v>78.02000000000001</v>
      </c>
      <c r="I26" s="204"/>
      <c r="J26" s="213">
        <f>+'2025 RS Rate Class E-13c'!Q28*1000</f>
        <v>84.914944597099392</v>
      </c>
      <c r="K26" s="203"/>
      <c r="L26" s="203"/>
      <c r="M26" s="203"/>
      <c r="N26" s="262"/>
      <c r="O26" s="261"/>
      <c r="P26" s="261" t="s">
        <v>1728</v>
      </c>
      <c r="Q26" s="261"/>
      <c r="R26" s="261"/>
      <c r="S26" s="261"/>
      <c r="T26" s="261"/>
      <c r="U26" s="261"/>
    </row>
    <row r="27" spans="1:21" x14ac:dyDescent="0.2">
      <c r="A27" s="262">
        <v>22</v>
      </c>
      <c r="B27" s="268"/>
      <c r="D27" s="269" t="s">
        <v>330</v>
      </c>
      <c r="E27" s="261"/>
      <c r="F27" s="261"/>
      <c r="G27" s="261"/>
      <c r="H27" s="213">
        <f>+'2025 RS Rate Class E-13c'!J29*1000</f>
        <v>70.12</v>
      </c>
      <c r="I27" s="203"/>
      <c r="J27" s="213">
        <f>+'2025 RS Rate Class E-13c'!Q29*1000</f>
        <v>78.993021280430213</v>
      </c>
      <c r="K27" s="203"/>
      <c r="L27" s="200"/>
      <c r="M27" s="205"/>
      <c r="N27" s="262"/>
      <c r="O27" s="261"/>
      <c r="P27" s="261" t="s">
        <v>1827</v>
      </c>
      <c r="R27" s="261"/>
      <c r="S27" s="261"/>
      <c r="T27" s="261"/>
      <c r="U27" s="261"/>
    </row>
    <row r="28" spans="1:21" x14ac:dyDescent="0.2">
      <c r="A28" s="262">
        <v>23</v>
      </c>
      <c r="B28" s="268"/>
      <c r="D28" s="273"/>
      <c r="E28" s="261"/>
      <c r="F28" s="261"/>
      <c r="G28" s="261"/>
      <c r="H28" s="203"/>
      <c r="I28" s="203"/>
      <c r="J28" s="203"/>
      <c r="K28" s="203"/>
      <c r="L28" s="205"/>
      <c r="M28" s="205"/>
      <c r="N28" s="262"/>
      <c r="O28" s="261"/>
      <c r="P28" s="261"/>
      <c r="Q28" s="261"/>
      <c r="R28" s="261"/>
      <c r="S28" s="261"/>
      <c r="T28" s="261"/>
      <c r="U28" s="261"/>
    </row>
    <row r="29" spans="1:21" x14ac:dyDescent="0.2">
      <c r="A29" s="262">
        <v>24</v>
      </c>
      <c r="N29" s="259"/>
      <c r="O29" s="259"/>
      <c r="P29" s="259"/>
      <c r="U29" s="261"/>
    </row>
    <row r="30" spans="1:21" x14ac:dyDescent="0.2">
      <c r="A30" s="262">
        <v>25</v>
      </c>
      <c r="B30" s="268"/>
      <c r="C30" s="267"/>
      <c r="N30" s="259"/>
      <c r="O30" s="259"/>
      <c r="P30" s="259"/>
      <c r="S30" s="261"/>
      <c r="T30" s="261"/>
      <c r="U30" s="261"/>
    </row>
    <row r="31" spans="1:21" s="259" customFormat="1" x14ac:dyDescent="0.2">
      <c r="A31" s="262">
        <v>26</v>
      </c>
      <c r="B31" s="265" t="s">
        <v>338</v>
      </c>
      <c r="C31" s="267"/>
      <c r="D31" s="269"/>
      <c r="E31" s="261"/>
      <c r="F31" s="261"/>
      <c r="G31" s="261"/>
      <c r="H31" s="203"/>
      <c r="I31" s="203"/>
      <c r="J31" s="203"/>
      <c r="K31" s="203"/>
      <c r="L31" s="200"/>
      <c r="M31" s="200"/>
      <c r="N31" s="266"/>
      <c r="O31" s="266"/>
      <c r="P31" s="266"/>
      <c r="Q31" s="261"/>
      <c r="R31" s="261"/>
      <c r="S31" s="261"/>
      <c r="T31" s="261"/>
      <c r="U31" s="261"/>
    </row>
    <row r="32" spans="1:21" s="259" customFormat="1" x14ac:dyDescent="0.2">
      <c r="A32" s="262">
        <v>27</v>
      </c>
      <c r="B32" s="260"/>
      <c r="C32" s="267"/>
      <c r="D32" s="261" t="s">
        <v>1824</v>
      </c>
      <c r="E32" s="260"/>
      <c r="F32" s="260"/>
      <c r="G32" s="260"/>
      <c r="H32" s="270"/>
      <c r="I32" s="270"/>
      <c r="J32" s="270"/>
      <c r="K32" s="270"/>
      <c r="L32" s="200"/>
      <c r="M32" s="200"/>
      <c r="N32" s="266"/>
      <c r="O32" s="266"/>
      <c r="P32" s="266"/>
      <c r="Q32" s="261"/>
      <c r="R32" s="261"/>
      <c r="S32" s="261"/>
      <c r="T32" s="261"/>
      <c r="U32" s="261"/>
    </row>
    <row r="33" spans="1:21" s="259" customFormat="1" x14ac:dyDescent="0.2">
      <c r="A33" s="262">
        <v>28</v>
      </c>
      <c r="B33" s="274"/>
      <c r="C33" s="260"/>
      <c r="D33" s="269" t="s">
        <v>328</v>
      </c>
      <c r="E33" s="260"/>
      <c r="F33" s="260"/>
      <c r="G33" s="260"/>
      <c r="H33" s="213">
        <f>+'2025 GS Rate Class E-13c'!J19</f>
        <v>0.75</v>
      </c>
      <c r="I33" s="270"/>
      <c r="J33" s="213">
        <f>+'2025 GS Rate Class E-13c'!Q19</f>
        <v>1.27</v>
      </c>
      <c r="K33" s="270"/>
      <c r="L33" s="212">
        <f>+'Unit Cost Rate Design Input'!D9</f>
        <v>1.27</v>
      </c>
      <c r="M33" s="200"/>
      <c r="N33" s="262" t="s">
        <v>1726</v>
      </c>
      <c r="O33" s="266"/>
      <c r="P33" s="261" t="s">
        <v>1800</v>
      </c>
      <c r="Q33" s="261"/>
      <c r="R33" s="261"/>
      <c r="S33" s="261"/>
      <c r="T33" s="261"/>
      <c r="U33" s="261"/>
    </row>
    <row r="34" spans="1:21" s="259" customFormat="1" x14ac:dyDescent="0.2">
      <c r="A34" s="262">
        <v>29</v>
      </c>
      <c r="B34" s="274"/>
      <c r="C34" s="260"/>
      <c r="D34" s="269" t="s">
        <v>340</v>
      </c>
      <c r="E34" s="260"/>
      <c r="F34" s="260"/>
      <c r="G34" s="260"/>
      <c r="H34" s="213">
        <f>+'2025 GS Rate Class E-13c'!J20</f>
        <v>0.63</v>
      </c>
      <c r="I34" s="270"/>
      <c r="J34" s="213">
        <f>+'2025 GS Rate Class E-13c'!Q20</f>
        <v>1.06</v>
      </c>
      <c r="K34" s="270"/>
      <c r="L34" s="212">
        <f>+'Unit Cost Rate Design Input'!D10</f>
        <v>1.06</v>
      </c>
      <c r="M34" s="200"/>
      <c r="N34" s="262" t="s">
        <v>1726</v>
      </c>
      <c r="O34" s="266"/>
      <c r="P34" s="261" t="s">
        <v>1800</v>
      </c>
      <c r="Q34" s="261"/>
      <c r="R34" s="261"/>
      <c r="S34" s="261"/>
      <c r="T34" s="261"/>
      <c r="U34" s="261"/>
    </row>
    <row r="35" spans="1:21" s="259" customFormat="1" x14ac:dyDescent="0.2">
      <c r="A35" s="262">
        <v>30</v>
      </c>
      <c r="B35" s="260"/>
      <c r="C35" s="267"/>
      <c r="D35" s="269" t="s">
        <v>341</v>
      </c>
      <c r="E35" s="260"/>
      <c r="F35" s="260"/>
      <c r="G35" s="261"/>
      <c r="H35" s="213">
        <f>+'2025 GS Rate Class E-13c'!J21</f>
        <v>0.75</v>
      </c>
      <c r="I35" s="270"/>
      <c r="J35" s="213">
        <f>+'2025 GS Rate Class E-13c'!Q21</f>
        <v>1.27</v>
      </c>
      <c r="K35" s="270"/>
      <c r="L35" s="212">
        <f>+'Unit Cost Rate Design Input'!D11</f>
        <v>1.27</v>
      </c>
      <c r="M35" s="200"/>
      <c r="N35" s="262" t="s">
        <v>1726</v>
      </c>
      <c r="O35" s="266"/>
      <c r="P35" s="261" t="s">
        <v>1800</v>
      </c>
      <c r="Q35" s="261"/>
      <c r="R35" s="261"/>
      <c r="S35" s="261"/>
      <c r="T35" s="261"/>
      <c r="U35" s="261"/>
    </row>
    <row r="36" spans="1:21" s="259" customFormat="1" x14ac:dyDescent="0.2">
      <c r="A36" s="262">
        <v>31</v>
      </c>
      <c r="B36" s="260"/>
      <c r="C36" s="267"/>
      <c r="D36" s="269"/>
      <c r="E36" s="260"/>
      <c r="F36" s="260"/>
      <c r="G36" s="261"/>
      <c r="H36" s="270"/>
      <c r="I36" s="270"/>
      <c r="J36" s="270"/>
      <c r="K36" s="270"/>
      <c r="L36" s="200"/>
      <c r="M36" s="200"/>
      <c r="N36" s="262"/>
      <c r="O36" s="266"/>
      <c r="P36" s="261"/>
      <c r="Q36" s="261"/>
      <c r="R36" s="261"/>
      <c r="S36" s="261"/>
      <c r="T36" s="261"/>
      <c r="U36" s="261"/>
    </row>
    <row r="37" spans="1:21" s="259" customFormat="1" x14ac:dyDescent="0.2">
      <c r="A37" s="262">
        <v>32</v>
      </c>
      <c r="B37" s="260"/>
      <c r="C37" s="267"/>
      <c r="D37" s="269"/>
      <c r="E37" s="260"/>
      <c r="F37" s="260"/>
      <c r="G37" s="261"/>
      <c r="H37" s="270"/>
      <c r="I37" s="270"/>
      <c r="J37" s="270"/>
      <c r="K37" s="270"/>
      <c r="L37" s="200"/>
      <c r="M37" s="200"/>
      <c r="N37" s="271"/>
      <c r="O37" s="266"/>
      <c r="P37" s="266"/>
      <c r="Q37" s="261"/>
      <c r="R37" s="261"/>
      <c r="S37" s="261"/>
      <c r="T37" s="261"/>
      <c r="U37" s="261"/>
    </row>
    <row r="38" spans="1:21" s="259" customFormat="1" ht="15" x14ac:dyDescent="0.25">
      <c r="A38" s="262">
        <v>33</v>
      </c>
      <c r="B38" s="260"/>
      <c r="C38" s="267"/>
      <c r="D38" s="261" t="s">
        <v>1729</v>
      </c>
      <c r="E38" s="260"/>
      <c r="F38" s="260"/>
      <c r="G38" s="260"/>
      <c r="H38" s="206"/>
      <c r="I38" s="206"/>
      <c r="J38" s="206"/>
      <c r="K38" s="206"/>
      <c r="L38" s="200"/>
      <c r="M38" s="200"/>
      <c r="N38" s="266"/>
      <c r="O38" s="266"/>
      <c r="P38" s="266"/>
      <c r="Q38" s="261"/>
      <c r="R38" s="261"/>
      <c r="S38" s="261"/>
      <c r="T38" s="261"/>
      <c r="U38" s="261"/>
    </row>
    <row r="39" spans="1:21" s="259" customFormat="1" x14ac:dyDescent="0.2">
      <c r="A39" s="262">
        <v>34</v>
      </c>
      <c r="B39" s="268"/>
      <c r="C39" s="267"/>
      <c r="D39" s="269" t="s">
        <v>328</v>
      </c>
      <c r="E39" s="261"/>
      <c r="F39" s="261"/>
      <c r="G39" s="261"/>
      <c r="H39" s="213">
        <f>+'2025 GS Rate Class E-13c'!J25*1000</f>
        <v>78.61999999999999</v>
      </c>
      <c r="I39" s="203"/>
      <c r="J39" s="213">
        <f>+'2025 GS Rate Class E-13c'!Q25*1000</f>
        <v>68.064590047299987</v>
      </c>
      <c r="K39" s="203"/>
      <c r="L39" s="203"/>
      <c r="M39" s="203"/>
      <c r="N39" s="262"/>
      <c r="O39" s="261"/>
      <c r="P39" s="261" t="s">
        <v>1831</v>
      </c>
      <c r="Q39" s="261"/>
      <c r="R39" s="261"/>
      <c r="S39" s="261"/>
      <c r="T39" s="261"/>
      <c r="U39" s="261"/>
    </row>
    <row r="40" spans="1:21" s="259" customFormat="1" x14ac:dyDescent="0.2">
      <c r="A40" s="262">
        <v>35</v>
      </c>
      <c r="B40" s="268"/>
      <c r="C40" s="267"/>
      <c r="D40" s="269" t="s">
        <v>340</v>
      </c>
      <c r="E40" s="261"/>
      <c r="F40" s="261"/>
      <c r="G40" s="261"/>
      <c r="H40" s="213">
        <f>+'2025 GS Rate Class E-13c'!J26*1000</f>
        <v>78.61999999999999</v>
      </c>
      <c r="I40" s="203"/>
      <c r="J40" s="213">
        <f>+'2025 GS Rate Class E-13c'!Q26*1000</f>
        <v>68.064590047299987</v>
      </c>
      <c r="K40" s="203"/>
      <c r="L40" s="200"/>
      <c r="M40" s="200"/>
      <c r="N40" s="262"/>
      <c r="O40" s="261"/>
      <c r="P40" s="261" t="s">
        <v>1831</v>
      </c>
      <c r="Q40" s="261"/>
      <c r="R40" s="261"/>
      <c r="S40" s="261"/>
      <c r="T40" s="261"/>
      <c r="U40" s="261"/>
    </row>
    <row r="41" spans="1:21" s="259" customFormat="1" x14ac:dyDescent="0.2">
      <c r="A41" s="262">
        <v>36</v>
      </c>
      <c r="B41" s="268"/>
      <c r="C41" s="267"/>
      <c r="D41" s="269" t="s">
        <v>344</v>
      </c>
      <c r="E41" s="260"/>
      <c r="F41" s="260"/>
      <c r="G41" s="260"/>
      <c r="H41" s="213">
        <f>+'2025 GS Rate Class E-13c'!J27*1000</f>
        <v>123.17</v>
      </c>
      <c r="I41" s="203"/>
      <c r="J41" s="213">
        <f>+'2025 GS Rate Class E-13c'!Q27*1000</f>
        <v>99.118734603349992</v>
      </c>
      <c r="K41" s="203"/>
      <c r="L41" s="261"/>
      <c r="M41" s="261"/>
      <c r="N41" s="262"/>
      <c r="O41" s="261"/>
      <c r="P41" s="261" t="s">
        <v>1828</v>
      </c>
      <c r="Q41" s="261"/>
      <c r="R41" s="261"/>
      <c r="S41" s="261"/>
      <c r="T41" s="261"/>
      <c r="U41" s="261"/>
    </row>
    <row r="42" spans="1:21" s="259" customFormat="1" x14ac:dyDescent="0.2">
      <c r="A42" s="262">
        <v>37</v>
      </c>
      <c r="B42" s="268"/>
      <c r="C42" s="267"/>
      <c r="D42" s="269" t="s">
        <v>345</v>
      </c>
      <c r="E42" s="260"/>
      <c r="F42" s="260"/>
      <c r="G42" s="260"/>
      <c r="H42" s="213">
        <f>+'2025 GS Rate Class E-13c'!J28*1000</f>
        <v>63.31</v>
      </c>
      <c r="I42" s="203"/>
      <c r="J42" s="213">
        <f>+'2025 GS Rate Class E-13c'!Q28*1000</f>
        <v>53.738734603349997</v>
      </c>
      <c r="K42" s="203"/>
      <c r="L42" s="200"/>
      <c r="M42" s="261"/>
      <c r="N42" s="262"/>
      <c r="O42" s="261"/>
      <c r="P42" s="261" t="s">
        <v>1829</v>
      </c>
      <c r="Q42" s="261"/>
      <c r="R42" s="261"/>
      <c r="S42" s="261"/>
      <c r="T42" s="261"/>
      <c r="U42" s="261"/>
    </row>
    <row r="43" spans="1:21" s="259" customFormat="1" x14ac:dyDescent="0.2">
      <c r="A43" s="262">
        <v>38</v>
      </c>
      <c r="B43" s="260"/>
      <c r="C43" s="260"/>
      <c r="D43" s="269" t="s">
        <v>1609</v>
      </c>
      <c r="E43" s="260"/>
      <c r="F43" s="260"/>
      <c r="G43" s="260"/>
      <c r="H43" s="213">
        <f>+'2025 GS Rate Class E-13c'!J29*1000</f>
        <v>0</v>
      </c>
      <c r="I43" s="260"/>
      <c r="J43" s="213">
        <f>+'2025 GS Rate Class E-13c'!Q29*1000</f>
        <v>49.828734603349993</v>
      </c>
      <c r="K43" s="260"/>
      <c r="L43" s="261"/>
      <c r="M43" s="260"/>
      <c r="N43" s="260"/>
      <c r="O43" s="260"/>
      <c r="P43" s="261" t="s">
        <v>1830</v>
      </c>
      <c r="Q43" s="260"/>
      <c r="R43" s="261"/>
      <c r="S43" s="261"/>
      <c r="T43" s="261"/>
      <c r="U43" s="261"/>
    </row>
    <row r="44" spans="1:21" s="259" customFormat="1" x14ac:dyDescent="0.2">
      <c r="A44" s="262">
        <v>39</v>
      </c>
      <c r="B44" s="260"/>
      <c r="C44" s="260"/>
      <c r="R44" s="261"/>
      <c r="S44" s="261"/>
      <c r="T44" s="261"/>
      <c r="U44" s="261"/>
    </row>
    <row r="45" spans="1:21" s="259" customFormat="1" x14ac:dyDescent="0.2">
      <c r="A45" s="262">
        <v>40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1"/>
    </row>
    <row r="46" spans="1:21" s="259" customFormat="1" x14ac:dyDescent="0.2">
      <c r="A46" s="262">
        <v>41</v>
      </c>
      <c r="B46" s="260"/>
      <c r="C46" s="260"/>
      <c r="D46" s="265" t="s">
        <v>1730</v>
      </c>
      <c r="E46" s="260"/>
      <c r="F46" s="260"/>
      <c r="G46" s="260"/>
      <c r="H46" s="213">
        <f>+'2025 GS Rate Class E-13c'!J34*1000</f>
        <v>1.71</v>
      </c>
      <c r="I46" s="200"/>
      <c r="J46" s="213">
        <f>+'2025 GS Rate Class E-13c'!Q34*1000</f>
        <v>2.57</v>
      </c>
      <c r="K46" s="275"/>
      <c r="L46" s="212">
        <f>+'Unit Cost Rate Design Input'!D12*1000</f>
        <v>2.57</v>
      </c>
      <c r="M46" s="261"/>
      <c r="N46" s="262" t="s">
        <v>1731</v>
      </c>
      <c r="O46" s="261"/>
      <c r="P46" s="261" t="s">
        <v>1800</v>
      </c>
      <c r="Q46" s="261"/>
      <c r="R46" s="260"/>
      <c r="S46" s="260"/>
      <c r="T46" s="260"/>
      <c r="U46" s="261"/>
    </row>
    <row r="47" spans="1:21" s="259" customFormat="1" x14ac:dyDescent="0.2">
      <c r="A47" s="262">
        <v>42</v>
      </c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Q47" s="260"/>
      <c r="R47" s="260"/>
      <c r="S47" s="260"/>
      <c r="T47" s="260"/>
      <c r="U47" s="261"/>
    </row>
    <row r="48" spans="1:21" s="259" customFormat="1" x14ac:dyDescent="0.2">
      <c r="A48" s="262">
        <v>43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Q48" s="260"/>
      <c r="R48" s="260"/>
      <c r="S48" s="260"/>
      <c r="T48" s="260"/>
      <c r="U48" s="261"/>
    </row>
    <row r="49" spans="1:21" s="259" customFormat="1" ht="13.5" thickBot="1" x14ac:dyDescent="0.25">
      <c r="A49" s="257" t="s">
        <v>1699</v>
      </c>
      <c r="B49" s="258"/>
      <c r="C49" s="257"/>
      <c r="D49" s="257"/>
      <c r="E49" s="257"/>
      <c r="F49" s="258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 t="s">
        <v>1732</v>
      </c>
    </row>
    <row r="50" spans="1:21" s="259" customFormat="1" x14ac:dyDescent="0.2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1"/>
      <c r="T50" s="261"/>
      <c r="U50" s="261"/>
    </row>
    <row r="51" spans="1:21" s="259" customFormat="1" x14ac:dyDescent="0.2">
      <c r="A51" s="260"/>
      <c r="B51" s="601" t="s">
        <v>987</v>
      </c>
      <c r="C51" s="601"/>
      <c r="D51" s="261"/>
      <c r="E51" s="261"/>
      <c r="F51" s="260"/>
      <c r="G51" s="260"/>
      <c r="H51" s="262" t="s">
        <v>1702</v>
      </c>
      <c r="I51" s="262"/>
      <c r="J51" s="262" t="s">
        <v>984</v>
      </c>
      <c r="K51" s="262"/>
      <c r="L51" s="262" t="s">
        <v>1703</v>
      </c>
      <c r="M51" s="262"/>
      <c r="N51" s="262"/>
      <c r="O51" s="261"/>
      <c r="P51" s="261"/>
      <c r="Q51" s="261"/>
      <c r="R51" s="261"/>
      <c r="S51" s="261"/>
      <c r="T51" s="261"/>
      <c r="U51" s="261"/>
    </row>
    <row r="52" spans="1:21" s="259" customFormat="1" x14ac:dyDescent="0.2">
      <c r="A52" s="263" t="s">
        <v>1704</v>
      </c>
      <c r="B52" s="600" t="s">
        <v>1705</v>
      </c>
      <c r="C52" s="600"/>
      <c r="D52" s="600" t="s">
        <v>1706</v>
      </c>
      <c r="E52" s="600"/>
      <c r="F52" s="600"/>
      <c r="G52" s="260"/>
      <c r="H52" s="264" t="s">
        <v>987</v>
      </c>
      <c r="I52" s="262"/>
      <c r="J52" s="264" t="s">
        <v>987</v>
      </c>
      <c r="K52" s="262"/>
      <c r="L52" s="264" t="s">
        <v>1707</v>
      </c>
      <c r="M52" s="262"/>
      <c r="N52" s="264" t="s">
        <v>1708</v>
      </c>
      <c r="O52" s="260"/>
      <c r="P52" s="600" t="s">
        <v>1709</v>
      </c>
      <c r="Q52" s="600"/>
      <c r="R52" s="600"/>
      <c r="S52" s="600"/>
      <c r="T52" s="600"/>
      <c r="U52" s="261"/>
    </row>
    <row r="53" spans="1:21" s="259" customFormat="1" x14ac:dyDescent="0.2">
      <c r="A53" s="262">
        <v>1</v>
      </c>
      <c r="B53" s="260"/>
      <c r="C53" s="260"/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Q53" s="261"/>
      <c r="R53" s="261"/>
      <c r="S53" s="261"/>
      <c r="T53" s="261"/>
      <c r="U53" s="261"/>
    </row>
    <row r="54" spans="1:21" s="259" customFormat="1" x14ac:dyDescent="0.2">
      <c r="A54" s="262">
        <v>2</v>
      </c>
      <c r="B54" s="261" t="s">
        <v>1733</v>
      </c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71"/>
      <c r="O54" s="266"/>
      <c r="P54" s="266"/>
      <c r="Q54" s="261"/>
      <c r="R54" s="261"/>
      <c r="S54" s="261"/>
      <c r="T54" s="261"/>
      <c r="U54" s="261"/>
    </row>
    <row r="55" spans="1:21" s="259" customFormat="1" x14ac:dyDescent="0.2">
      <c r="A55" s="262">
        <v>3</v>
      </c>
      <c r="B55" s="261"/>
      <c r="C55" s="261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1"/>
      <c r="T55" s="261"/>
      <c r="U55" s="261"/>
    </row>
    <row r="56" spans="1:21" s="259" customFormat="1" x14ac:dyDescent="0.2">
      <c r="A56" s="262">
        <v>4</v>
      </c>
      <c r="B56" s="265"/>
      <c r="C56" s="262"/>
      <c r="D56" s="261" t="s">
        <v>1823</v>
      </c>
      <c r="E56" s="261"/>
      <c r="F56" s="261"/>
      <c r="G56" s="261"/>
      <c r="H56" s="261"/>
      <c r="I56" s="261"/>
      <c r="J56" s="261"/>
      <c r="K56" s="261"/>
      <c r="L56" s="261"/>
      <c r="M56" s="261"/>
      <c r="N56" s="271"/>
      <c r="O56" s="266"/>
      <c r="P56" s="266"/>
      <c r="Q56" s="261"/>
      <c r="R56" s="261"/>
      <c r="S56" s="261"/>
      <c r="T56" s="261"/>
      <c r="U56" s="261"/>
    </row>
    <row r="57" spans="1:21" s="259" customFormat="1" x14ac:dyDescent="0.2">
      <c r="A57" s="262">
        <v>5</v>
      </c>
      <c r="B57" s="265"/>
      <c r="C57" s="261"/>
      <c r="D57" s="269" t="s">
        <v>1734</v>
      </c>
      <c r="E57" s="261"/>
      <c r="F57" s="261"/>
      <c r="G57" s="261"/>
      <c r="H57" s="260"/>
      <c r="I57" s="260"/>
      <c r="J57" s="260"/>
      <c r="K57" s="260"/>
      <c r="L57" s="261"/>
      <c r="M57" s="261"/>
      <c r="N57" s="271"/>
      <c r="O57" s="266"/>
      <c r="P57" s="266"/>
      <c r="Q57" s="261"/>
      <c r="R57" s="261"/>
      <c r="S57" s="261"/>
      <c r="T57" s="261"/>
      <c r="U57" s="261"/>
    </row>
    <row r="58" spans="1:21" s="259" customFormat="1" x14ac:dyDescent="0.2">
      <c r="A58" s="262">
        <v>6</v>
      </c>
      <c r="B58" s="265"/>
      <c r="C58" s="262"/>
      <c r="D58" s="273" t="s">
        <v>1735</v>
      </c>
      <c r="E58" s="261"/>
      <c r="F58" s="261"/>
      <c r="G58" s="261"/>
      <c r="H58" s="213">
        <f>+'2025 GSD Rate Class E-13c'!K18</f>
        <v>1.08</v>
      </c>
      <c r="I58" s="270"/>
      <c r="J58" s="213">
        <f>+'2025 GSD Rate Class E-13c'!R18</f>
        <v>1.72</v>
      </c>
      <c r="K58" s="270"/>
      <c r="L58" s="212">
        <f>+'Unit Cost Rate Design Input'!D19</f>
        <v>1.72</v>
      </c>
      <c r="M58" s="200"/>
      <c r="N58" s="262" t="s">
        <v>1736</v>
      </c>
      <c r="O58" s="266"/>
      <c r="P58" s="261" t="s">
        <v>1800</v>
      </c>
      <c r="Q58" s="261"/>
      <c r="R58" s="261"/>
      <c r="S58" s="261"/>
      <c r="T58" s="261"/>
      <c r="U58" s="261"/>
    </row>
    <row r="59" spans="1:21" s="259" customFormat="1" x14ac:dyDescent="0.2">
      <c r="A59" s="262">
        <v>7</v>
      </c>
      <c r="B59" s="265"/>
      <c r="C59" s="262"/>
      <c r="D59" s="273" t="s">
        <v>1737</v>
      </c>
      <c r="E59" s="261"/>
      <c r="F59" s="261"/>
      <c r="G59" s="261"/>
      <c r="H59" s="213">
        <f>+'2025 GSD Rate Class E-13c'!K19</f>
        <v>5.98</v>
      </c>
      <c r="I59" s="270"/>
      <c r="J59" s="213">
        <f>+'2025 GSD Rate Class E-13c'!R19</f>
        <v>9.36</v>
      </c>
      <c r="K59" s="270"/>
      <c r="L59" s="276">
        <f>+'Unit Cost Rate Design Input'!D20</f>
        <v>9.36</v>
      </c>
      <c r="M59" s="270"/>
      <c r="N59" s="262" t="s">
        <v>1736</v>
      </c>
      <c r="O59" s="266"/>
      <c r="P59" s="261" t="s">
        <v>1800</v>
      </c>
      <c r="Q59" s="261"/>
      <c r="R59" s="261"/>
      <c r="S59" s="261"/>
      <c r="T59" s="261"/>
      <c r="U59" s="261"/>
    </row>
    <row r="60" spans="1:21" s="259" customFormat="1" x14ac:dyDescent="0.2">
      <c r="A60" s="262">
        <v>8</v>
      </c>
      <c r="B60" s="265"/>
      <c r="C60" s="262"/>
      <c r="D60" s="273" t="s">
        <v>1738</v>
      </c>
      <c r="E60" s="261"/>
      <c r="F60" s="261"/>
      <c r="G60" s="261"/>
      <c r="H60" s="213">
        <f>+'2025 GSD Rate Class E-13c'!K20</f>
        <v>17.48</v>
      </c>
      <c r="I60" s="270"/>
      <c r="J60" s="213">
        <f>+'2025 GSD Rate Class E-13c'!R20</f>
        <v>25.76</v>
      </c>
      <c r="K60" s="270"/>
      <c r="L60" s="276">
        <f>+'Unit Cost Rate Design Input'!D21</f>
        <v>25.76</v>
      </c>
      <c r="M60" s="270"/>
      <c r="N60" s="262" t="s">
        <v>1736</v>
      </c>
      <c r="O60" s="266"/>
      <c r="P60" s="261" t="s">
        <v>1800</v>
      </c>
      <c r="Q60" s="261"/>
      <c r="R60" s="261"/>
      <c r="S60" s="261"/>
      <c r="T60" s="261"/>
      <c r="U60" s="261"/>
    </row>
    <row r="61" spans="1:21" s="259" customFormat="1" x14ac:dyDescent="0.2">
      <c r="A61" s="262">
        <v>9</v>
      </c>
      <c r="B61" s="265"/>
      <c r="C61" s="262"/>
      <c r="D61" s="269" t="s">
        <v>341</v>
      </c>
      <c r="E61" s="261"/>
      <c r="F61" s="261"/>
      <c r="G61" s="261"/>
      <c r="H61" s="270"/>
      <c r="I61" s="270"/>
      <c r="J61" s="270"/>
      <c r="K61" s="270"/>
      <c r="L61" s="261"/>
      <c r="M61" s="261"/>
      <c r="N61" s="262"/>
      <c r="O61" s="266"/>
      <c r="P61" s="266"/>
      <c r="Q61" s="261"/>
      <c r="R61" s="261"/>
      <c r="S61" s="261"/>
      <c r="T61" s="261"/>
      <c r="U61" s="261"/>
    </row>
    <row r="62" spans="1:21" s="259" customFormat="1" x14ac:dyDescent="0.2">
      <c r="A62" s="262">
        <v>10</v>
      </c>
      <c r="B62" s="260"/>
      <c r="C62" s="261"/>
      <c r="D62" s="273" t="s">
        <v>1735</v>
      </c>
      <c r="E62" s="261"/>
      <c r="F62" s="261"/>
      <c r="G62" s="261"/>
      <c r="H62" s="213">
        <f>+'2025 GSD Rate Class E-13c'!K21</f>
        <v>1.08</v>
      </c>
      <c r="I62" s="270"/>
      <c r="J62" s="213">
        <f>+'2025 GSD Rate Class E-13c'!R21</f>
        <v>1.72</v>
      </c>
      <c r="K62" s="270"/>
      <c r="L62" s="212">
        <f>+'Unit Cost Rate Design Input'!D22</f>
        <v>1.72</v>
      </c>
      <c r="M62" s="200"/>
      <c r="N62" s="262" t="s">
        <v>1736</v>
      </c>
      <c r="O62" s="266"/>
      <c r="P62" s="261" t="s">
        <v>1800</v>
      </c>
      <c r="Q62" s="261"/>
      <c r="R62" s="261"/>
      <c r="S62" s="261"/>
      <c r="T62" s="261"/>
      <c r="U62" s="261"/>
    </row>
    <row r="63" spans="1:21" s="259" customFormat="1" x14ac:dyDescent="0.2">
      <c r="A63" s="262">
        <v>11</v>
      </c>
      <c r="B63" s="265"/>
      <c r="C63" s="267"/>
      <c r="D63" s="273" t="s">
        <v>1737</v>
      </c>
      <c r="E63" s="261"/>
      <c r="F63" s="261"/>
      <c r="G63" s="261"/>
      <c r="H63" s="213">
        <f>+'2025 GSD Rate Class E-13c'!K22</f>
        <v>5.98</v>
      </c>
      <c r="I63" s="270"/>
      <c r="J63" s="213">
        <f>+'2025 GSD Rate Class E-13c'!R22</f>
        <v>9.36</v>
      </c>
      <c r="K63" s="270"/>
      <c r="L63" s="212">
        <f>+'Unit Cost Rate Design Input'!D23</f>
        <v>9.36</v>
      </c>
      <c r="M63" s="270"/>
      <c r="N63" s="262" t="s">
        <v>1736</v>
      </c>
      <c r="O63" s="266"/>
      <c r="P63" s="261" t="s">
        <v>1800</v>
      </c>
      <c r="Q63" s="261"/>
      <c r="R63" s="261"/>
      <c r="S63" s="261"/>
      <c r="T63" s="261"/>
      <c r="U63" s="261"/>
    </row>
    <row r="64" spans="1:21" s="259" customFormat="1" x14ac:dyDescent="0.2">
      <c r="A64" s="262">
        <v>12</v>
      </c>
      <c r="B64" s="265"/>
      <c r="C64" s="262"/>
      <c r="D64" s="273" t="s">
        <v>1738</v>
      </c>
      <c r="E64" s="261"/>
      <c r="F64" s="261"/>
      <c r="G64" s="261"/>
      <c r="H64" s="213">
        <f>+'2025 GSD Rate Class E-13c'!K23</f>
        <v>17.48</v>
      </c>
      <c r="I64" s="270"/>
      <c r="J64" s="213">
        <f>+'2025 GSD Rate Class E-13c'!R23</f>
        <v>25.76</v>
      </c>
      <c r="K64" s="270"/>
      <c r="L64" s="212">
        <f>+'Unit Cost Rate Design Input'!D24</f>
        <v>25.76</v>
      </c>
      <c r="M64" s="270"/>
      <c r="N64" s="262" t="s">
        <v>1736</v>
      </c>
      <c r="O64" s="266"/>
      <c r="P64" s="261" t="s">
        <v>1800</v>
      </c>
      <c r="Q64" s="261"/>
      <c r="R64" s="261"/>
      <c r="S64" s="261"/>
      <c r="T64" s="261"/>
      <c r="U64" s="261"/>
    </row>
    <row r="65" spans="1:21" s="259" customFormat="1" x14ac:dyDescent="0.2">
      <c r="A65" s="262">
        <v>13</v>
      </c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71"/>
      <c r="O65" s="266"/>
      <c r="P65" s="266"/>
      <c r="Q65" s="261"/>
      <c r="R65" s="261"/>
      <c r="S65" s="261"/>
      <c r="T65" s="261"/>
      <c r="U65" s="261"/>
    </row>
    <row r="66" spans="1:21" s="259" customFormat="1" x14ac:dyDescent="0.2">
      <c r="A66" s="262">
        <v>14</v>
      </c>
      <c r="B66" s="277"/>
      <c r="C66" s="277"/>
      <c r="D66" s="277" t="s">
        <v>1739</v>
      </c>
      <c r="E66" s="277"/>
      <c r="F66" s="277"/>
      <c r="G66" s="277"/>
      <c r="H66" s="277"/>
      <c r="I66" s="277"/>
      <c r="J66" s="277"/>
      <c r="K66" s="277"/>
      <c r="L66" s="277"/>
      <c r="M66" s="277"/>
      <c r="N66" s="278"/>
      <c r="O66" s="278"/>
      <c r="P66" s="278"/>
      <c r="Q66" s="277"/>
      <c r="R66" s="277"/>
      <c r="S66" s="277"/>
      <c r="T66" s="277"/>
      <c r="U66" s="277"/>
    </row>
    <row r="67" spans="1:21" s="259" customFormat="1" x14ac:dyDescent="0.2">
      <c r="A67" s="262">
        <v>15</v>
      </c>
      <c r="B67" s="277"/>
      <c r="C67" s="277"/>
      <c r="D67" s="269" t="s">
        <v>328</v>
      </c>
      <c r="E67" s="277"/>
      <c r="F67" s="277"/>
      <c r="G67" s="277"/>
      <c r="H67" s="277"/>
      <c r="I67" s="277"/>
      <c r="J67" s="277"/>
      <c r="K67" s="277"/>
      <c r="L67" s="277"/>
      <c r="M67" s="277"/>
      <c r="N67" s="278"/>
      <c r="O67" s="278"/>
      <c r="P67" s="278"/>
      <c r="Q67" s="277"/>
      <c r="R67" s="277"/>
      <c r="S67" s="277"/>
      <c r="T67" s="277"/>
      <c r="U67" s="277"/>
    </row>
    <row r="68" spans="1:21" s="259" customFormat="1" x14ac:dyDescent="0.2">
      <c r="A68" s="262">
        <v>16</v>
      </c>
      <c r="B68" s="277"/>
      <c r="C68" s="277"/>
      <c r="D68" s="273" t="s">
        <v>1735</v>
      </c>
      <c r="E68" s="277"/>
      <c r="F68" s="277"/>
      <c r="G68" s="277"/>
      <c r="H68" s="213">
        <f>+'2025 GSD Rate Class E-13c'!K43</f>
        <v>14.2</v>
      </c>
      <c r="I68" s="279"/>
      <c r="J68" s="213">
        <f>+'2025 GSD Rate Class E-13c'!R43</f>
        <v>19.61970957579716</v>
      </c>
      <c r="K68" s="279"/>
      <c r="L68" s="280">
        <f>+'Unit Cost Rate Design Input'!D25</f>
        <v>19.98</v>
      </c>
      <c r="M68" s="277"/>
      <c r="N68" s="281" t="s">
        <v>1740</v>
      </c>
      <c r="O68" s="278"/>
      <c r="P68" s="277" t="s">
        <v>1715</v>
      </c>
      <c r="Q68" s="277"/>
      <c r="R68" s="277"/>
      <c r="S68" s="277"/>
      <c r="T68" s="277"/>
      <c r="U68" s="277"/>
    </row>
    <row r="69" spans="1:21" s="259" customFormat="1" x14ac:dyDescent="0.2">
      <c r="A69" s="262">
        <v>17</v>
      </c>
      <c r="B69" s="277"/>
      <c r="C69" s="277"/>
      <c r="D69" s="273" t="s">
        <v>1737</v>
      </c>
      <c r="E69" s="277"/>
      <c r="F69" s="277"/>
      <c r="G69" s="277"/>
      <c r="H69" s="213">
        <f>+'2025 GSD Rate Class E-13c'!K44</f>
        <v>14.2</v>
      </c>
      <c r="I69" s="279"/>
      <c r="J69" s="213">
        <f>+'2025 GSD Rate Class E-13c'!R44</f>
        <v>19.61970957579716</v>
      </c>
      <c r="K69" s="279"/>
      <c r="L69" s="280">
        <f>+'Unit Cost Rate Design Input'!D26</f>
        <v>19.98</v>
      </c>
      <c r="M69" s="277"/>
      <c r="N69" s="281" t="s">
        <v>1740</v>
      </c>
      <c r="O69" s="278"/>
      <c r="P69" s="277" t="s">
        <v>1715</v>
      </c>
      <c r="Q69" s="277"/>
      <c r="R69" s="277"/>
      <c r="S69" s="277"/>
      <c r="T69" s="277"/>
      <c r="U69" s="277"/>
    </row>
    <row r="70" spans="1:21" s="259" customFormat="1" x14ac:dyDescent="0.2">
      <c r="A70" s="262">
        <v>18</v>
      </c>
      <c r="B70" s="277"/>
      <c r="C70" s="277"/>
      <c r="D70" s="273" t="s">
        <v>1738</v>
      </c>
      <c r="E70" s="277"/>
      <c r="F70" s="277"/>
      <c r="G70" s="277"/>
      <c r="H70" s="213">
        <f>+'2025 GSD Rate Class E-13c'!K45</f>
        <v>14.2</v>
      </c>
      <c r="I70" s="279"/>
      <c r="J70" s="213">
        <f>+'2025 GSD Rate Class E-13c'!R45</f>
        <v>19.61970957579716</v>
      </c>
      <c r="K70" s="279"/>
      <c r="L70" s="280">
        <f>+'Unit Cost Rate Design Input'!D27</f>
        <v>19.98</v>
      </c>
      <c r="M70" s="277"/>
      <c r="N70" s="281" t="s">
        <v>1740</v>
      </c>
      <c r="O70" s="278"/>
      <c r="P70" s="277" t="s">
        <v>1715</v>
      </c>
      <c r="Q70" s="277"/>
      <c r="R70" s="277"/>
      <c r="S70" s="277"/>
      <c r="T70" s="277"/>
      <c r="U70" s="277"/>
    </row>
    <row r="71" spans="1:21" s="259" customFormat="1" x14ac:dyDescent="0.2">
      <c r="A71" s="262">
        <v>19</v>
      </c>
      <c r="B71" s="277"/>
      <c r="C71" s="277"/>
      <c r="D71" s="282" t="s">
        <v>341</v>
      </c>
      <c r="E71" s="277"/>
      <c r="F71" s="277"/>
      <c r="G71" s="277"/>
      <c r="H71" s="283"/>
      <c r="I71" s="283"/>
      <c r="J71" s="283"/>
      <c r="K71" s="283"/>
      <c r="L71" s="277"/>
      <c r="M71" s="277"/>
      <c r="N71" s="278"/>
      <c r="O71" s="278"/>
      <c r="P71" s="278"/>
      <c r="Q71" s="277"/>
      <c r="R71" s="277"/>
      <c r="S71" s="277"/>
      <c r="T71" s="277"/>
      <c r="U71" s="277"/>
    </row>
    <row r="72" spans="1:21" s="259" customFormat="1" x14ac:dyDescent="0.2">
      <c r="A72" s="262">
        <v>20</v>
      </c>
      <c r="B72" s="283"/>
      <c r="C72" s="283"/>
      <c r="D72" s="284" t="s">
        <v>1169</v>
      </c>
      <c r="E72" s="277"/>
      <c r="F72" s="277"/>
      <c r="G72" s="277"/>
      <c r="H72" s="213">
        <f>+'2025 GSD Rate Class E-13c'!K46</f>
        <v>4.55</v>
      </c>
      <c r="I72" s="200"/>
      <c r="J72" s="213">
        <f>+'2025 GSD Rate Class E-13c'!R46</f>
        <v>5.0398852462260963</v>
      </c>
      <c r="K72" s="279"/>
      <c r="L72" s="212">
        <f>+'Unit Cost Rate Design Input'!D28</f>
        <v>5.14</v>
      </c>
      <c r="M72" s="277"/>
      <c r="N72" s="281" t="s">
        <v>1740</v>
      </c>
      <c r="O72" s="278"/>
      <c r="P72" s="277" t="s">
        <v>1741</v>
      </c>
      <c r="Q72" s="277"/>
      <c r="R72" s="277"/>
      <c r="S72" s="277"/>
      <c r="T72" s="277"/>
      <c r="U72" s="277"/>
    </row>
    <row r="73" spans="1:21" s="259" customFormat="1" x14ac:dyDescent="0.2">
      <c r="A73" s="262">
        <v>21</v>
      </c>
      <c r="B73" s="283"/>
      <c r="C73" s="283"/>
      <c r="D73" s="284" t="s">
        <v>1742</v>
      </c>
      <c r="E73" s="283"/>
      <c r="F73" s="283"/>
      <c r="G73" s="283"/>
      <c r="H73" s="213">
        <f>+'2025 GSD Rate Class E-13c'!K49</f>
        <v>9.2799999999999994</v>
      </c>
      <c r="I73" s="200"/>
      <c r="J73" s="213">
        <f>+'2025 GSD Rate Class E-13c'!R49</f>
        <v>14.579824329571064</v>
      </c>
      <c r="K73" s="200"/>
      <c r="L73" s="280">
        <f>+'Unit Cost Rate Design Input'!D31</f>
        <v>14.84</v>
      </c>
      <c r="M73" s="260"/>
      <c r="N73" s="281" t="s">
        <v>1740</v>
      </c>
      <c r="O73" s="278"/>
      <c r="P73" s="277" t="s">
        <v>1743</v>
      </c>
      <c r="Q73" s="277"/>
      <c r="R73" s="277"/>
      <c r="S73" s="277"/>
      <c r="T73" s="277"/>
      <c r="U73" s="277"/>
    </row>
    <row r="74" spans="1:21" s="259" customFormat="1" x14ac:dyDescent="0.2">
      <c r="A74" s="262">
        <v>22</v>
      </c>
      <c r="B74" s="283"/>
      <c r="C74" s="283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85"/>
      <c r="O74" s="278"/>
      <c r="P74" s="278"/>
      <c r="Q74" s="277"/>
      <c r="R74" s="277"/>
      <c r="S74" s="277"/>
      <c r="T74" s="277"/>
      <c r="U74" s="277"/>
    </row>
    <row r="75" spans="1:21" s="259" customFormat="1" x14ac:dyDescent="0.2">
      <c r="A75" s="262">
        <v>23</v>
      </c>
      <c r="B75" s="283"/>
      <c r="C75" s="283"/>
      <c r="D75" s="277" t="s">
        <v>1744</v>
      </c>
      <c r="E75" s="277"/>
      <c r="F75" s="277"/>
      <c r="G75" s="277"/>
      <c r="H75" s="205"/>
      <c r="I75" s="205"/>
      <c r="J75" s="205"/>
      <c r="K75" s="205"/>
      <c r="L75" s="205"/>
      <c r="M75" s="205"/>
      <c r="N75" s="285"/>
      <c r="O75" s="278"/>
      <c r="P75" s="278"/>
      <c r="Q75" s="277"/>
      <c r="R75" s="277"/>
      <c r="S75" s="277"/>
      <c r="T75" s="277"/>
      <c r="U75" s="277"/>
    </row>
    <row r="76" spans="1:21" s="259" customFormat="1" x14ac:dyDescent="0.2">
      <c r="A76" s="262">
        <v>24</v>
      </c>
      <c r="B76" s="283"/>
      <c r="C76" s="283"/>
      <c r="D76" s="282" t="s">
        <v>328</v>
      </c>
      <c r="E76" s="277"/>
      <c r="F76" s="277"/>
      <c r="G76" s="277"/>
      <c r="H76" s="213">
        <f>+'2025 GSD Rate Class E-13c'!K27*1000</f>
        <v>7.36</v>
      </c>
      <c r="I76" s="200"/>
      <c r="J76" s="213">
        <f>+'2025 GSD Rate Class E-13c'!R27*1000</f>
        <v>7.7280000000000006</v>
      </c>
      <c r="K76" s="203"/>
      <c r="L76" s="204"/>
      <c r="M76" s="204"/>
      <c r="N76" s="281"/>
      <c r="O76" s="277"/>
      <c r="P76" s="277" t="s">
        <v>1745</v>
      </c>
      <c r="Q76" s="277"/>
      <c r="R76" s="277"/>
      <c r="S76" s="277"/>
      <c r="T76" s="277"/>
      <c r="U76" s="277"/>
    </row>
    <row r="77" spans="1:21" s="259" customFormat="1" x14ac:dyDescent="0.2">
      <c r="A77" s="262">
        <v>25</v>
      </c>
      <c r="B77" s="283"/>
      <c r="C77" s="283"/>
      <c r="D77" s="282" t="s">
        <v>1746</v>
      </c>
      <c r="E77" s="277"/>
      <c r="F77" s="277"/>
      <c r="G77" s="277"/>
      <c r="H77" s="213">
        <f>+'2025 GSD Rate Class E-13c'!K132*1000</f>
        <v>71.150000000000006</v>
      </c>
      <c r="I77" s="200"/>
      <c r="J77" s="213">
        <f>+'2025 GSD Rate Class E-13c'!R132*1000</f>
        <v>84.02687057254451</v>
      </c>
      <c r="K77" s="203"/>
      <c r="L77" s="204"/>
      <c r="M77" s="204"/>
      <c r="N77" s="281"/>
      <c r="O77" s="277"/>
      <c r="P77" s="277" t="s">
        <v>1832</v>
      </c>
      <c r="Q77" s="277"/>
      <c r="R77" s="277"/>
      <c r="S77" s="277"/>
      <c r="T77" s="277"/>
      <c r="U77" s="277"/>
    </row>
    <row r="78" spans="1:21" s="259" customFormat="1" x14ac:dyDescent="0.2">
      <c r="A78" s="262">
        <v>26</v>
      </c>
      <c r="B78" s="283"/>
      <c r="C78" s="283"/>
      <c r="D78" s="282" t="s">
        <v>341</v>
      </c>
      <c r="E78" s="277"/>
      <c r="F78" s="277"/>
      <c r="G78" s="277"/>
      <c r="H78" s="200"/>
      <c r="I78" s="200"/>
      <c r="J78" s="200"/>
      <c r="K78" s="204"/>
      <c r="L78" s="205"/>
      <c r="M78" s="205"/>
      <c r="N78" s="285"/>
      <c r="O78" s="278"/>
      <c r="P78" s="278"/>
      <c r="Q78" s="277"/>
      <c r="R78" s="277"/>
      <c r="S78" s="277"/>
      <c r="T78" s="277"/>
      <c r="U78" s="277"/>
    </row>
    <row r="79" spans="1:21" s="259" customFormat="1" x14ac:dyDescent="0.2">
      <c r="A79" s="262">
        <v>27</v>
      </c>
      <c r="B79" s="283"/>
      <c r="C79" s="283"/>
      <c r="D79" s="284" t="s">
        <v>1747</v>
      </c>
      <c r="E79" s="277"/>
      <c r="F79" s="277"/>
      <c r="G79" s="277"/>
      <c r="H79" s="213">
        <f>+'2025 GSD Rate Class E-13c'!K30*1000</f>
        <v>11.93</v>
      </c>
      <c r="I79" s="200"/>
      <c r="J79" s="213">
        <f>+'2025 GSD Rate Class E-13c'!R30*1000</f>
        <v>12.432</v>
      </c>
      <c r="K79" s="203"/>
      <c r="L79" s="204"/>
      <c r="M79" s="204"/>
      <c r="N79" s="285"/>
      <c r="O79" s="278"/>
      <c r="P79" s="261" t="s">
        <v>1828</v>
      </c>
      <c r="Q79" s="277"/>
      <c r="R79" s="277"/>
      <c r="S79" s="277"/>
      <c r="T79" s="277"/>
      <c r="U79" s="277"/>
    </row>
    <row r="80" spans="1:21" s="259" customFormat="1" x14ac:dyDescent="0.2">
      <c r="A80" s="262">
        <v>28</v>
      </c>
      <c r="B80" s="283"/>
      <c r="C80" s="283"/>
      <c r="D80" s="284" t="s">
        <v>1748</v>
      </c>
      <c r="E80" s="277"/>
      <c r="F80" s="277"/>
      <c r="G80" s="277"/>
      <c r="H80" s="213">
        <f>+'2025 GSD Rate Class E-13c'!K33*1000</f>
        <v>5.71</v>
      </c>
      <c r="I80" s="200"/>
      <c r="J80" s="213">
        <f>+'2025 GSD Rate Class E-13c'!R33*1000</f>
        <v>8.1720000000000006</v>
      </c>
      <c r="K80" s="204"/>
      <c r="L80" s="204"/>
      <c r="M80" s="204"/>
      <c r="N80" s="281"/>
      <c r="O80" s="278"/>
      <c r="P80" s="261" t="s">
        <v>1828</v>
      </c>
      <c r="Q80" s="277"/>
      <c r="R80" s="277"/>
      <c r="S80" s="277"/>
      <c r="T80" s="277"/>
      <c r="U80" s="277"/>
    </row>
    <row r="81" spans="1:21" s="259" customFormat="1" x14ac:dyDescent="0.2">
      <c r="A81" s="262">
        <v>29</v>
      </c>
      <c r="B81" s="283"/>
      <c r="C81" s="283"/>
      <c r="D81" s="284" t="s">
        <v>1825</v>
      </c>
      <c r="E81" s="277"/>
      <c r="F81" s="277"/>
      <c r="G81" s="277"/>
      <c r="H81" s="213">
        <f>+'2025 GSD Rate Class E-13c'!K36*1000</f>
        <v>0</v>
      </c>
      <c r="I81" s="200"/>
      <c r="J81" s="213">
        <f>+'2025 GSD Rate Class E-13c'!R36*1000</f>
        <v>4.612000000000001</v>
      </c>
      <c r="K81" s="204"/>
      <c r="L81" s="204"/>
      <c r="M81" s="204"/>
      <c r="N81" s="285"/>
      <c r="O81" s="278"/>
      <c r="P81" s="261" t="s">
        <v>1828</v>
      </c>
      <c r="Q81" s="277"/>
      <c r="R81" s="277"/>
      <c r="S81" s="277"/>
      <c r="T81" s="277"/>
      <c r="U81" s="277"/>
    </row>
    <row r="82" spans="1:21" s="259" customFormat="1" x14ac:dyDescent="0.2">
      <c r="A82" s="262">
        <v>30</v>
      </c>
      <c r="B82" s="283"/>
      <c r="C82" s="283"/>
      <c r="D82" s="277" t="s">
        <v>1749</v>
      </c>
      <c r="E82" s="277"/>
      <c r="F82" s="277"/>
      <c r="G82" s="277"/>
      <c r="H82" s="277"/>
      <c r="I82" s="277"/>
      <c r="J82" s="277"/>
      <c r="K82" s="277"/>
      <c r="L82" s="277"/>
      <c r="M82" s="277"/>
      <c r="N82" s="285"/>
      <c r="O82" s="278"/>
      <c r="P82" s="278"/>
      <c r="Q82" s="277"/>
      <c r="R82" s="277"/>
      <c r="S82" s="277"/>
      <c r="T82" s="277"/>
      <c r="U82" s="277"/>
    </row>
    <row r="83" spans="1:21" s="259" customFormat="1" x14ac:dyDescent="0.2">
      <c r="A83" s="262">
        <v>31</v>
      </c>
      <c r="B83" s="283"/>
      <c r="C83" s="283"/>
      <c r="D83" s="284" t="s">
        <v>1737</v>
      </c>
      <c r="E83" s="283"/>
      <c r="F83" s="283"/>
      <c r="G83" s="283"/>
      <c r="H83" s="286">
        <v>-0.01</v>
      </c>
      <c r="I83" s="286"/>
      <c r="J83" s="286">
        <v>-0.01</v>
      </c>
      <c r="K83" s="286"/>
      <c r="L83" s="287" t="s">
        <v>1750</v>
      </c>
      <c r="M83" s="281"/>
      <c r="N83" s="285"/>
      <c r="O83" s="278"/>
      <c r="P83" s="277" t="s">
        <v>1751</v>
      </c>
      <c r="Q83" s="277"/>
      <c r="R83" s="277"/>
      <c r="S83" s="277"/>
      <c r="T83" s="277"/>
      <c r="U83" s="277"/>
    </row>
    <row r="84" spans="1:21" s="259" customFormat="1" x14ac:dyDescent="0.2">
      <c r="A84" s="262">
        <v>32</v>
      </c>
      <c r="B84" s="277"/>
      <c r="C84" s="277"/>
      <c r="D84" s="284" t="s">
        <v>1738</v>
      </c>
      <c r="E84" s="283"/>
      <c r="F84" s="283"/>
      <c r="G84" s="283"/>
      <c r="H84" s="286">
        <v>-0.02</v>
      </c>
      <c r="I84" s="286"/>
      <c r="J84" s="286">
        <v>-0.02</v>
      </c>
      <c r="K84" s="286"/>
      <c r="L84" s="287" t="s">
        <v>1750</v>
      </c>
      <c r="M84" s="281"/>
      <c r="N84" s="285"/>
      <c r="O84" s="278"/>
      <c r="P84" s="277" t="s">
        <v>1751</v>
      </c>
      <c r="Q84" s="277"/>
      <c r="R84" s="277"/>
      <c r="S84" s="277"/>
      <c r="T84" s="277"/>
      <c r="U84" s="277"/>
    </row>
    <row r="85" spans="1:21" s="259" customFormat="1" x14ac:dyDescent="0.2">
      <c r="A85" s="262">
        <v>33</v>
      </c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87"/>
      <c r="M85" s="277"/>
      <c r="N85" s="285"/>
      <c r="O85" s="278"/>
      <c r="P85" s="278"/>
      <c r="Q85" s="277"/>
      <c r="R85" s="277"/>
      <c r="S85" s="277"/>
      <c r="T85" s="277"/>
      <c r="U85" s="277"/>
    </row>
    <row r="86" spans="1:21" s="259" customFormat="1" x14ac:dyDescent="0.2">
      <c r="A86" s="262">
        <v>34</v>
      </c>
      <c r="B86" s="288"/>
      <c r="C86" s="281"/>
      <c r="D86" s="277" t="s">
        <v>1752</v>
      </c>
      <c r="E86" s="277"/>
      <c r="F86" s="277"/>
      <c r="G86" s="277"/>
      <c r="H86" s="277"/>
      <c r="I86" s="277"/>
      <c r="J86" s="277"/>
      <c r="K86" s="277"/>
      <c r="L86" s="287"/>
      <c r="M86" s="277"/>
      <c r="N86" s="285"/>
      <c r="O86" s="278"/>
      <c r="P86" s="278"/>
      <c r="Q86" s="283"/>
      <c r="R86" s="277"/>
      <c r="S86" s="277"/>
      <c r="T86" s="277"/>
      <c r="U86" s="277"/>
    </row>
    <row r="87" spans="1:21" s="259" customFormat="1" x14ac:dyDescent="0.2">
      <c r="A87" s="262">
        <v>35</v>
      </c>
      <c r="B87" s="288"/>
      <c r="C87" s="281"/>
      <c r="D87" s="282" t="s">
        <v>1753</v>
      </c>
      <c r="E87" s="277"/>
      <c r="F87" s="277"/>
      <c r="G87" s="277"/>
      <c r="H87" s="283"/>
      <c r="I87" s="283"/>
      <c r="J87" s="283"/>
      <c r="K87" s="283"/>
      <c r="L87" s="289"/>
      <c r="M87" s="283"/>
      <c r="N87" s="290"/>
      <c r="O87" s="290"/>
      <c r="P87" s="290"/>
      <c r="Q87" s="277"/>
      <c r="R87" s="277"/>
      <c r="S87" s="277"/>
      <c r="T87" s="277"/>
      <c r="U87" s="277"/>
    </row>
    <row r="88" spans="1:21" s="259" customFormat="1" x14ac:dyDescent="0.2">
      <c r="A88" s="262">
        <v>36</v>
      </c>
      <c r="B88" s="288"/>
      <c r="C88" s="281"/>
      <c r="D88" s="284" t="s">
        <v>1737</v>
      </c>
      <c r="E88" s="277"/>
      <c r="F88" s="277"/>
      <c r="G88" s="277"/>
      <c r="H88" s="213">
        <f>+'2025 GSD Rate Class E-13c'!K74</f>
        <v>-0.49</v>
      </c>
      <c r="I88" s="200"/>
      <c r="J88" s="213">
        <f>+'2025 GSD Rate Class E-13c'!R74</f>
        <v>-0.54</v>
      </c>
      <c r="K88" s="200"/>
      <c r="L88" s="214">
        <f>+'Unit Cost Rate Design Input'!D34</f>
        <v>-0.54</v>
      </c>
      <c r="M88" s="200"/>
      <c r="N88" s="281" t="s">
        <v>1754</v>
      </c>
      <c r="O88" s="277"/>
      <c r="P88" s="277" t="s">
        <v>1755</v>
      </c>
      <c r="Q88" s="277"/>
      <c r="R88" s="277"/>
      <c r="S88" s="277"/>
      <c r="T88" s="277"/>
      <c r="U88" s="277"/>
    </row>
    <row r="89" spans="1:21" s="259" customFormat="1" x14ac:dyDescent="0.2">
      <c r="A89" s="262">
        <v>37</v>
      </c>
      <c r="B89" s="288"/>
      <c r="C89" s="281"/>
      <c r="D89" s="284" t="s">
        <v>1738</v>
      </c>
      <c r="E89" s="277"/>
      <c r="F89" s="277"/>
      <c r="G89" s="277"/>
      <c r="H89" s="213">
        <f>+'2025 GSD Rate Class E-13c'!K75</f>
        <v>-2.06</v>
      </c>
      <c r="I89" s="279"/>
      <c r="J89" s="213">
        <f>+'2025 GSD Rate Class E-13c'!R75</f>
        <v>-3.09</v>
      </c>
      <c r="K89" s="279"/>
      <c r="L89" s="291">
        <f>+'Unit Cost Rate Design Input'!D35</f>
        <v>-3.09</v>
      </c>
      <c r="M89" s="279"/>
      <c r="N89" s="281" t="s">
        <v>1754</v>
      </c>
      <c r="O89" s="277"/>
      <c r="P89" s="277" t="s">
        <v>1755</v>
      </c>
      <c r="Q89" s="277"/>
      <c r="R89" s="277"/>
      <c r="S89" s="277"/>
      <c r="T89" s="277"/>
      <c r="U89" s="277"/>
    </row>
    <row r="90" spans="1:21" s="259" customFormat="1" x14ac:dyDescent="0.2">
      <c r="A90" s="262">
        <v>38</v>
      </c>
      <c r="B90" s="277"/>
      <c r="C90" s="277"/>
      <c r="D90" s="282" t="s">
        <v>1756</v>
      </c>
      <c r="E90" s="277"/>
      <c r="F90" s="277"/>
      <c r="G90" s="277"/>
      <c r="H90" s="279"/>
      <c r="I90" s="279"/>
      <c r="J90" s="279"/>
      <c r="K90" s="279"/>
      <c r="L90" s="291"/>
      <c r="M90" s="277"/>
      <c r="N90" s="281"/>
      <c r="O90" s="277"/>
      <c r="P90" s="277"/>
      <c r="Q90" s="277"/>
      <c r="R90" s="277"/>
      <c r="S90" s="277"/>
      <c r="T90" s="277"/>
      <c r="U90" s="277"/>
    </row>
    <row r="91" spans="1:21" s="259" customFormat="1" x14ac:dyDescent="0.2">
      <c r="A91" s="262">
        <v>39</v>
      </c>
      <c r="B91" s="283"/>
      <c r="C91" s="283"/>
      <c r="D91" s="284" t="s">
        <v>1737</v>
      </c>
      <c r="E91" s="277"/>
      <c r="F91" s="277"/>
      <c r="G91" s="277"/>
      <c r="H91" s="213">
        <f>+'2025 GSD Rate Class E-13c'!K144*1000</f>
        <v>-1.23</v>
      </c>
      <c r="I91" s="201"/>
      <c r="J91" s="213">
        <f>+'2025 GSD Rate Class E-13c'!R144*1000</f>
        <v>-1.38241301833847</v>
      </c>
      <c r="K91" s="292"/>
      <c r="L91" s="291">
        <f>+'Unit Cost Rate Design Input'!D49*1000</f>
        <v>-1.38241301833847</v>
      </c>
      <c r="M91" s="293"/>
      <c r="N91" s="281" t="s">
        <v>1754</v>
      </c>
      <c r="O91" s="277"/>
      <c r="P91" s="277" t="s">
        <v>1755</v>
      </c>
      <c r="Q91" s="277"/>
      <c r="R91" s="277"/>
      <c r="S91" s="277"/>
      <c r="T91" s="277"/>
      <c r="U91" s="277"/>
    </row>
    <row r="92" spans="1:21" s="259" customFormat="1" x14ac:dyDescent="0.2">
      <c r="A92" s="262">
        <v>40</v>
      </c>
      <c r="B92" s="288"/>
      <c r="C92" s="281"/>
      <c r="D92" s="284" t="s">
        <v>1738</v>
      </c>
      <c r="E92" s="277"/>
      <c r="F92" s="277"/>
      <c r="G92" s="277"/>
      <c r="H92" s="213">
        <f>+'2025 GSD Rate Class E-13c'!K145*1000</f>
        <v>-5.28</v>
      </c>
      <c r="I92" s="201"/>
      <c r="J92" s="213">
        <f>+'2025 GSD Rate Class E-13c'!R145*1000</f>
        <v>-7.9145209896204305</v>
      </c>
      <c r="K92" s="277"/>
      <c r="L92" s="291">
        <f>+'Unit Cost Rate Design Input'!D50*1000</f>
        <v>-7.9145209896204305</v>
      </c>
      <c r="M92" s="277"/>
      <c r="N92" s="281" t="s">
        <v>1754</v>
      </c>
      <c r="O92" s="277"/>
      <c r="P92" s="277" t="s">
        <v>1755</v>
      </c>
      <c r="Q92" s="277"/>
      <c r="R92" s="277"/>
      <c r="S92" s="277"/>
      <c r="T92" s="277"/>
      <c r="U92" s="277"/>
    </row>
    <row r="93" spans="1:21" s="259" customFormat="1" x14ac:dyDescent="0.2">
      <c r="A93" s="262">
        <v>41</v>
      </c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9"/>
      <c r="M93" s="283"/>
      <c r="N93" s="283"/>
      <c r="O93" s="283"/>
      <c r="P93" s="283"/>
      <c r="Q93" s="283"/>
      <c r="R93" s="283"/>
      <c r="S93" s="283"/>
      <c r="T93" s="283"/>
      <c r="U93" s="283"/>
    </row>
    <row r="94" spans="1:21" s="259" customFormat="1" x14ac:dyDescent="0.2">
      <c r="A94" s="262">
        <v>42</v>
      </c>
      <c r="B94" s="283"/>
      <c r="C94" s="283"/>
      <c r="D94" s="288" t="s">
        <v>1757</v>
      </c>
      <c r="E94" s="283"/>
      <c r="F94" s="283"/>
      <c r="G94" s="283"/>
      <c r="H94" s="283"/>
      <c r="I94" s="283"/>
      <c r="J94" s="283"/>
      <c r="K94" s="283"/>
      <c r="L94" s="287"/>
      <c r="M94" s="277"/>
      <c r="N94" s="281"/>
      <c r="O94" s="277"/>
      <c r="P94" s="277"/>
      <c r="Q94" s="277"/>
      <c r="R94" s="277"/>
      <c r="S94" s="277"/>
      <c r="T94" s="277"/>
      <c r="U94" s="277"/>
    </row>
    <row r="95" spans="1:21" x14ac:dyDescent="0.2">
      <c r="A95" s="262">
        <v>43</v>
      </c>
      <c r="B95" s="283"/>
      <c r="C95" s="283"/>
      <c r="D95" s="282" t="s">
        <v>1753</v>
      </c>
      <c r="E95" s="283"/>
      <c r="F95" s="283"/>
      <c r="G95" s="283"/>
      <c r="H95" s="213">
        <f>+'2025 GSD Rate Class E-13c'!K82</f>
        <v>0.68</v>
      </c>
      <c r="I95" s="200"/>
      <c r="J95" s="213">
        <f>+'2025 GSD Rate Class E-13c'!R82</f>
        <v>1.02</v>
      </c>
      <c r="K95" s="200">
        <v>1.72</v>
      </c>
      <c r="L95" s="291">
        <f>+'Unit Cost Rate Design Input'!D38</f>
        <v>1.02</v>
      </c>
      <c r="M95" s="207"/>
      <c r="N95" s="281" t="s">
        <v>1758</v>
      </c>
      <c r="O95" s="277"/>
      <c r="P95" s="277" t="s">
        <v>1755</v>
      </c>
      <c r="Q95" s="277"/>
      <c r="R95" s="277"/>
      <c r="S95" s="277"/>
      <c r="T95" s="277"/>
      <c r="U95" s="277"/>
    </row>
    <row r="96" spans="1:21" x14ac:dyDescent="0.2">
      <c r="A96" s="262">
        <v>44</v>
      </c>
      <c r="B96" s="283"/>
      <c r="C96" s="283"/>
      <c r="D96" s="282" t="s">
        <v>1759</v>
      </c>
      <c r="E96" s="283"/>
      <c r="F96" s="283"/>
      <c r="G96" s="283"/>
      <c r="H96" s="213">
        <f>+'2025 GSD Rate Class E-13c'!K150*1000</f>
        <v>1.71</v>
      </c>
      <c r="I96" s="292"/>
      <c r="J96" s="213">
        <f>+'2025 GSD Rate Class E-13c'!R150*1000</f>
        <v>2.57</v>
      </c>
      <c r="K96" s="294"/>
      <c r="L96" s="291">
        <f>+'Unit Cost Rate Design Input'!D51*1000</f>
        <v>2.57</v>
      </c>
      <c r="M96" s="293"/>
      <c r="N96" s="281" t="s">
        <v>1758</v>
      </c>
      <c r="O96" s="277"/>
      <c r="P96" s="277" t="s">
        <v>1755</v>
      </c>
      <c r="Q96" s="277"/>
      <c r="R96" s="277"/>
      <c r="S96" s="277"/>
      <c r="T96" s="277"/>
      <c r="U96" s="277"/>
    </row>
    <row r="97" spans="1:21" x14ac:dyDescent="0.2">
      <c r="A97" s="262">
        <v>45</v>
      </c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9"/>
      <c r="M97" s="283"/>
      <c r="N97" s="290"/>
      <c r="O97" s="290"/>
      <c r="P97" s="278"/>
      <c r="Q97" s="277"/>
      <c r="R97" s="277"/>
      <c r="S97" s="277"/>
      <c r="T97" s="277"/>
      <c r="U97" s="277"/>
    </row>
    <row r="98" spans="1:21" x14ac:dyDescent="0.2">
      <c r="A98" s="262">
        <v>46</v>
      </c>
      <c r="B98" s="283"/>
      <c r="C98" s="283"/>
      <c r="D98" s="277"/>
      <c r="E98" s="283"/>
      <c r="F98" s="283"/>
      <c r="G98" s="283"/>
      <c r="H98" s="283"/>
      <c r="I98" s="283"/>
      <c r="J98" s="283"/>
      <c r="K98" s="283"/>
      <c r="L98" s="289"/>
      <c r="M98" s="283"/>
      <c r="N98" s="290"/>
      <c r="O98" s="290"/>
      <c r="P98" s="278"/>
      <c r="Q98" s="277"/>
      <c r="R98" s="277"/>
      <c r="S98" s="277"/>
      <c r="T98" s="277"/>
      <c r="U98" s="277"/>
    </row>
    <row r="99" spans="1:21" x14ac:dyDescent="0.2">
      <c r="A99" s="262">
        <v>47</v>
      </c>
      <c r="B99" s="283"/>
      <c r="C99" s="283"/>
      <c r="D99" s="282"/>
      <c r="E99" s="283"/>
      <c r="F99" s="283"/>
      <c r="G99" s="283"/>
      <c r="H99" s="200"/>
      <c r="I99" s="279"/>
      <c r="J99" s="200"/>
      <c r="K99" s="277"/>
      <c r="L99" s="287"/>
      <c r="M99" s="283"/>
      <c r="N99" s="281"/>
      <c r="O99" s="290"/>
      <c r="P99" s="277"/>
      <c r="Q99" s="283"/>
      <c r="R99" s="283"/>
      <c r="S99" s="283"/>
      <c r="T99" s="277"/>
      <c r="U99" s="277"/>
    </row>
    <row r="100" spans="1:21" x14ac:dyDescent="0.2">
      <c r="A100" s="262">
        <v>48</v>
      </c>
      <c r="B100" s="277"/>
      <c r="C100" s="283"/>
      <c r="D100" s="282"/>
      <c r="E100" s="283"/>
      <c r="F100" s="283"/>
      <c r="G100" s="283"/>
      <c r="H100" s="200"/>
      <c r="I100" s="279"/>
      <c r="J100" s="200"/>
      <c r="K100" s="277"/>
      <c r="L100" s="287"/>
      <c r="M100" s="283"/>
      <c r="N100" s="281"/>
      <c r="O100" s="290"/>
      <c r="P100" s="277"/>
      <c r="Q100" s="283"/>
      <c r="R100" s="283"/>
      <c r="S100" s="283"/>
      <c r="T100" s="277"/>
      <c r="U100" s="277"/>
    </row>
    <row r="101" spans="1:21" ht="13.5" thickBot="1" x14ac:dyDescent="0.25">
      <c r="A101" s="257" t="s">
        <v>1699</v>
      </c>
      <c r="B101" s="295"/>
      <c r="C101" s="296"/>
      <c r="D101" s="296"/>
      <c r="E101" s="296"/>
      <c r="F101" s="295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 t="s">
        <v>1763</v>
      </c>
    </row>
    <row r="102" spans="1:21" x14ac:dyDescent="0.2">
      <c r="B102" s="277"/>
      <c r="C102" s="277"/>
      <c r="D102" s="277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</row>
    <row r="103" spans="1:21" x14ac:dyDescent="0.2">
      <c r="B103" s="599" t="s">
        <v>987</v>
      </c>
      <c r="C103" s="599"/>
      <c r="D103" s="277"/>
      <c r="E103" s="277"/>
      <c r="F103" s="283"/>
      <c r="G103" s="283"/>
      <c r="H103" s="281" t="s">
        <v>1702</v>
      </c>
      <c r="I103" s="281"/>
      <c r="J103" s="281" t="s">
        <v>984</v>
      </c>
      <c r="K103" s="281"/>
      <c r="L103" s="281" t="s">
        <v>1703</v>
      </c>
      <c r="M103" s="281"/>
      <c r="N103" s="281"/>
      <c r="O103" s="277"/>
      <c r="P103" s="277"/>
      <c r="Q103" s="277"/>
      <c r="R103" s="277"/>
      <c r="S103" s="277"/>
      <c r="T103" s="277"/>
      <c r="U103" s="277"/>
    </row>
    <row r="104" spans="1:21" x14ac:dyDescent="0.2">
      <c r="A104" s="263" t="s">
        <v>1704</v>
      </c>
      <c r="B104" s="598" t="s">
        <v>1705</v>
      </c>
      <c r="C104" s="598"/>
      <c r="D104" s="598" t="s">
        <v>1706</v>
      </c>
      <c r="E104" s="598"/>
      <c r="F104" s="598"/>
      <c r="G104" s="283"/>
      <c r="H104" s="297" t="s">
        <v>987</v>
      </c>
      <c r="I104" s="281"/>
      <c r="J104" s="297" t="s">
        <v>987</v>
      </c>
      <c r="K104" s="281"/>
      <c r="L104" s="297" t="s">
        <v>1707</v>
      </c>
      <c r="M104" s="281"/>
      <c r="N104" s="297" t="s">
        <v>1708</v>
      </c>
      <c r="O104" s="283"/>
      <c r="P104" s="598" t="s">
        <v>1709</v>
      </c>
      <c r="Q104" s="598"/>
      <c r="R104" s="598"/>
      <c r="S104" s="598"/>
      <c r="T104" s="598"/>
      <c r="U104" s="277"/>
    </row>
    <row r="105" spans="1:21" x14ac:dyDescent="0.2">
      <c r="A105" s="262">
        <v>1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90"/>
      <c r="O105" s="290"/>
      <c r="P105" s="290"/>
      <c r="Q105" s="283"/>
      <c r="R105" s="283"/>
      <c r="S105" s="283"/>
      <c r="T105" s="277"/>
      <c r="U105" s="277"/>
    </row>
    <row r="106" spans="1:21" x14ac:dyDescent="0.2">
      <c r="A106" s="262">
        <v>2</v>
      </c>
      <c r="B106" s="288" t="s">
        <v>360</v>
      </c>
      <c r="C106" s="283"/>
      <c r="D106" s="283"/>
      <c r="E106" s="283"/>
      <c r="F106" s="283"/>
      <c r="G106" s="283"/>
      <c r="H106" s="283"/>
      <c r="I106" s="283"/>
      <c r="J106" s="283"/>
      <c r="K106" s="283"/>
      <c r="L106" s="277"/>
      <c r="M106" s="277"/>
      <c r="N106" s="278"/>
      <c r="O106" s="278"/>
      <c r="P106" s="278"/>
      <c r="Q106" s="277"/>
      <c r="R106" s="277"/>
      <c r="S106" s="277"/>
      <c r="T106" s="283"/>
      <c r="U106" s="283"/>
    </row>
    <row r="107" spans="1:21" x14ac:dyDescent="0.2">
      <c r="A107" s="262">
        <v>3</v>
      </c>
      <c r="B107" s="283"/>
      <c r="C107" s="283"/>
      <c r="D107" s="277" t="s">
        <v>1725</v>
      </c>
      <c r="E107" s="283"/>
      <c r="F107" s="283"/>
      <c r="G107" s="283"/>
      <c r="H107" s="283"/>
      <c r="I107" s="283"/>
      <c r="J107" s="283"/>
      <c r="K107" s="279"/>
      <c r="L107" s="283"/>
      <c r="M107" s="283"/>
      <c r="N107" s="290"/>
      <c r="O107" s="290"/>
      <c r="P107" s="290"/>
      <c r="Q107" s="283"/>
      <c r="R107" s="283"/>
      <c r="S107" s="283"/>
      <c r="T107" s="283"/>
      <c r="U107" s="283"/>
    </row>
    <row r="108" spans="1:21" x14ac:dyDescent="0.2">
      <c r="A108" s="262">
        <v>4</v>
      </c>
      <c r="B108" s="283"/>
      <c r="C108" s="281"/>
      <c r="D108" s="282" t="s">
        <v>1734</v>
      </c>
      <c r="E108" s="277"/>
      <c r="F108" s="277"/>
      <c r="G108" s="277"/>
      <c r="H108" s="213">
        <f>+'2025 GS Rate Class E-13c'!J73</f>
        <v>0.75</v>
      </c>
      <c r="I108" s="279"/>
      <c r="J108" s="200">
        <f>+'2025 GS Rate Class E-13c'!Q73</f>
        <v>1.27</v>
      </c>
      <c r="K108" s="283"/>
      <c r="L108" s="283"/>
      <c r="M108" s="283"/>
      <c r="N108" s="290"/>
      <c r="O108" s="290"/>
      <c r="P108" s="277" t="s">
        <v>1764</v>
      </c>
      <c r="Q108" s="283"/>
      <c r="R108" s="283"/>
      <c r="S108" s="283"/>
      <c r="T108" s="283"/>
      <c r="U108" s="283"/>
    </row>
    <row r="109" spans="1:21" x14ac:dyDescent="0.2">
      <c r="A109" s="262">
        <v>5</v>
      </c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1"/>
      <c r="M109" s="281"/>
      <c r="N109" s="278"/>
      <c r="O109" s="278"/>
      <c r="P109" s="283"/>
      <c r="Q109" s="277"/>
      <c r="R109" s="277"/>
      <c r="S109" s="277"/>
      <c r="T109" s="283"/>
      <c r="U109" s="283"/>
    </row>
    <row r="110" spans="1:21" x14ac:dyDescent="0.2">
      <c r="A110" s="262">
        <v>6</v>
      </c>
      <c r="B110" s="288"/>
      <c r="C110" s="281"/>
      <c r="D110" s="277" t="s">
        <v>1765</v>
      </c>
      <c r="E110" s="283"/>
      <c r="F110" s="283"/>
      <c r="G110" s="283"/>
      <c r="H110" s="283"/>
      <c r="I110" s="283"/>
      <c r="J110" s="283"/>
      <c r="K110" s="279"/>
      <c r="L110" s="283"/>
      <c r="M110" s="283"/>
      <c r="N110" s="278"/>
      <c r="O110" s="278"/>
      <c r="P110" s="277"/>
      <c r="Q110" s="277"/>
      <c r="R110" s="277"/>
      <c r="S110" s="277"/>
      <c r="T110" s="283"/>
      <c r="U110" s="283"/>
    </row>
    <row r="111" spans="1:21" s="259" customFormat="1" x14ac:dyDescent="0.2">
      <c r="A111" s="262">
        <v>7</v>
      </c>
      <c r="B111" s="283"/>
      <c r="C111" s="283"/>
      <c r="D111" s="282" t="s">
        <v>328</v>
      </c>
      <c r="E111" s="277"/>
      <c r="F111" s="277"/>
      <c r="G111" s="277"/>
      <c r="H111" s="213">
        <f>+'2025 GS Rate Class E-13c'!J77*1000</f>
        <v>78.61999999999999</v>
      </c>
      <c r="I111" s="200"/>
      <c r="J111" s="213">
        <f>+'2025 GS Rate Class E-13c'!Q77*1000</f>
        <v>68.064590047299987</v>
      </c>
      <c r="K111" s="283"/>
      <c r="L111" s="283"/>
      <c r="M111" s="283"/>
      <c r="N111" s="278"/>
      <c r="O111" s="278"/>
      <c r="P111" s="277" t="s">
        <v>1766</v>
      </c>
      <c r="Q111" s="277"/>
      <c r="R111" s="277"/>
      <c r="S111" s="277"/>
      <c r="T111" s="283"/>
      <c r="U111" s="283"/>
    </row>
    <row r="112" spans="1:21" s="259" customFormat="1" x14ac:dyDescent="0.2">
      <c r="A112" s="262">
        <v>8</v>
      </c>
      <c r="B112" s="283"/>
      <c r="C112" s="283"/>
      <c r="D112" s="283"/>
      <c r="E112" s="283"/>
      <c r="F112" s="283"/>
      <c r="G112" s="283"/>
      <c r="H112" s="283"/>
      <c r="I112" s="283"/>
      <c r="J112" s="283"/>
      <c r="K112" s="298"/>
      <c r="L112" s="277"/>
      <c r="M112" s="277"/>
      <c r="N112" s="278"/>
      <c r="O112" s="278"/>
      <c r="P112" s="283"/>
      <c r="Q112" s="277"/>
      <c r="R112" s="277"/>
      <c r="S112" s="277"/>
      <c r="T112" s="283"/>
      <c r="U112" s="283"/>
    </row>
    <row r="113" spans="1:21" s="259" customFormat="1" x14ac:dyDescent="0.2">
      <c r="A113" s="262">
        <v>9</v>
      </c>
      <c r="B113" s="283"/>
      <c r="C113" s="283"/>
      <c r="D113" s="277"/>
      <c r="E113" s="283"/>
      <c r="F113" s="283"/>
      <c r="G113" s="283"/>
      <c r="H113" s="279"/>
      <c r="I113" s="298"/>
      <c r="J113" s="279"/>
      <c r="K113" s="283"/>
      <c r="L113" s="279"/>
      <c r="M113" s="283"/>
      <c r="N113" s="281"/>
      <c r="O113" s="277"/>
      <c r="P113" s="277"/>
      <c r="Q113" s="277"/>
      <c r="R113" s="277"/>
      <c r="S113" s="277"/>
      <c r="T113" s="283"/>
      <c r="U113" s="283"/>
    </row>
    <row r="114" spans="1:21" s="259" customFormat="1" x14ac:dyDescent="0.2">
      <c r="A114" s="262">
        <v>10</v>
      </c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98"/>
      <c r="M114" s="298"/>
      <c r="N114" s="283"/>
      <c r="O114" s="283"/>
      <c r="P114" s="283"/>
      <c r="Q114" s="277"/>
      <c r="R114" s="277"/>
      <c r="S114" s="277"/>
      <c r="T114" s="283"/>
      <c r="U114" s="283"/>
    </row>
    <row r="115" spans="1:21" s="259" customFormat="1" x14ac:dyDescent="0.2">
      <c r="A115" s="262">
        <v>11</v>
      </c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78"/>
      <c r="O115" s="278"/>
      <c r="P115" s="278"/>
      <c r="Q115" s="277"/>
      <c r="R115" s="277"/>
      <c r="S115" s="277"/>
      <c r="T115" s="283"/>
      <c r="U115" s="283"/>
    </row>
    <row r="116" spans="1:21" s="259" customFormat="1" x14ac:dyDescent="0.2">
      <c r="A116" s="262">
        <v>12</v>
      </c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90"/>
      <c r="O116" s="290"/>
      <c r="P116" s="290"/>
      <c r="Q116" s="283"/>
      <c r="R116" s="283"/>
      <c r="S116" s="277"/>
      <c r="T116" s="283"/>
      <c r="U116" s="283"/>
    </row>
    <row r="117" spans="1:21" s="259" customFormat="1" x14ac:dyDescent="0.2">
      <c r="A117" s="262">
        <v>13</v>
      </c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90"/>
      <c r="O117" s="290"/>
      <c r="P117" s="290"/>
      <c r="Q117" s="283"/>
      <c r="R117" s="283"/>
      <c r="S117" s="277"/>
      <c r="T117" s="283"/>
      <c r="U117" s="283"/>
    </row>
    <row r="118" spans="1:21" s="259" customFormat="1" x14ac:dyDescent="0.2">
      <c r="A118" s="262">
        <v>14</v>
      </c>
      <c r="B118" s="277" t="s">
        <v>1767</v>
      </c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78"/>
      <c r="O118" s="278"/>
      <c r="P118" s="278"/>
      <c r="Q118" s="277"/>
      <c r="R118" s="277"/>
      <c r="S118" s="277"/>
      <c r="T118" s="283"/>
      <c r="U118" s="283"/>
    </row>
    <row r="119" spans="1:21" s="259" customFormat="1" x14ac:dyDescent="0.2">
      <c r="A119" s="262">
        <v>15</v>
      </c>
      <c r="B119" s="283"/>
      <c r="C119" s="283"/>
      <c r="D119" s="277" t="s">
        <v>1725</v>
      </c>
      <c r="E119" s="283"/>
      <c r="F119" s="283"/>
      <c r="G119" s="283"/>
      <c r="H119" s="283"/>
      <c r="I119" s="283"/>
      <c r="J119" s="283"/>
      <c r="K119" s="200"/>
      <c r="L119" s="283"/>
      <c r="M119" s="283"/>
      <c r="N119" s="278"/>
      <c r="O119" s="278"/>
      <c r="P119" s="278"/>
      <c r="Q119" s="277"/>
      <c r="R119" s="277"/>
      <c r="S119" s="277"/>
      <c r="T119" s="283"/>
      <c r="U119" s="283"/>
    </row>
    <row r="120" spans="1:21" s="259" customFormat="1" x14ac:dyDescent="0.2">
      <c r="A120" s="262">
        <v>16</v>
      </c>
      <c r="B120" s="277"/>
      <c r="C120" s="283"/>
      <c r="D120" s="284" t="s">
        <v>1735</v>
      </c>
      <c r="E120" s="283"/>
      <c r="F120" s="283"/>
      <c r="G120" s="283"/>
      <c r="H120" s="213">
        <f>+'2025 GSD Rate Class E-13c'!K181</f>
        <v>1.91</v>
      </c>
      <c r="I120" s="200"/>
      <c r="J120" s="213">
        <f>+'2025 GSD Rate Class E-13c'!R181</f>
        <v>1.72</v>
      </c>
      <c r="K120" s="200"/>
      <c r="L120" s="299"/>
      <c r="M120" s="281"/>
      <c r="N120" s="281"/>
      <c r="O120" s="278"/>
      <c r="P120" s="277" t="s">
        <v>1833</v>
      </c>
      <c r="Q120" s="277"/>
      <c r="R120" s="277"/>
      <c r="S120" s="277"/>
      <c r="T120" s="283"/>
      <c r="U120" s="283"/>
    </row>
    <row r="121" spans="1:21" s="259" customFormat="1" x14ac:dyDescent="0.2">
      <c r="A121" s="262">
        <v>17</v>
      </c>
      <c r="B121" s="277"/>
      <c r="C121" s="283"/>
      <c r="D121" s="284" t="s">
        <v>1737</v>
      </c>
      <c r="E121" s="283"/>
      <c r="F121" s="283"/>
      <c r="G121" s="283"/>
      <c r="H121" s="213">
        <f>+'2025 GSD Rate Class E-13c'!K182</f>
        <v>6.8</v>
      </c>
      <c r="I121" s="200"/>
      <c r="J121" s="213">
        <f>+'2025 GSD Rate Class E-13c'!R182</f>
        <v>9.36</v>
      </c>
      <c r="K121" s="200"/>
      <c r="L121" s="299"/>
      <c r="M121" s="281"/>
      <c r="N121" s="281"/>
      <c r="O121" s="278"/>
      <c r="P121" s="277" t="s">
        <v>1833</v>
      </c>
      <c r="Q121" s="277"/>
      <c r="R121" s="277"/>
      <c r="S121" s="277"/>
      <c r="T121" s="283"/>
      <c r="U121" s="283"/>
    </row>
    <row r="122" spans="1:21" s="259" customFormat="1" x14ac:dyDescent="0.2">
      <c r="A122" s="262">
        <v>18</v>
      </c>
      <c r="B122" s="277"/>
      <c r="C122" s="283"/>
      <c r="D122" s="284" t="s">
        <v>1738</v>
      </c>
      <c r="E122" s="283"/>
      <c r="F122" s="283"/>
      <c r="G122" s="283"/>
      <c r="H122" s="213">
        <f>+'2025 GSD Rate Class E-13c'!K183</f>
        <v>18.309999999999999</v>
      </c>
      <c r="I122" s="200"/>
      <c r="J122" s="213">
        <f>+'2025 GSD Rate Class E-13c'!R183</f>
        <v>25.76</v>
      </c>
      <c r="K122" s="283"/>
      <c r="L122" s="299"/>
      <c r="M122" s="281"/>
      <c r="N122" s="281"/>
      <c r="O122" s="278"/>
      <c r="P122" s="277" t="s">
        <v>1833</v>
      </c>
      <c r="Q122" s="277"/>
      <c r="R122" s="277"/>
      <c r="S122" s="277"/>
      <c r="T122" s="283"/>
      <c r="U122" s="283"/>
    </row>
    <row r="123" spans="1:21" s="259" customFormat="1" x14ac:dyDescent="0.2">
      <c r="A123" s="262">
        <v>19</v>
      </c>
      <c r="B123" s="277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78"/>
      <c r="O123" s="278"/>
      <c r="P123" s="278"/>
      <c r="Q123" s="277"/>
      <c r="R123" s="277"/>
      <c r="S123" s="277"/>
      <c r="T123" s="283"/>
      <c r="U123" s="283"/>
    </row>
    <row r="124" spans="1:21" s="259" customFormat="1" x14ac:dyDescent="0.2">
      <c r="A124" s="262">
        <v>20</v>
      </c>
      <c r="B124" s="277"/>
      <c r="C124" s="283"/>
      <c r="D124" s="277" t="s">
        <v>1739</v>
      </c>
      <c r="E124" s="283"/>
      <c r="F124" s="283"/>
      <c r="G124" s="283"/>
      <c r="H124" s="283"/>
      <c r="I124" s="283"/>
      <c r="J124" s="283"/>
      <c r="K124" s="283"/>
      <c r="L124" s="283"/>
      <c r="M124" s="283"/>
      <c r="N124" s="278"/>
      <c r="O124" s="278"/>
      <c r="P124" s="278"/>
      <c r="Q124" s="277"/>
      <c r="R124" s="277"/>
      <c r="S124" s="277"/>
      <c r="T124" s="283"/>
      <c r="U124" s="283"/>
    </row>
    <row r="125" spans="1:21" s="259" customFormat="1" x14ac:dyDescent="0.2">
      <c r="A125" s="262">
        <v>21</v>
      </c>
      <c r="B125" s="277"/>
      <c r="C125" s="283"/>
      <c r="D125" s="288" t="s">
        <v>1768</v>
      </c>
      <c r="E125" s="283"/>
      <c r="F125" s="283"/>
      <c r="G125" s="283"/>
      <c r="H125" s="283"/>
      <c r="I125" s="283"/>
      <c r="J125" s="283"/>
      <c r="K125" s="279"/>
      <c r="L125" s="283"/>
      <c r="M125" s="283"/>
      <c r="N125" s="278"/>
      <c r="O125" s="278"/>
      <c r="P125" s="278"/>
      <c r="Q125" s="277"/>
      <c r="R125" s="277"/>
      <c r="S125" s="277"/>
      <c r="T125" s="283"/>
      <c r="U125" s="283"/>
    </row>
    <row r="126" spans="1:21" s="259" customFormat="1" x14ac:dyDescent="0.2">
      <c r="A126" s="262">
        <v>22</v>
      </c>
      <c r="B126" s="283"/>
      <c r="C126" s="283"/>
      <c r="D126" s="282" t="s">
        <v>773</v>
      </c>
      <c r="E126" s="283"/>
      <c r="F126" s="283"/>
      <c r="G126" s="283"/>
      <c r="H126" s="213">
        <f>+'2025 GSD Rate Class E-13c'!K236</f>
        <v>14.2</v>
      </c>
      <c r="I126" s="279"/>
      <c r="J126" s="213">
        <f>+'2025 GSD Rate Class E-13c'!R236</f>
        <v>19.61970957579716</v>
      </c>
      <c r="K126" s="279"/>
      <c r="L126" s="283"/>
      <c r="M126" s="283"/>
      <c r="N126" s="281"/>
      <c r="O126" s="278"/>
      <c r="P126" s="277" t="s">
        <v>1769</v>
      </c>
      <c r="Q126" s="277"/>
      <c r="R126" s="277"/>
      <c r="S126" s="277"/>
      <c r="T126" s="283"/>
      <c r="U126" s="283"/>
    </row>
    <row r="127" spans="1:21" x14ac:dyDescent="0.2">
      <c r="A127" s="262">
        <v>23</v>
      </c>
      <c r="B127" s="283"/>
      <c r="C127" s="283"/>
      <c r="D127" s="282" t="s">
        <v>746</v>
      </c>
      <c r="E127" s="283"/>
      <c r="F127" s="283"/>
      <c r="G127" s="283"/>
      <c r="H127" s="213">
        <f>+'2025 GSD Rate Class E-13c'!K237</f>
        <v>14.2</v>
      </c>
      <c r="I127" s="279"/>
      <c r="J127" s="213">
        <f>+'2025 GSD Rate Class E-13c'!R237</f>
        <v>19.61970957579716</v>
      </c>
      <c r="K127" s="279"/>
      <c r="L127" s="283"/>
      <c r="M127" s="283"/>
      <c r="N127" s="281"/>
      <c r="O127" s="278"/>
      <c r="P127" s="277" t="s">
        <v>1769</v>
      </c>
      <c r="Q127" s="277"/>
      <c r="R127" s="277"/>
      <c r="S127" s="277"/>
      <c r="T127" s="283"/>
      <c r="U127" s="283"/>
    </row>
    <row r="128" spans="1:21" x14ac:dyDescent="0.2">
      <c r="A128" s="262">
        <v>24</v>
      </c>
      <c r="B128" s="283"/>
      <c r="C128" s="283"/>
      <c r="D128" s="282" t="s">
        <v>769</v>
      </c>
      <c r="E128" s="283"/>
      <c r="F128" s="283"/>
      <c r="G128" s="283"/>
      <c r="H128" s="213">
        <f>+'2025 GSD Rate Class E-13c'!K238</f>
        <v>14.2</v>
      </c>
      <c r="I128" s="279"/>
      <c r="J128" s="213">
        <f>+'2025 GSD Rate Class E-13c'!R238</f>
        <v>19.61970957579716</v>
      </c>
      <c r="K128" s="279"/>
      <c r="L128" s="283"/>
      <c r="M128" s="283"/>
      <c r="N128" s="281"/>
      <c r="O128" s="278"/>
      <c r="P128" s="277" t="s">
        <v>1769</v>
      </c>
      <c r="Q128" s="277"/>
      <c r="R128" s="277"/>
      <c r="S128" s="277"/>
      <c r="T128" s="283"/>
      <c r="U128" s="283"/>
    </row>
    <row r="129" spans="1:21" x14ac:dyDescent="0.2">
      <c r="A129" s="262">
        <v>25</v>
      </c>
      <c r="B129" s="288"/>
      <c r="C129" s="300"/>
      <c r="D129" s="282" t="s">
        <v>1770</v>
      </c>
      <c r="E129" s="277"/>
      <c r="F129" s="277"/>
      <c r="G129" s="277"/>
      <c r="H129" s="213">
        <f>+'2025 GSD Rate Class E-13c'!K239</f>
        <v>4.55</v>
      </c>
      <c r="I129" s="279"/>
      <c r="J129" s="213">
        <f>+'2025 GSD Rate Class E-13c'!R239</f>
        <v>5.0398852462260963</v>
      </c>
      <c r="K129" s="279"/>
      <c r="L129" s="283"/>
      <c r="M129" s="283"/>
      <c r="N129" s="281"/>
      <c r="O129" s="278"/>
      <c r="P129" s="277" t="s">
        <v>1771</v>
      </c>
      <c r="Q129" s="277"/>
      <c r="R129" s="277"/>
      <c r="S129" s="277"/>
      <c r="T129" s="283"/>
      <c r="U129" s="283"/>
    </row>
    <row r="130" spans="1:21" x14ac:dyDescent="0.2">
      <c r="A130" s="262">
        <v>26</v>
      </c>
      <c r="B130" s="288"/>
      <c r="C130" s="300"/>
      <c r="D130" s="282" t="s">
        <v>1772</v>
      </c>
      <c r="E130" s="277"/>
      <c r="F130" s="283"/>
      <c r="G130" s="277"/>
      <c r="H130" s="213">
        <f>+'2025 GSD Rate Class E-13c'!K242</f>
        <v>9.2799999999999994</v>
      </c>
      <c r="I130" s="279"/>
      <c r="J130" s="213">
        <f>+'2025 GSD Rate Class E-13c'!R242</f>
        <v>14.579824329571064</v>
      </c>
      <c r="K130" s="277"/>
      <c r="L130" s="283"/>
      <c r="M130" s="283"/>
      <c r="N130" s="281"/>
      <c r="O130" s="278"/>
      <c r="P130" s="277" t="s">
        <v>1773</v>
      </c>
      <c r="Q130" s="277"/>
      <c r="R130" s="277"/>
      <c r="S130" s="277"/>
      <c r="T130" s="283"/>
      <c r="U130" s="283"/>
    </row>
    <row r="131" spans="1:21" x14ac:dyDescent="0.2">
      <c r="A131" s="262">
        <v>27</v>
      </c>
      <c r="B131" s="288"/>
      <c r="C131" s="300"/>
      <c r="D131" s="282"/>
      <c r="E131" s="277"/>
      <c r="F131" s="283"/>
      <c r="G131" s="277"/>
      <c r="H131" s="279"/>
      <c r="I131" s="279"/>
      <c r="J131" s="279"/>
      <c r="K131" s="277"/>
      <c r="L131" s="283"/>
      <c r="M131" s="283"/>
      <c r="N131" s="281"/>
      <c r="O131" s="278"/>
      <c r="P131" s="277"/>
      <c r="Q131" s="277"/>
      <c r="R131" s="277"/>
      <c r="S131" s="277"/>
      <c r="T131" s="283"/>
      <c r="U131" s="283"/>
    </row>
    <row r="132" spans="1:21" x14ac:dyDescent="0.2">
      <c r="A132" s="262">
        <v>28</v>
      </c>
      <c r="B132" s="288"/>
      <c r="C132" s="300"/>
      <c r="D132" s="288" t="s">
        <v>1102</v>
      </c>
      <c r="E132" s="277"/>
      <c r="F132" s="283"/>
      <c r="G132" s="277"/>
      <c r="H132" s="279"/>
      <c r="I132" s="279"/>
      <c r="J132" s="279"/>
      <c r="K132" s="200"/>
      <c r="L132" s="283"/>
      <c r="M132" s="283"/>
      <c r="N132" s="278"/>
      <c r="O132" s="278"/>
      <c r="P132" s="278"/>
      <c r="Q132" s="277"/>
      <c r="R132" s="277"/>
      <c r="S132" s="277"/>
      <c r="T132" s="283"/>
      <c r="U132" s="283"/>
    </row>
    <row r="133" spans="1:21" x14ac:dyDescent="0.2">
      <c r="A133" s="262">
        <v>29</v>
      </c>
      <c r="B133" s="288"/>
      <c r="C133" s="300"/>
      <c r="D133" s="282" t="s">
        <v>1774</v>
      </c>
      <c r="E133" s="283"/>
      <c r="F133" s="283"/>
      <c r="G133" s="283"/>
      <c r="H133" s="213">
        <f>+'2025 GSD Rate Class E-13c'!K246</f>
        <v>1.75</v>
      </c>
      <c r="I133" s="279"/>
      <c r="J133" s="213">
        <f>+'2025 GSD Rate Class E-13c'!R246</f>
        <v>2.4659945463088522</v>
      </c>
      <c r="K133" s="200"/>
      <c r="L133" s="280">
        <f>+'Unit Cost Rate Design Input'!D80</f>
        <v>2.5099999999999998</v>
      </c>
      <c r="M133" s="279"/>
      <c r="N133" s="281" t="s">
        <v>1775</v>
      </c>
      <c r="O133" s="277"/>
      <c r="P133" s="277" t="s">
        <v>1715</v>
      </c>
      <c r="Q133" s="277"/>
      <c r="R133" s="277"/>
      <c r="S133" s="277"/>
      <c r="T133" s="283"/>
      <c r="U133" s="283"/>
    </row>
    <row r="134" spans="1:21" x14ac:dyDescent="0.2">
      <c r="A134" s="262">
        <v>30</v>
      </c>
      <c r="B134" s="283"/>
      <c r="C134" s="283"/>
      <c r="D134" s="282" t="s">
        <v>1776</v>
      </c>
      <c r="E134" s="277"/>
      <c r="F134" s="277"/>
      <c r="G134" s="277"/>
      <c r="H134" s="213">
        <f>+'2025 GSD Rate Class E-13c'!K249</f>
        <v>1.7</v>
      </c>
      <c r="I134" s="279"/>
      <c r="J134" s="213">
        <f>+'2025 GSD Rate Class E-13c'!R249</f>
        <v>2.3579230721678273</v>
      </c>
      <c r="K134" s="200"/>
      <c r="L134" s="280"/>
      <c r="M134" s="279"/>
      <c r="N134" s="281"/>
      <c r="O134" s="277"/>
      <c r="P134" s="277" t="s">
        <v>1834</v>
      </c>
      <c r="Q134" s="277"/>
      <c r="R134" s="277"/>
      <c r="S134" s="277"/>
      <c r="T134" s="283"/>
      <c r="U134" s="283"/>
    </row>
    <row r="135" spans="1:21" x14ac:dyDescent="0.2">
      <c r="A135" s="262">
        <v>31</v>
      </c>
      <c r="B135" s="283"/>
      <c r="C135" s="283"/>
      <c r="D135" s="282" t="s">
        <v>1777</v>
      </c>
      <c r="E135" s="277"/>
      <c r="F135" s="283"/>
      <c r="G135" s="277"/>
      <c r="H135" s="213">
        <f>+'2025 GSD Rate Class E-13c'!K252</f>
        <v>0.68</v>
      </c>
      <c r="I135" s="279"/>
      <c r="J135" s="213">
        <f>+'2025 GSD Rate Class E-13c'!R252</f>
        <v>0.93334454939976486</v>
      </c>
      <c r="K135" s="283"/>
      <c r="L135" s="280"/>
      <c r="M135" s="279"/>
      <c r="N135" s="281"/>
      <c r="O135" s="277"/>
      <c r="P135" s="277" t="s">
        <v>1834</v>
      </c>
      <c r="Q135" s="277"/>
      <c r="R135" s="277"/>
      <c r="S135" s="277"/>
      <c r="T135" s="283"/>
      <c r="U135" s="283"/>
    </row>
    <row r="136" spans="1:21" x14ac:dyDescent="0.2">
      <c r="A136" s="262">
        <v>32</v>
      </c>
      <c r="B136" s="283"/>
      <c r="C136" s="283"/>
      <c r="D136" s="283"/>
      <c r="E136" s="283"/>
      <c r="F136" s="283"/>
      <c r="G136" s="283"/>
      <c r="H136" s="283"/>
      <c r="I136" s="283"/>
      <c r="J136" s="283"/>
      <c r="K136" s="283"/>
      <c r="L136" s="277"/>
      <c r="M136" s="277"/>
      <c r="N136" s="277"/>
      <c r="O136" s="277"/>
      <c r="P136" s="277"/>
      <c r="Q136" s="277"/>
      <c r="R136" s="277"/>
      <c r="S136" s="277"/>
      <c r="T136" s="283"/>
      <c r="U136" s="283"/>
    </row>
    <row r="137" spans="1:21" x14ac:dyDescent="0.2">
      <c r="A137" s="262">
        <v>33</v>
      </c>
      <c r="B137" s="283"/>
      <c r="C137" s="283"/>
      <c r="D137" s="277" t="s">
        <v>1744</v>
      </c>
      <c r="E137" s="283"/>
      <c r="F137" s="283"/>
      <c r="G137" s="283"/>
      <c r="H137" s="283"/>
      <c r="I137" s="283"/>
      <c r="J137" s="283"/>
      <c r="K137" s="279"/>
      <c r="L137" s="277"/>
      <c r="M137" s="277"/>
      <c r="N137" s="278"/>
      <c r="O137" s="278"/>
      <c r="P137" s="278"/>
      <c r="Q137" s="277"/>
      <c r="R137" s="277"/>
      <c r="S137" s="277"/>
      <c r="T137" s="283"/>
      <c r="U137" s="283"/>
    </row>
    <row r="138" spans="1:21" x14ac:dyDescent="0.2">
      <c r="A138" s="262">
        <v>34</v>
      </c>
      <c r="B138" s="283"/>
      <c r="C138" s="283"/>
      <c r="D138" s="288" t="s">
        <v>1101</v>
      </c>
      <c r="E138" s="283"/>
      <c r="F138" s="283"/>
      <c r="G138" s="283"/>
      <c r="H138" s="283"/>
      <c r="I138" s="283"/>
      <c r="J138" s="283"/>
      <c r="K138" s="203"/>
      <c r="L138" s="277"/>
      <c r="M138" s="277"/>
      <c r="N138" s="278"/>
      <c r="O138" s="278"/>
      <c r="P138" s="278"/>
      <c r="Q138" s="277"/>
      <c r="R138" s="277"/>
      <c r="S138" s="277"/>
      <c r="T138" s="283"/>
      <c r="U138" s="283"/>
    </row>
    <row r="139" spans="1:21" x14ac:dyDescent="0.2">
      <c r="A139" s="262">
        <v>35</v>
      </c>
      <c r="B139" s="283"/>
      <c r="C139" s="283"/>
      <c r="D139" s="282" t="s">
        <v>328</v>
      </c>
      <c r="E139" s="283"/>
      <c r="F139" s="283"/>
      <c r="G139" s="283"/>
      <c r="H139" s="213">
        <f>+'2025 GSD Rate Class E-13c'!K190*1000</f>
        <v>7.36</v>
      </c>
      <c r="I139" s="200"/>
      <c r="J139" s="213">
        <f>+'2025 GSD Rate Class E-13c'!R190*1000</f>
        <v>7.7280000000000006</v>
      </c>
      <c r="K139" s="203"/>
      <c r="L139" s="277"/>
      <c r="M139" s="277"/>
      <c r="N139" s="277"/>
      <c r="O139" s="277"/>
      <c r="P139" s="277" t="s">
        <v>1778</v>
      </c>
      <c r="Q139" s="277"/>
      <c r="R139" s="277"/>
      <c r="S139" s="277"/>
      <c r="T139" s="283"/>
      <c r="U139" s="283"/>
    </row>
    <row r="140" spans="1:21" x14ac:dyDescent="0.2">
      <c r="A140" s="262">
        <v>36</v>
      </c>
      <c r="B140" s="283"/>
      <c r="C140" s="283"/>
      <c r="D140" s="282" t="s">
        <v>344</v>
      </c>
      <c r="E140" s="283"/>
      <c r="F140" s="283"/>
      <c r="G140" s="283"/>
      <c r="H140" s="213">
        <f>+'2025 GSD Rate Class E-13c'!K193*1000</f>
        <v>11.93</v>
      </c>
      <c r="I140" s="200"/>
      <c r="J140" s="213">
        <f>+'2025 GSD Rate Class E-13c'!R193*1000</f>
        <v>12.432</v>
      </c>
      <c r="K140" s="203"/>
      <c r="L140" s="277"/>
      <c r="M140" s="277"/>
      <c r="N140" s="277"/>
      <c r="O140" s="277"/>
      <c r="P140" s="277" t="s">
        <v>1779</v>
      </c>
      <c r="Q140" s="277"/>
      <c r="R140" s="277"/>
      <c r="S140" s="277"/>
      <c r="T140" s="283"/>
      <c r="U140" s="283"/>
    </row>
    <row r="141" spans="1:21" x14ac:dyDescent="0.2">
      <c r="A141" s="262">
        <v>37</v>
      </c>
      <c r="B141" s="283"/>
      <c r="C141" s="283"/>
      <c r="D141" s="282" t="s">
        <v>345</v>
      </c>
      <c r="E141" s="283"/>
      <c r="F141" s="283"/>
      <c r="G141" s="283"/>
      <c r="H141" s="213">
        <f>+'2025 GSD Rate Class E-13c'!K196*1000</f>
        <v>5.71</v>
      </c>
      <c r="I141" s="200"/>
      <c r="J141" s="213">
        <f>+'2025 GSD Rate Class E-13c'!R196*1000</f>
        <v>8.1720000000000006</v>
      </c>
      <c r="K141" s="203"/>
      <c r="L141" s="277"/>
      <c r="M141" s="277"/>
      <c r="N141" s="277"/>
      <c r="O141" s="277"/>
      <c r="P141" s="277" t="s">
        <v>1780</v>
      </c>
      <c r="Q141" s="277"/>
      <c r="R141" s="277"/>
      <c r="S141" s="277"/>
      <c r="T141" s="283"/>
      <c r="U141" s="283"/>
    </row>
    <row r="142" spans="1:21" x14ac:dyDescent="0.2">
      <c r="A142" s="262">
        <v>38</v>
      </c>
      <c r="B142" s="283"/>
      <c r="C142" s="283"/>
      <c r="D142" s="282" t="s">
        <v>1609</v>
      </c>
      <c r="H142" s="213">
        <f>+'2025 GSD Rate Class E-13c'!K199*1000</f>
        <v>0</v>
      </c>
      <c r="J142" s="213">
        <f>+'2025 GSD Rate Class E-13c'!R199*1000</f>
        <v>4.612000000000001</v>
      </c>
      <c r="P142" s="277" t="s">
        <v>1835</v>
      </c>
      <c r="R142" s="277"/>
      <c r="S142" s="277"/>
      <c r="T142" s="283"/>
      <c r="U142" s="283"/>
    </row>
    <row r="143" spans="1:21" s="259" customFormat="1" x14ac:dyDescent="0.2">
      <c r="A143" s="262">
        <v>39</v>
      </c>
      <c r="B143" s="283"/>
      <c r="C143" s="283"/>
      <c r="D143" s="288" t="s">
        <v>1102</v>
      </c>
      <c r="E143" s="283"/>
      <c r="F143" s="283"/>
      <c r="G143" s="283"/>
      <c r="H143" s="213">
        <f>+'2025 GSD Rate Class E-13c'!K205*1000</f>
        <v>8.57</v>
      </c>
      <c r="I143" s="200"/>
      <c r="J143" s="213">
        <f>+'2025 GSD Rate Class E-13c'!R205*1000</f>
        <v>8.9984999999999999</v>
      </c>
      <c r="K143" s="277"/>
      <c r="L143" s="301"/>
      <c r="M143" s="301"/>
      <c r="N143" s="281"/>
      <c r="O143" s="277"/>
      <c r="P143" s="277" t="s">
        <v>1745</v>
      </c>
      <c r="Q143" s="277"/>
      <c r="R143" s="277"/>
      <c r="S143" s="277"/>
      <c r="T143" s="283"/>
      <c r="U143" s="283"/>
    </row>
    <row r="144" spans="1:21" s="259" customFormat="1" x14ac:dyDescent="0.2">
      <c r="A144" s="262">
        <v>40</v>
      </c>
      <c r="B144" s="283"/>
      <c r="C144" s="283"/>
      <c r="D144" s="288" t="s">
        <v>1781</v>
      </c>
      <c r="E144" s="283"/>
      <c r="F144" s="283"/>
      <c r="G144" s="283"/>
      <c r="H144" s="283"/>
      <c r="I144" s="283"/>
      <c r="J144" s="283"/>
      <c r="K144" s="279"/>
      <c r="L144" s="283"/>
      <c r="M144" s="283"/>
      <c r="N144" s="290"/>
      <c r="O144" s="290"/>
      <c r="P144" s="290"/>
      <c r="Q144" s="283"/>
      <c r="R144" s="283"/>
      <c r="S144" s="277"/>
      <c r="T144" s="283"/>
      <c r="U144" s="283"/>
    </row>
    <row r="145" spans="1:21" s="259" customFormat="1" x14ac:dyDescent="0.2">
      <c r="A145" s="262">
        <v>41</v>
      </c>
      <c r="B145" s="283"/>
      <c r="C145" s="283"/>
      <c r="D145" s="282" t="s">
        <v>1782</v>
      </c>
      <c r="E145" s="283"/>
      <c r="F145" s="283"/>
      <c r="G145" s="283"/>
      <c r="H145" s="213">
        <f>+'2025 GSD Rate Class E-13c'!K344</f>
        <v>0.68</v>
      </c>
      <c r="I145" s="279"/>
      <c r="J145" s="213">
        <f>+'2025 GSD Rate Class E-13c'!R344</f>
        <v>1.02</v>
      </c>
      <c r="K145" s="279"/>
      <c r="L145" s="280">
        <f>+'Unit Cost Rate Design Input'!D109</f>
        <v>1.02</v>
      </c>
      <c r="M145" s="279"/>
      <c r="N145" s="281" t="s">
        <v>1758</v>
      </c>
      <c r="O145" s="283"/>
      <c r="P145" s="277" t="s">
        <v>1800</v>
      </c>
      <c r="Q145" s="283"/>
      <c r="R145" s="283"/>
      <c r="S145" s="277"/>
      <c r="T145" s="283"/>
      <c r="U145" s="283"/>
    </row>
    <row r="146" spans="1:21" s="259" customFormat="1" x14ac:dyDescent="0.2">
      <c r="A146" s="262">
        <v>42</v>
      </c>
      <c r="B146" s="283"/>
      <c r="C146" s="283"/>
      <c r="D146" s="283"/>
      <c r="E146" s="283"/>
      <c r="F146" s="283"/>
      <c r="G146" s="283"/>
      <c r="H146" s="283"/>
      <c r="I146" s="283"/>
      <c r="J146" s="283"/>
      <c r="K146" s="277"/>
      <c r="L146" s="283"/>
      <c r="M146" s="283"/>
      <c r="N146" s="290"/>
      <c r="O146" s="290"/>
      <c r="P146" s="290"/>
      <c r="Q146" s="283"/>
      <c r="R146" s="283"/>
      <c r="S146" s="277"/>
      <c r="T146" s="283"/>
      <c r="U146" s="283"/>
    </row>
    <row r="147" spans="1:21" s="259" customFormat="1" x14ac:dyDescent="0.2">
      <c r="A147" s="262">
        <v>43</v>
      </c>
      <c r="B147" s="277"/>
      <c r="C147" s="277"/>
      <c r="D147" s="277" t="s">
        <v>1749</v>
      </c>
      <c r="E147" s="283"/>
      <c r="F147" s="283"/>
      <c r="G147" s="283"/>
      <c r="H147" s="283"/>
      <c r="I147" s="283"/>
      <c r="J147" s="283"/>
      <c r="K147" s="126"/>
      <c r="L147" s="283"/>
      <c r="M147" s="283"/>
      <c r="N147" s="290"/>
      <c r="O147" s="278"/>
      <c r="P147" s="278"/>
      <c r="Q147" s="277"/>
      <c r="R147" s="277"/>
      <c r="S147" s="277"/>
      <c r="T147" s="283"/>
      <c r="U147" s="283"/>
    </row>
    <row r="148" spans="1:21" s="259" customFormat="1" x14ac:dyDescent="0.2">
      <c r="A148" s="262">
        <v>44</v>
      </c>
      <c r="B148" s="277"/>
      <c r="C148" s="277"/>
      <c r="D148" s="284" t="s">
        <v>1737</v>
      </c>
      <c r="E148" s="283"/>
      <c r="F148" s="283"/>
      <c r="G148" s="283"/>
      <c r="H148" s="126">
        <v>-0.01</v>
      </c>
      <c r="I148" s="126"/>
      <c r="J148" s="126">
        <v>-0.01</v>
      </c>
      <c r="K148" s="126"/>
      <c r="L148" s="281" t="s">
        <v>1750</v>
      </c>
      <c r="M148" s="277"/>
      <c r="N148" s="278"/>
      <c r="O148" s="278"/>
      <c r="P148" s="277" t="s">
        <v>1783</v>
      </c>
      <c r="Q148" s="277"/>
      <c r="R148" s="277"/>
      <c r="S148" s="277"/>
      <c r="T148" s="283"/>
      <c r="U148" s="283"/>
    </row>
    <row r="149" spans="1:21" s="259" customFormat="1" x14ac:dyDescent="0.2">
      <c r="A149" s="262">
        <v>45</v>
      </c>
      <c r="B149" s="277"/>
      <c r="C149" s="277"/>
      <c r="D149" s="284" t="s">
        <v>1738</v>
      </c>
      <c r="E149" s="283"/>
      <c r="F149" s="283"/>
      <c r="G149" s="283"/>
      <c r="H149" s="126">
        <v>-0.02</v>
      </c>
      <c r="I149" s="126"/>
      <c r="J149" s="126">
        <v>-0.02</v>
      </c>
      <c r="K149" s="277"/>
      <c r="L149" s="281" t="s">
        <v>1750</v>
      </c>
      <c r="M149" s="277"/>
      <c r="N149" s="278"/>
      <c r="O149" s="278"/>
      <c r="P149" s="277" t="s">
        <v>1783</v>
      </c>
      <c r="Q149" s="277"/>
      <c r="R149" s="277"/>
      <c r="S149" s="277"/>
      <c r="T149" s="283"/>
      <c r="U149" s="283"/>
    </row>
    <row r="150" spans="1:21" s="259" customFormat="1" ht="13.5" thickBot="1" x14ac:dyDescent="0.25">
      <c r="A150" s="257" t="s">
        <v>1699</v>
      </c>
      <c r="B150" s="295"/>
      <c r="C150" s="296"/>
      <c r="D150" s="296"/>
      <c r="E150" s="296"/>
      <c r="F150" s="295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 t="s">
        <v>1784</v>
      </c>
    </row>
    <row r="151" spans="1:21" s="259" customFormat="1" x14ac:dyDescent="0.2">
      <c r="B151" s="277"/>
      <c r="C151" s="277"/>
      <c r="D151" s="277"/>
      <c r="E151" s="277"/>
      <c r="F151" s="277"/>
      <c r="G151" s="277"/>
      <c r="H151" s="277"/>
      <c r="I151" s="277"/>
      <c r="J151" s="277"/>
      <c r="K151" s="277"/>
      <c r="L151" s="277"/>
      <c r="M151" s="277"/>
      <c r="N151" s="277"/>
      <c r="O151" s="277"/>
      <c r="P151" s="277"/>
      <c r="Q151" s="277"/>
      <c r="R151" s="277"/>
      <c r="S151" s="277"/>
      <c r="T151" s="277"/>
      <c r="U151" s="277"/>
    </row>
    <row r="152" spans="1:21" s="259" customFormat="1" x14ac:dyDescent="0.2">
      <c r="B152" s="599" t="s">
        <v>987</v>
      </c>
      <c r="C152" s="599"/>
      <c r="D152" s="277"/>
      <c r="E152" s="277"/>
      <c r="F152" s="283"/>
      <c r="G152" s="283"/>
      <c r="H152" s="281" t="s">
        <v>1702</v>
      </c>
      <c r="I152" s="281"/>
      <c r="J152" s="281" t="s">
        <v>984</v>
      </c>
      <c r="K152" s="281"/>
      <c r="L152" s="281" t="s">
        <v>1703</v>
      </c>
      <c r="M152" s="281"/>
      <c r="N152" s="281"/>
      <c r="O152" s="277"/>
      <c r="P152" s="277"/>
      <c r="Q152" s="277"/>
      <c r="R152" s="277"/>
      <c r="S152" s="277"/>
      <c r="T152" s="277"/>
      <c r="U152" s="277"/>
    </row>
    <row r="153" spans="1:21" s="259" customFormat="1" x14ac:dyDescent="0.2">
      <c r="A153" s="263" t="s">
        <v>1704</v>
      </c>
      <c r="B153" s="598" t="s">
        <v>1705</v>
      </c>
      <c r="C153" s="598"/>
      <c r="D153" s="598" t="s">
        <v>1706</v>
      </c>
      <c r="E153" s="598"/>
      <c r="F153" s="598"/>
      <c r="G153" s="283"/>
      <c r="H153" s="297" t="s">
        <v>987</v>
      </c>
      <c r="I153" s="281"/>
      <c r="J153" s="297" t="s">
        <v>987</v>
      </c>
      <c r="K153" s="281"/>
      <c r="L153" s="297" t="s">
        <v>1707</v>
      </c>
      <c r="M153" s="281"/>
      <c r="N153" s="297" t="s">
        <v>1708</v>
      </c>
      <c r="O153" s="283"/>
      <c r="P153" s="598" t="s">
        <v>1709</v>
      </c>
      <c r="Q153" s="598"/>
      <c r="R153" s="598"/>
      <c r="S153" s="598"/>
      <c r="T153" s="598"/>
      <c r="U153" s="277"/>
    </row>
    <row r="154" spans="1:21" s="259" customFormat="1" x14ac:dyDescent="0.2">
      <c r="A154" s="262">
        <v>1</v>
      </c>
      <c r="B154" s="288"/>
      <c r="C154" s="283"/>
      <c r="D154" s="283"/>
      <c r="E154" s="283"/>
      <c r="F154" s="283"/>
      <c r="G154" s="283"/>
      <c r="H154" s="283"/>
      <c r="I154" s="283"/>
      <c r="J154" s="283"/>
      <c r="K154" s="283"/>
      <c r="L154" s="283"/>
      <c r="M154" s="283"/>
      <c r="N154" s="283"/>
      <c r="O154" s="283"/>
      <c r="P154" s="283"/>
      <c r="Q154" s="283"/>
      <c r="R154" s="283"/>
      <c r="S154" s="283"/>
      <c r="T154" s="283"/>
      <c r="U154" s="283"/>
    </row>
    <row r="155" spans="1:21" s="259" customFormat="1" x14ac:dyDescent="0.2">
      <c r="A155" s="262">
        <v>2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</row>
    <row r="156" spans="1:21" s="259" customFormat="1" x14ac:dyDescent="0.2">
      <c r="A156" s="262">
        <v>3</v>
      </c>
      <c r="B156" s="277" t="s">
        <v>1785</v>
      </c>
      <c r="C156" s="283"/>
      <c r="D156" s="283"/>
      <c r="E156" s="283"/>
      <c r="F156" s="283"/>
      <c r="G156" s="283"/>
      <c r="H156" s="283"/>
      <c r="I156" s="283"/>
      <c r="J156" s="283"/>
      <c r="K156" s="283"/>
      <c r="L156" s="283"/>
      <c r="M156" s="283"/>
      <c r="N156" s="283"/>
      <c r="O156" s="283"/>
      <c r="P156" s="283"/>
      <c r="Q156" s="283"/>
      <c r="R156" s="277"/>
      <c r="S156" s="283"/>
      <c r="T156" s="283"/>
      <c r="U156" s="283"/>
    </row>
    <row r="157" spans="1:21" s="259" customFormat="1" x14ac:dyDescent="0.2">
      <c r="A157" s="262">
        <v>4</v>
      </c>
      <c r="B157" s="283"/>
      <c r="C157" s="283"/>
      <c r="D157" s="283"/>
      <c r="E157" s="283"/>
      <c r="F157" s="283"/>
      <c r="G157" s="283"/>
      <c r="H157" s="283"/>
      <c r="I157" s="283"/>
      <c r="J157" s="283"/>
      <c r="K157" s="283"/>
      <c r="L157" s="283"/>
      <c r="M157" s="283"/>
      <c r="N157" s="283"/>
      <c r="O157" s="283"/>
      <c r="P157" s="283"/>
      <c r="Q157" s="277"/>
      <c r="R157" s="277"/>
      <c r="S157" s="283"/>
      <c r="T157" s="283"/>
      <c r="U157" s="283"/>
    </row>
    <row r="158" spans="1:21" s="259" customFormat="1" x14ac:dyDescent="0.2">
      <c r="A158" s="262">
        <v>5</v>
      </c>
      <c r="B158" s="277"/>
      <c r="C158" s="277"/>
      <c r="D158" s="277" t="s">
        <v>841</v>
      </c>
      <c r="E158" s="277"/>
      <c r="F158" s="277"/>
      <c r="G158" s="277"/>
      <c r="H158" s="277"/>
      <c r="I158" s="277"/>
      <c r="J158" s="277"/>
      <c r="K158" s="277"/>
      <c r="L158" s="277"/>
      <c r="M158" s="277"/>
      <c r="N158" s="278"/>
      <c r="O158" s="278"/>
      <c r="P158" s="278"/>
      <c r="Q158" s="277"/>
      <c r="R158" s="277"/>
      <c r="S158" s="277"/>
      <c r="T158" s="283"/>
      <c r="U158" s="283"/>
    </row>
    <row r="159" spans="1:21" s="259" customFormat="1" x14ac:dyDescent="0.2">
      <c r="A159" s="262">
        <v>6</v>
      </c>
      <c r="B159" s="283"/>
      <c r="C159" s="283"/>
      <c r="D159" s="282" t="s">
        <v>1768</v>
      </c>
      <c r="E159" s="277"/>
      <c r="F159" s="277"/>
      <c r="G159" s="277"/>
      <c r="H159" s="283"/>
      <c r="I159" s="283"/>
      <c r="J159" s="277"/>
      <c r="K159" s="277"/>
      <c r="L159" s="277"/>
      <c r="M159" s="277"/>
      <c r="N159" s="278"/>
      <c r="O159" s="278"/>
      <c r="P159" s="278"/>
      <c r="Q159" s="277"/>
      <c r="R159" s="277"/>
      <c r="S159" s="277"/>
      <c r="T159" s="283"/>
      <c r="U159" s="283"/>
    </row>
    <row r="160" spans="1:21" s="259" customFormat="1" x14ac:dyDescent="0.2">
      <c r="A160" s="262">
        <v>7</v>
      </c>
      <c r="B160" s="283"/>
      <c r="C160" s="283"/>
      <c r="D160" s="284" t="s">
        <v>1737</v>
      </c>
      <c r="E160" s="277"/>
      <c r="F160" s="277"/>
      <c r="G160" s="277"/>
      <c r="H160" s="213">
        <f>+'2025 GSD Rate Class E-13c'!K307</f>
        <v>-0.49</v>
      </c>
      <c r="I160" s="279"/>
      <c r="J160" s="213">
        <f>+'2025 GSD Rate Class E-13c'!R307</f>
        <v>-0.54</v>
      </c>
      <c r="K160" s="279"/>
      <c r="L160" s="302">
        <f>+'Unit Cost Rate Design Input'!D101</f>
        <v>-0.54</v>
      </c>
      <c r="M160" s="279"/>
      <c r="N160" s="281" t="s">
        <v>1754</v>
      </c>
      <c r="O160" s="277"/>
      <c r="P160" s="277" t="s">
        <v>1755</v>
      </c>
      <c r="Q160" s="277"/>
      <c r="R160" s="277"/>
      <c r="S160" s="277"/>
      <c r="T160" s="283"/>
      <c r="U160" s="283"/>
    </row>
    <row r="161" spans="1:21" s="259" customFormat="1" x14ac:dyDescent="0.2">
      <c r="A161" s="262">
        <v>8</v>
      </c>
      <c r="B161" s="283"/>
      <c r="C161" s="283"/>
      <c r="D161" s="284" t="s">
        <v>1738</v>
      </c>
      <c r="E161" s="277"/>
      <c r="F161" s="277"/>
      <c r="G161" s="277"/>
      <c r="H161" s="213">
        <f>+'2025 GSD Rate Class E-13c'!K308</f>
        <v>-2.06</v>
      </c>
      <c r="I161" s="279"/>
      <c r="J161" s="213">
        <f>+'2025 GSD Rate Class E-13c'!R308</f>
        <v>-3.09</v>
      </c>
      <c r="K161" s="279"/>
      <c r="L161" s="302">
        <f>+'Unit Cost Rate Design Input'!D102</f>
        <v>-3.09</v>
      </c>
      <c r="M161" s="279"/>
      <c r="N161" s="281" t="s">
        <v>1754</v>
      </c>
      <c r="O161" s="277"/>
      <c r="P161" s="277" t="s">
        <v>1755</v>
      </c>
      <c r="Q161" s="277"/>
      <c r="R161" s="277"/>
      <c r="S161" s="277"/>
      <c r="T161" s="283"/>
      <c r="U161" s="283"/>
    </row>
    <row r="162" spans="1:21" s="259" customFormat="1" x14ac:dyDescent="0.2">
      <c r="A162" s="262">
        <v>9</v>
      </c>
      <c r="B162" s="283"/>
      <c r="C162" s="283"/>
      <c r="D162" s="287" t="s">
        <v>1102</v>
      </c>
      <c r="E162" s="277"/>
      <c r="F162" s="277"/>
      <c r="G162" s="277"/>
      <c r="H162" s="277"/>
      <c r="I162" s="277"/>
      <c r="J162" s="277"/>
      <c r="K162" s="277"/>
      <c r="L162" s="277"/>
      <c r="M162" s="277"/>
      <c r="N162" s="277"/>
      <c r="O162" s="277"/>
      <c r="P162" s="277"/>
      <c r="Q162" s="277"/>
      <c r="R162" s="277"/>
      <c r="S162" s="277"/>
      <c r="T162" s="283"/>
      <c r="U162" s="283"/>
    </row>
    <row r="163" spans="1:21" s="259" customFormat="1" x14ac:dyDescent="0.2">
      <c r="A163" s="262">
        <v>10</v>
      </c>
      <c r="B163" s="283"/>
      <c r="C163" s="283"/>
      <c r="D163" s="284" t="s">
        <v>1737</v>
      </c>
      <c r="E163" s="277"/>
      <c r="F163" s="277"/>
      <c r="G163" s="277"/>
      <c r="H163" s="213">
        <f>+'2025 GSD Rate Class E-13c'!K313</f>
        <v>-1.3</v>
      </c>
      <c r="I163" s="279"/>
      <c r="J163" s="213">
        <f>+'2025 GSD Rate Class E-13c'!R313</f>
        <v>-2.06</v>
      </c>
      <c r="K163" s="279"/>
      <c r="L163" s="302">
        <f>+'Unit Cost Rate Design Input'!D105</f>
        <v>-2.06</v>
      </c>
      <c r="M163" s="279"/>
      <c r="N163" s="281" t="s">
        <v>1754</v>
      </c>
      <c r="O163" s="277"/>
      <c r="P163" s="277" t="s">
        <v>1755</v>
      </c>
      <c r="Q163" s="277"/>
      <c r="R163" s="277"/>
      <c r="S163" s="277"/>
      <c r="T163" s="283"/>
      <c r="U163" s="283"/>
    </row>
    <row r="164" spans="1:21" s="259" customFormat="1" x14ac:dyDescent="0.2">
      <c r="A164" s="262">
        <v>11</v>
      </c>
      <c r="B164" s="283"/>
      <c r="C164" s="283"/>
      <c r="D164" s="284" t="s">
        <v>1738</v>
      </c>
      <c r="E164" s="277"/>
      <c r="F164" s="277"/>
      <c r="G164" s="277"/>
      <c r="H164" s="213">
        <f>+'2025 GSD Rate Class E-13c'!K314</f>
        <v>-1.71</v>
      </c>
      <c r="I164" s="279"/>
      <c r="J164" s="213">
        <f>+'2025 GSD Rate Class E-13c'!R314</f>
        <v>-2.5099999999999998</v>
      </c>
      <c r="K164" s="279"/>
      <c r="L164" s="302">
        <f>+'Unit Cost Rate Design Input'!D106</f>
        <v>-2.5099999999999998</v>
      </c>
      <c r="M164" s="279"/>
      <c r="N164" s="281" t="s">
        <v>1754</v>
      </c>
      <c r="O164" s="277"/>
      <c r="P164" s="277" t="s">
        <v>1755</v>
      </c>
      <c r="Q164" s="277"/>
      <c r="R164" s="277"/>
      <c r="S164" s="277"/>
      <c r="T164" s="283"/>
      <c r="U164" s="283"/>
    </row>
    <row r="165" spans="1:21" s="259" customFormat="1" x14ac:dyDescent="0.2">
      <c r="A165" s="262">
        <v>12</v>
      </c>
      <c r="B165" s="283"/>
      <c r="C165" s="283"/>
      <c r="D165" s="283"/>
      <c r="E165" s="277"/>
      <c r="F165" s="277"/>
      <c r="G165" s="277"/>
      <c r="H165" s="277"/>
      <c r="I165" s="277"/>
      <c r="J165" s="277"/>
      <c r="K165" s="277"/>
      <c r="L165" s="277"/>
      <c r="M165" s="277"/>
      <c r="N165" s="277"/>
      <c r="O165" s="277"/>
      <c r="P165" s="277"/>
      <c r="Q165" s="277"/>
      <c r="R165" s="277"/>
      <c r="S165" s="277"/>
      <c r="T165" s="283"/>
      <c r="U165" s="283"/>
    </row>
    <row r="166" spans="1:21" s="259" customFormat="1" x14ac:dyDescent="0.2">
      <c r="A166" s="262">
        <v>13</v>
      </c>
      <c r="B166" s="283"/>
      <c r="C166" s="277"/>
      <c r="D166" s="277" t="s">
        <v>1760</v>
      </c>
      <c r="E166" s="277"/>
      <c r="F166" s="277"/>
      <c r="G166" s="277"/>
      <c r="H166" s="277"/>
      <c r="I166" s="277"/>
      <c r="J166" s="277"/>
      <c r="K166" s="277"/>
      <c r="L166" s="277"/>
      <c r="M166" s="277"/>
      <c r="N166" s="278"/>
      <c r="O166" s="278"/>
      <c r="P166" s="278"/>
      <c r="Q166" s="277"/>
      <c r="R166" s="283"/>
      <c r="S166" s="277"/>
      <c r="T166" s="283"/>
      <c r="U166" s="283"/>
    </row>
    <row r="167" spans="1:21" s="259" customFormat="1" x14ac:dyDescent="0.2">
      <c r="A167" s="262">
        <v>14</v>
      </c>
      <c r="B167" s="277"/>
      <c r="C167" s="277"/>
      <c r="D167" s="282" t="s">
        <v>1761</v>
      </c>
      <c r="E167" s="283"/>
      <c r="F167" s="283"/>
      <c r="G167" s="283"/>
      <c r="H167" s="213">
        <f>+'2025 GSD Rate Class E-13c'!K290*1000</f>
        <v>2.0300000000000002</v>
      </c>
      <c r="I167" s="277"/>
      <c r="J167" s="213">
        <f>+'2025 GSD Rate Class E-13c'!R290*1000</f>
        <v>2.0300000000000002</v>
      </c>
      <c r="K167" s="277"/>
      <c r="L167" s="277"/>
      <c r="M167" s="277"/>
      <c r="N167" s="278"/>
      <c r="O167" s="278"/>
      <c r="P167" s="277" t="s">
        <v>1722</v>
      </c>
      <c r="Q167" s="283"/>
      <c r="R167" s="277"/>
      <c r="S167" s="277"/>
      <c r="T167" s="283"/>
      <c r="U167" s="283"/>
    </row>
    <row r="168" spans="1:21" s="259" customFormat="1" x14ac:dyDescent="0.2">
      <c r="A168" s="262">
        <v>15</v>
      </c>
      <c r="B168" s="277"/>
      <c r="C168" s="277"/>
      <c r="D168" s="282" t="s">
        <v>1762</v>
      </c>
      <c r="E168" s="283"/>
      <c r="F168" s="283"/>
      <c r="G168" s="283"/>
      <c r="H168" s="213">
        <f>+'2025 GSD Rate Class E-13c'!K298*1000</f>
        <v>-1.02</v>
      </c>
      <c r="I168" s="277"/>
      <c r="J168" s="213">
        <f>+'2025 GSD Rate Class E-13c'!R298*1000</f>
        <v>-1.02</v>
      </c>
      <c r="K168" s="277"/>
      <c r="L168" s="277"/>
      <c r="M168" s="277"/>
      <c r="N168" s="278"/>
      <c r="O168" s="278"/>
      <c r="P168" s="277" t="s">
        <v>1722</v>
      </c>
      <c r="Q168" s="277"/>
      <c r="R168" s="277"/>
      <c r="S168" s="277"/>
      <c r="T168" s="283"/>
      <c r="U168" s="283"/>
    </row>
    <row r="169" spans="1:21" s="259" customFormat="1" x14ac:dyDescent="0.2">
      <c r="A169" s="262">
        <v>16</v>
      </c>
      <c r="B169" s="283"/>
      <c r="C169" s="277"/>
      <c r="D169" s="283"/>
      <c r="E169" s="277"/>
      <c r="F169" s="277"/>
      <c r="G169" s="277"/>
      <c r="H169" s="277"/>
      <c r="I169" s="277"/>
      <c r="J169" s="213"/>
      <c r="K169" s="277"/>
      <c r="L169" s="277"/>
      <c r="M169" s="277"/>
      <c r="N169" s="285"/>
      <c r="O169" s="278"/>
      <c r="P169" s="278"/>
      <c r="Q169" s="277"/>
      <c r="R169" s="277"/>
      <c r="S169" s="277"/>
      <c r="T169" s="283"/>
      <c r="U169" s="283"/>
    </row>
    <row r="170" spans="1:21" s="259" customFormat="1" x14ac:dyDescent="0.2">
      <c r="A170" s="262">
        <v>17</v>
      </c>
      <c r="B170" s="277" t="s">
        <v>864</v>
      </c>
      <c r="C170" s="283"/>
      <c r="D170" s="283"/>
      <c r="E170" s="283"/>
      <c r="F170" s="283"/>
      <c r="G170" s="283"/>
      <c r="H170" s="283"/>
      <c r="I170" s="283"/>
      <c r="J170" s="283"/>
      <c r="K170" s="283"/>
      <c r="L170" s="283"/>
      <c r="M170" s="283"/>
      <c r="N170" s="283"/>
      <c r="O170" s="283"/>
      <c r="P170" s="283"/>
      <c r="Q170" s="283"/>
      <c r="R170" s="283"/>
      <c r="S170" s="283"/>
      <c r="T170" s="283"/>
      <c r="U170" s="283"/>
    </row>
    <row r="171" spans="1:21" s="259" customFormat="1" x14ac:dyDescent="0.2">
      <c r="A171" s="262">
        <v>18</v>
      </c>
      <c r="B171" s="283"/>
      <c r="C171" s="283"/>
      <c r="D171" s="283"/>
      <c r="E171" s="283"/>
      <c r="F171" s="283"/>
      <c r="G171" s="283"/>
      <c r="H171" s="283"/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</row>
    <row r="172" spans="1:21" s="259" customFormat="1" x14ac:dyDescent="0.2">
      <c r="A172" s="262">
        <v>19</v>
      </c>
      <c r="B172" s="283"/>
      <c r="C172" s="283"/>
      <c r="D172" s="288" t="s">
        <v>1823</v>
      </c>
      <c r="E172" s="283"/>
      <c r="F172" s="283"/>
      <c r="G172" s="28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</row>
    <row r="173" spans="1:21" s="259" customFormat="1" x14ac:dyDescent="0.2">
      <c r="A173" s="262">
        <v>20</v>
      </c>
      <c r="B173" s="283"/>
      <c r="C173" s="283"/>
      <c r="D173" s="277" t="s">
        <v>328</v>
      </c>
      <c r="E173" s="283"/>
      <c r="F173" s="283"/>
      <c r="G173" s="283"/>
      <c r="H173" s="279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</row>
    <row r="174" spans="1:21" s="259" customFormat="1" x14ac:dyDescent="0.2">
      <c r="A174" s="262">
        <v>21</v>
      </c>
      <c r="B174" s="283"/>
      <c r="C174" s="283"/>
      <c r="D174" s="281" t="s">
        <v>1737</v>
      </c>
      <c r="E174" s="283"/>
      <c r="F174" s="283"/>
      <c r="G174" s="283"/>
      <c r="H174" s="213">
        <f>+'2025 GSLDPR Rate Class E-13c'!J18</f>
        <v>19.52</v>
      </c>
      <c r="I174" s="283"/>
      <c r="J174" s="213">
        <f>+'2025 GSLDPR Rate Class E-13c'!Q18</f>
        <v>21.42</v>
      </c>
      <c r="K174" s="279">
        <v>711.3</v>
      </c>
      <c r="L174" s="280">
        <f>+'Unit Cost Rate Design Input'!D117</f>
        <v>21.42</v>
      </c>
      <c r="M174" s="283"/>
      <c r="N174" s="281" t="s">
        <v>1786</v>
      </c>
      <c r="O174" s="283"/>
      <c r="P174" s="277" t="s">
        <v>1755</v>
      </c>
      <c r="Q174" s="277"/>
      <c r="R174" s="277"/>
      <c r="S174" s="277"/>
      <c r="T174" s="283"/>
      <c r="U174" s="283"/>
    </row>
    <row r="175" spans="1:21" s="259" customFormat="1" x14ac:dyDescent="0.2">
      <c r="A175" s="262">
        <v>22</v>
      </c>
      <c r="B175" s="283"/>
      <c r="C175" s="283"/>
      <c r="D175" s="281" t="s">
        <v>341</v>
      </c>
      <c r="E175" s="283"/>
      <c r="F175" s="283"/>
      <c r="G175" s="283"/>
      <c r="H175" s="213">
        <f>+'2025 GSLDPR Rate Class E-13c'!J19</f>
        <v>19.52</v>
      </c>
      <c r="I175" s="283"/>
      <c r="J175" s="213">
        <f>+'2025 GSLDPR Rate Class E-13c'!Q19</f>
        <v>21.42</v>
      </c>
      <c r="K175" s="279">
        <v>711.3</v>
      </c>
      <c r="L175" s="280">
        <f>+'Unit Cost Rate Design Input'!D118</f>
        <v>21.42</v>
      </c>
      <c r="M175" s="283"/>
      <c r="N175" s="281" t="s">
        <v>1786</v>
      </c>
      <c r="O175" s="283"/>
      <c r="P175" s="277" t="s">
        <v>1755</v>
      </c>
      <c r="Q175" s="277"/>
      <c r="R175" s="283"/>
      <c r="S175" s="283"/>
      <c r="T175" s="283"/>
      <c r="U175" s="283"/>
    </row>
    <row r="176" spans="1:21" s="259" customFormat="1" x14ac:dyDescent="0.2">
      <c r="A176" s="262">
        <v>23</v>
      </c>
      <c r="B176" s="277"/>
      <c r="C176" s="277"/>
      <c r="D176" s="284"/>
      <c r="E176" s="283"/>
      <c r="F176" s="283"/>
      <c r="G176" s="283"/>
      <c r="H176" s="126"/>
      <c r="I176" s="203"/>
      <c r="J176" s="126"/>
      <c r="K176" s="303"/>
      <c r="L176" s="277"/>
      <c r="M176" s="277"/>
      <c r="N176" s="277"/>
      <c r="O176" s="277"/>
      <c r="P176" s="277"/>
      <c r="Q176" s="283"/>
      <c r="R176" s="283"/>
      <c r="S176" s="283"/>
      <c r="T176" s="283"/>
      <c r="U176" s="283"/>
    </row>
    <row r="177" spans="1:21" s="259" customFormat="1" x14ac:dyDescent="0.2">
      <c r="A177" s="262">
        <v>24</v>
      </c>
      <c r="B177" s="277"/>
      <c r="C177" s="277"/>
      <c r="D177" s="277" t="s">
        <v>1739</v>
      </c>
      <c r="E177" s="283"/>
      <c r="F177" s="283"/>
      <c r="G177" s="283"/>
      <c r="H177" s="126"/>
      <c r="I177" s="277"/>
      <c r="J177" s="126"/>
      <c r="K177" s="277"/>
      <c r="L177" s="277"/>
      <c r="M177" s="277"/>
      <c r="N177" s="277"/>
      <c r="O177" s="277"/>
      <c r="P177" s="277"/>
      <c r="Q177" s="283"/>
      <c r="R177" s="283"/>
      <c r="S177" s="283"/>
      <c r="T177" s="283"/>
      <c r="U177" s="283"/>
    </row>
    <row r="178" spans="1:21" s="259" customFormat="1" x14ac:dyDescent="0.2">
      <c r="A178" s="262">
        <v>25</v>
      </c>
      <c r="B178" s="277"/>
      <c r="C178" s="277"/>
      <c r="D178" s="281" t="s">
        <v>328</v>
      </c>
      <c r="E178" s="277"/>
      <c r="F178" s="277"/>
      <c r="G178" s="277"/>
      <c r="H178" s="213">
        <f>+'2025 GSLDPR Rate Class E-13c'!J30</f>
        <v>11.88</v>
      </c>
      <c r="I178" s="203"/>
      <c r="J178" s="213">
        <f>+'2025 GSLDPR Rate Class E-13c'!Q30</f>
        <v>12.998543718400001</v>
      </c>
      <c r="K178" s="279">
        <v>4.07</v>
      </c>
      <c r="L178" s="280">
        <f>+'Unit Cost Rate Design Input'!D119</f>
        <v>15.68</v>
      </c>
      <c r="M178" s="277"/>
      <c r="N178" s="287"/>
      <c r="O178" s="277"/>
      <c r="P178" s="277" t="s">
        <v>1790</v>
      </c>
      <c r="Q178" s="283"/>
      <c r="R178" s="283"/>
      <c r="S178" s="283"/>
      <c r="T178" s="283"/>
      <c r="U178" s="283"/>
    </row>
    <row r="179" spans="1:21" s="259" customFormat="1" x14ac:dyDescent="0.2">
      <c r="A179" s="262">
        <v>26</v>
      </c>
      <c r="B179" s="277"/>
      <c r="C179" s="277"/>
      <c r="D179" s="281" t="s">
        <v>1787</v>
      </c>
      <c r="E179" s="277"/>
      <c r="F179" s="277"/>
      <c r="G179" s="277"/>
      <c r="H179" s="213">
        <f>+'2025 GSLDPR Rate Class E-13c'!J31</f>
        <v>3.77</v>
      </c>
      <c r="I179" s="67"/>
      <c r="J179" s="213">
        <f>+'2025 GSLDPR Rate Class E-13c'!Q31</f>
        <v>2.9252046763999999</v>
      </c>
      <c r="K179" s="200">
        <v>4.79</v>
      </c>
      <c r="L179" s="280">
        <f>+'Unit Cost Rate Design Input'!D120</f>
        <v>3.53</v>
      </c>
      <c r="M179" s="277"/>
      <c r="N179" s="287"/>
      <c r="O179" s="277"/>
      <c r="P179" s="277" t="s">
        <v>1741</v>
      </c>
      <c r="Q179" s="283"/>
      <c r="R179" s="283"/>
      <c r="S179" s="283"/>
      <c r="T179" s="283"/>
      <c r="U179" s="283"/>
    </row>
    <row r="180" spans="1:21" s="259" customFormat="1" x14ac:dyDescent="0.2">
      <c r="A180" s="262">
        <v>27</v>
      </c>
      <c r="B180" s="283"/>
      <c r="C180" s="283"/>
      <c r="D180" s="281" t="s">
        <v>1788</v>
      </c>
      <c r="E180" s="277"/>
      <c r="F180" s="277"/>
      <c r="G180" s="277"/>
      <c r="H180" s="213">
        <f>+'2025 GSLDPR Rate Class E-13c'!J32</f>
        <v>8.08</v>
      </c>
      <c r="I180" s="287"/>
      <c r="J180" s="213">
        <f>+'2025 GSLDPR Rate Class E-13c'!Q32</f>
        <v>10.068339042</v>
      </c>
      <c r="K180" s="201">
        <v>9.81</v>
      </c>
      <c r="L180" s="280">
        <f>+'Unit Cost Rate Design Input'!D121</f>
        <v>12.15</v>
      </c>
      <c r="M180" s="277"/>
      <c r="N180" s="287"/>
      <c r="O180" s="277"/>
      <c r="P180" s="277" t="s">
        <v>1789</v>
      </c>
      <c r="Q180" s="283"/>
      <c r="R180" s="283"/>
      <c r="S180" s="283"/>
      <c r="T180" s="283"/>
      <c r="U180" s="283"/>
    </row>
    <row r="181" spans="1:21" s="259" customFormat="1" x14ac:dyDescent="0.2">
      <c r="A181" s="262">
        <v>28</v>
      </c>
      <c r="B181" s="277"/>
      <c r="C181" s="277"/>
      <c r="D181" s="283"/>
      <c r="E181" s="283"/>
      <c r="F181" s="283"/>
      <c r="G181" s="283"/>
      <c r="H181" s="283"/>
      <c r="I181" s="283"/>
      <c r="J181" s="283"/>
      <c r="K181" s="283"/>
      <c r="L181" s="283"/>
      <c r="M181" s="283"/>
      <c r="N181" s="283"/>
      <c r="O181" s="283"/>
      <c r="P181" s="283"/>
      <c r="Q181" s="283"/>
      <c r="R181" s="283"/>
      <c r="S181" s="283"/>
      <c r="T181" s="283"/>
      <c r="U181" s="283"/>
    </row>
    <row r="182" spans="1:21" s="259" customFormat="1" x14ac:dyDescent="0.2">
      <c r="A182" s="262">
        <v>29</v>
      </c>
      <c r="B182" s="283"/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283"/>
      <c r="O182" s="283"/>
      <c r="P182" s="283"/>
      <c r="Q182" s="283"/>
      <c r="R182" s="283"/>
      <c r="S182" s="283"/>
      <c r="T182" s="283"/>
      <c r="U182" s="283"/>
    </row>
    <row r="183" spans="1:21" s="259" customFormat="1" x14ac:dyDescent="0.2">
      <c r="A183" s="262">
        <v>30</v>
      </c>
      <c r="B183" s="283"/>
      <c r="C183" s="283"/>
      <c r="D183" s="288" t="s">
        <v>1744</v>
      </c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</row>
    <row r="184" spans="1:21" s="259" customFormat="1" x14ac:dyDescent="0.2">
      <c r="A184" s="262">
        <v>31</v>
      </c>
      <c r="B184" s="283"/>
      <c r="C184" s="283"/>
      <c r="D184" s="281" t="s">
        <v>328</v>
      </c>
      <c r="E184" s="283"/>
      <c r="F184" s="283"/>
      <c r="G184" s="283"/>
      <c r="H184" s="213">
        <f>+'2025 GSLDPR Rate Class E-13c'!J23*1000</f>
        <v>10.42</v>
      </c>
      <c r="I184" s="283"/>
      <c r="J184" s="213">
        <f>+'2025 GSLDPR Rate Class E-13c'!Q23*1000</f>
        <v>10.628400000000001</v>
      </c>
      <c r="K184" s="279">
        <v>12.72</v>
      </c>
      <c r="L184" s="279"/>
      <c r="M184" s="283"/>
      <c r="N184" s="283"/>
      <c r="O184" s="283"/>
      <c r="P184" s="277" t="s">
        <v>1790</v>
      </c>
      <c r="Q184" s="283"/>
      <c r="R184" s="283"/>
      <c r="S184" s="283"/>
      <c r="T184" s="283"/>
      <c r="U184" s="283"/>
    </row>
    <row r="185" spans="1:21" s="259" customFormat="1" x14ac:dyDescent="0.2">
      <c r="A185" s="262">
        <v>32</v>
      </c>
      <c r="B185" s="283"/>
      <c r="C185" s="283"/>
      <c r="D185" s="288" t="s">
        <v>344</v>
      </c>
      <c r="E185" s="283"/>
      <c r="F185" s="283"/>
      <c r="G185" s="283"/>
      <c r="H185" s="213">
        <f>+'2025 GSLDPR Rate Class E-13c'!J24*1000</f>
        <v>15.84</v>
      </c>
      <c r="I185" s="283"/>
      <c r="J185" s="213">
        <f>+'2025 GSLDPR Rate Class E-13c'!Q24*1000</f>
        <v>17.329800000000002</v>
      </c>
      <c r="K185" s="200">
        <v>25.63</v>
      </c>
      <c r="L185" s="200"/>
      <c r="M185" s="283"/>
      <c r="N185" s="283"/>
      <c r="O185" s="283"/>
      <c r="P185" s="277" t="s">
        <v>1828</v>
      </c>
      <c r="Q185" s="277"/>
      <c r="R185" s="283"/>
      <c r="S185" s="283"/>
      <c r="T185" s="283"/>
      <c r="U185" s="283"/>
    </row>
    <row r="186" spans="1:21" s="259" customFormat="1" x14ac:dyDescent="0.2">
      <c r="A186" s="262">
        <v>33</v>
      </c>
      <c r="B186" s="283"/>
      <c r="C186" s="283"/>
      <c r="D186" s="288" t="s">
        <v>345</v>
      </c>
      <c r="E186" s="283"/>
      <c r="F186" s="283"/>
      <c r="G186" s="283"/>
      <c r="H186" s="213">
        <f>+'2025 GSLDPR Rate Class E-13c'!J25*1000</f>
        <v>8.4700000000000006</v>
      </c>
      <c r="I186" s="283"/>
      <c r="J186" s="213">
        <f>+'2025 GSLDPR Rate Class E-13c'!Q25*1000</f>
        <v>10.559800000000003</v>
      </c>
      <c r="K186" s="201">
        <v>8.07</v>
      </c>
      <c r="L186" s="201"/>
      <c r="M186" s="283"/>
      <c r="N186" s="283"/>
      <c r="O186" s="283"/>
      <c r="P186" s="277" t="s">
        <v>1828</v>
      </c>
      <c r="Q186" s="288"/>
      <c r="R186" s="283"/>
      <c r="S186" s="283"/>
      <c r="T186" s="283"/>
      <c r="U186" s="283"/>
    </row>
    <row r="187" spans="1:21" s="259" customFormat="1" x14ac:dyDescent="0.2">
      <c r="A187" s="262">
        <v>34</v>
      </c>
      <c r="B187" s="283"/>
      <c r="C187" s="283"/>
      <c r="D187" s="288" t="s">
        <v>1609</v>
      </c>
      <c r="E187" s="283"/>
      <c r="F187" s="283"/>
      <c r="G187" s="283"/>
      <c r="H187" s="213">
        <f>+'2025 GSLDPR Rate Class E-13c'!J26*1000</f>
        <v>0</v>
      </c>
      <c r="I187" s="283"/>
      <c r="J187" s="213">
        <f>+'2025 GSLDPR Rate Class E-13c'!Q26*1000</f>
        <v>6.379800000000003</v>
      </c>
      <c r="K187" s="283"/>
      <c r="L187" s="283"/>
      <c r="M187" s="283"/>
      <c r="N187" s="283"/>
      <c r="O187" s="283"/>
      <c r="P187" s="277" t="s">
        <v>1828</v>
      </c>
      <c r="Q187" s="277"/>
      <c r="R187" s="283"/>
      <c r="S187" s="283"/>
      <c r="T187" s="283"/>
      <c r="U187" s="283"/>
    </row>
    <row r="188" spans="1:21" s="259" customFormat="1" x14ac:dyDescent="0.2">
      <c r="A188" s="262">
        <v>35</v>
      </c>
      <c r="B188" s="283"/>
      <c r="C188" s="283"/>
    </row>
    <row r="189" spans="1:21" s="259" customFormat="1" x14ac:dyDescent="0.2">
      <c r="A189" s="262">
        <v>36</v>
      </c>
      <c r="B189" s="283"/>
      <c r="C189" s="283"/>
    </row>
    <row r="190" spans="1:21" s="259" customFormat="1" x14ac:dyDescent="0.2">
      <c r="A190" s="262">
        <v>37</v>
      </c>
      <c r="B190" s="283"/>
      <c r="C190" s="283"/>
      <c r="D190" s="288" t="s">
        <v>1791</v>
      </c>
      <c r="E190" s="283"/>
      <c r="F190" s="283"/>
      <c r="G190" s="283"/>
      <c r="H190" s="283"/>
      <c r="I190" s="283"/>
      <c r="J190" s="283"/>
      <c r="K190" s="283"/>
      <c r="L190" s="283"/>
      <c r="M190" s="283"/>
      <c r="N190" s="283"/>
      <c r="O190" s="283"/>
      <c r="P190" s="283"/>
      <c r="Q190" s="277"/>
      <c r="R190" s="277"/>
      <c r="S190" s="277"/>
      <c r="T190" s="283"/>
      <c r="U190" s="283"/>
    </row>
    <row r="191" spans="1:21" s="259" customFormat="1" x14ac:dyDescent="0.2">
      <c r="A191" s="262">
        <v>38</v>
      </c>
      <c r="B191" s="283"/>
      <c r="C191" s="283"/>
      <c r="D191" s="282" t="s">
        <v>1792</v>
      </c>
      <c r="E191" s="283"/>
      <c r="F191" s="283"/>
      <c r="G191" s="283"/>
      <c r="H191" s="283"/>
      <c r="I191" s="283"/>
      <c r="J191" s="283"/>
      <c r="K191" s="283"/>
      <c r="L191" s="283"/>
      <c r="M191" s="283"/>
      <c r="N191" s="283"/>
      <c r="O191" s="283"/>
      <c r="P191" s="283"/>
      <c r="Q191" s="277"/>
      <c r="R191" s="288"/>
      <c r="S191" s="283"/>
      <c r="T191" s="283"/>
      <c r="U191" s="283"/>
    </row>
    <row r="192" spans="1:21" s="259" customFormat="1" x14ac:dyDescent="0.2">
      <c r="A192" s="262">
        <v>39</v>
      </c>
      <c r="B192" s="283"/>
      <c r="C192" s="283"/>
      <c r="D192" s="282" t="s">
        <v>1737</v>
      </c>
      <c r="E192" s="283"/>
      <c r="F192" s="283"/>
      <c r="G192" s="283"/>
      <c r="H192" s="208">
        <f>+'2025 GSLDPR Rate Class E-13c'!J50</f>
        <v>-0.01</v>
      </c>
      <c r="I192" s="283"/>
      <c r="J192" s="208">
        <f>+'2025 GSLDPR Rate Class E-13c'!Q50</f>
        <v>-0.01</v>
      </c>
      <c r="K192" s="208"/>
      <c r="L192" s="208"/>
      <c r="M192" s="283"/>
      <c r="N192" s="209" t="s">
        <v>1750</v>
      </c>
      <c r="O192" s="283"/>
      <c r="P192" s="277" t="s">
        <v>1751</v>
      </c>
      <c r="Q192" s="283"/>
      <c r="R192" s="277"/>
      <c r="S192" s="283"/>
      <c r="T192" s="283"/>
      <c r="U192" s="283"/>
    </row>
    <row r="193" spans="1:21" s="259" customFormat="1" x14ac:dyDescent="0.2">
      <c r="A193" s="262">
        <v>40</v>
      </c>
      <c r="B193" s="283"/>
      <c r="C193" s="283"/>
      <c r="D193" s="277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77"/>
      <c r="S193" s="283"/>
      <c r="T193" s="283"/>
      <c r="U193" s="283"/>
    </row>
    <row r="194" spans="1:21" s="259" customFormat="1" x14ac:dyDescent="0.2">
      <c r="A194" s="262">
        <v>41</v>
      </c>
      <c r="B194" s="283"/>
      <c r="C194" s="283"/>
      <c r="D194" s="284" t="s">
        <v>1793</v>
      </c>
      <c r="E194" s="283"/>
      <c r="F194" s="283"/>
      <c r="G194" s="283"/>
      <c r="H194" s="283"/>
      <c r="I194" s="283"/>
      <c r="J194" s="283"/>
      <c r="K194" s="283"/>
      <c r="L194" s="283"/>
      <c r="M194" s="283"/>
      <c r="N194" s="283"/>
      <c r="O194" s="283"/>
      <c r="P194" s="283"/>
      <c r="Q194" s="283"/>
      <c r="R194" s="277"/>
      <c r="S194" s="283"/>
      <c r="T194" s="283"/>
      <c r="U194" s="283"/>
    </row>
    <row r="195" spans="1:21" s="259" customFormat="1" x14ac:dyDescent="0.2">
      <c r="A195" s="262">
        <v>42</v>
      </c>
      <c r="B195" s="277"/>
      <c r="C195" s="277"/>
      <c r="D195" s="281" t="s">
        <v>1802</v>
      </c>
      <c r="E195" s="283"/>
      <c r="F195" s="283"/>
      <c r="G195" s="283"/>
      <c r="H195" s="213">
        <f>+'2025 GSLDPR Rate Class E-13c'!J36</f>
        <v>0.68</v>
      </c>
      <c r="I195" s="283"/>
      <c r="J195" s="213">
        <f>+'2025 GSLDPR Rate Class E-13c'!Q36</f>
        <v>1.02</v>
      </c>
      <c r="K195" s="200">
        <v>0.72</v>
      </c>
      <c r="L195" s="212">
        <f>+'Unit Cost Rate Design Input'!D122</f>
        <v>1.02</v>
      </c>
      <c r="M195" s="283"/>
      <c r="N195" s="281" t="s">
        <v>1758</v>
      </c>
      <c r="O195" s="283"/>
      <c r="P195" s="277" t="s">
        <v>1755</v>
      </c>
      <c r="Q195" s="283"/>
      <c r="R195" s="283"/>
      <c r="S195" s="283"/>
      <c r="T195" s="283"/>
      <c r="U195" s="283"/>
    </row>
    <row r="196" spans="1:21" s="259" customFormat="1" x14ac:dyDescent="0.2">
      <c r="A196" s="262">
        <v>43</v>
      </c>
      <c r="B196" s="277"/>
      <c r="C196" s="277"/>
      <c r="D196" s="281" t="s">
        <v>341</v>
      </c>
      <c r="E196" s="283"/>
      <c r="F196" s="283"/>
      <c r="G196" s="283"/>
      <c r="H196" s="213">
        <f>+'2025 GSLDPR Rate Class E-13c'!J37</f>
        <v>0.68</v>
      </c>
      <c r="I196" s="283"/>
      <c r="J196" s="213">
        <f>+'2025 GSLDPR Rate Class E-13c'!Q37</f>
        <v>1.02</v>
      </c>
      <c r="K196" s="201">
        <v>0.72</v>
      </c>
      <c r="L196" s="212">
        <f>+'Unit Cost Rate Design Input'!D123</f>
        <v>1.02</v>
      </c>
      <c r="M196" s="283"/>
      <c r="N196" s="281" t="s">
        <v>1758</v>
      </c>
      <c r="O196" s="283"/>
      <c r="P196" s="277" t="s">
        <v>1755</v>
      </c>
      <c r="Q196" s="283"/>
      <c r="R196" s="283"/>
      <c r="S196" s="283"/>
      <c r="T196" s="283"/>
      <c r="U196" s="283"/>
    </row>
    <row r="197" spans="1:21" s="259" customFormat="1" x14ac:dyDescent="0.2">
      <c r="A197" s="262">
        <v>44</v>
      </c>
      <c r="B197" s="277"/>
      <c r="C197" s="277"/>
      <c r="D197" s="284"/>
      <c r="E197" s="283"/>
      <c r="F197" s="283"/>
      <c r="G197" s="283"/>
      <c r="H197" s="286"/>
      <c r="I197" s="286"/>
      <c r="J197" s="277"/>
      <c r="K197" s="286"/>
      <c r="L197" s="277"/>
      <c r="M197" s="281"/>
      <c r="N197" s="285"/>
      <c r="O197" s="278"/>
      <c r="P197" s="277"/>
      <c r="Q197" s="283"/>
      <c r="R197" s="277"/>
      <c r="S197" s="277"/>
      <c r="T197" s="283"/>
      <c r="U197" s="283"/>
    </row>
    <row r="198" spans="1:21" s="259" customFormat="1" x14ac:dyDescent="0.2">
      <c r="A198" s="262">
        <v>45</v>
      </c>
      <c r="B198" s="277"/>
      <c r="C198" s="277"/>
      <c r="D198" s="283"/>
      <c r="E198" s="283"/>
      <c r="F198" s="283"/>
      <c r="G198" s="283"/>
      <c r="H198" s="283"/>
      <c r="I198" s="283"/>
      <c r="J198" s="283"/>
      <c r="K198" s="283"/>
      <c r="L198" s="283"/>
      <c r="M198" s="283"/>
      <c r="N198" s="283"/>
      <c r="O198" s="283"/>
      <c r="P198" s="283"/>
      <c r="Q198" s="283"/>
      <c r="R198" s="283"/>
      <c r="S198" s="283"/>
      <c r="T198" s="283"/>
      <c r="U198" s="283"/>
    </row>
    <row r="199" spans="1:21" s="259" customFormat="1" ht="13.5" thickBot="1" x14ac:dyDescent="0.25">
      <c r="A199" s="257" t="s">
        <v>1699</v>
      </c>
      <c r="B199" s="295"/>
      <c r="C199" s="296"/>
      <c r="D199" s="296"/>
      <c r="E199" s="296"/>
      <c r="F199" s="295"/>
      <c r="G199" s="296"/>
      <c r="H199" s="296"/>
      <c r="I199" s="296"/>
      <c r="J199" s="296"/>
      <c r="K199" s="296"/>
      <c r="L199" s="296"/>
      <c r="M199" s="296"/>
      <c r="N199" s="296"/>
      <c r="O199" s="296"/>
      <c r="P199" s="296"/>
      <c r="Q199" s="296"/>
      <c r="R199" s="296"/>
      <c r="S199" s="296"/>
      <c r="T199" s="296"/>
      <c r="U199" s="296" t="s">
        <v>1795</v>
      </c>
    </row>
    <row r="200" spans="1:21" s="259" customFormat="1" x14ac:dyDescent="0.2">
      <c r="A200" s="260"/>
      <c r="B200" s="277"/>
      <c r="C200" s="277"/>
      <c r="D200" s="277"/>
      <c r="E200" s="277"/>
      <c r="F200" s="277"/>
      <c r="G200" s="277"/>
      <c r="H200" s="277"/>
      <c r="I200" s="277"/>
      <c r="J200" s="277"/>
      <c r="K200" s="277"/>
      <c r="L200" s="277"/>
      <c r="M200" s="277"/>
      <c r="N200" s="277"/>
      <c r="O200" s="277"/>
      <c r="P200" s="277"/>
      <c r="Q200" s="277"/>
      <c r="R200" s="277"/>
      <c r="S200" s="277"/>
      <c r="T200" s="277"/>
      <c r="U200" s="277"/>
    </row>
    <row r="201" spans="1:21" s="259" customFormat="1" x14ac:dyDescent="0.2">
      <c r="A201" s="260"/>
      <c r="B201" s="599" t="s">
        <v>987</v>
      </c>
      <c r="C201" s="599"/>
      <c r="D201" s="277"/>
      <c r="E201" s="277"/>
      <c r="F201" s="283"/>
      <c r="G201" s="283"/>
      <c r="H201" s="281" t="s">
        <v>1702</v>
      </c>
      <c r="I201" s="281"/>
      <c r="J201" s="281" t="s">
        <v>984</v>
      </c>
      <c r="K201" s="281"/>
      <c r="L201" s="281" t="s">
        <v>1703</v>
      </c>
      <c r="M201" s="281"/>
      <c r="N201" s="281"/>
      <c r="O201" s="277"/>
      <c r="P201" s="277"/>
      <c r="Q201" s="277"/>
      <c r="R201" s="277"/>
      <c r="S201" s="277"/>
      <c r="T201" s="277"/>
      <c r="U201" s="277"/>
    </row>
    <row r="202" spans="1:21" s="259" customFormat="1" x14ac:dyDescent="0.2">
      <c r="A202" s="263" t="s">
        <v>1704</v>
      </c>
      <c r="B202" s="598" t="s">
        <v>1705</v>
      </c>
      <c r="C202" s="598"/>
      <c r="D202" s="598" t="s">
        <v>1706</v>
      </c>
      <c r="E202" s="598"/>
      <c r="F202" s="598"/>
      <c r="G202" s="283"/>
      <c r="H202" s="297" t="s">
        <v>987</v>
      </c>
      <c r="I202" s="281"/>
      <c r="J202" s="297" t="s">
        <v>987</v>
      </c>
      <c r="K202" s="281"/>
      <c r="L202" s="297" t="s">
        <v>1707</v>
      </c>
      <c r="M202" s="281"/>
      <c r="N202" s="297" t="s">
        <v>1708</v>
      </c>
      <c r="O202" s="283"/>
      <c r="P202" s="598" t="s">
        <v>1709</v>
      </c>
      <c r="Q202" s="598"/>
      <c r="R202" s="598"/>
      <c r="S202" s="598"/>
      <c r="T202" s="598"/>
      <c r="U202" s="277"/>
    </row>
    <row r="203" spans="1:21" s="259" customFormat="1" x14ac:dyDescent="0.2">
      <c r="A203" s="262">
        <v>1</v>
      </c>
      <c r="B203" s="277"/>
      <c r="C203" s="277"/>
      <c r="D203" s="283"/>
      <c r="E203" s="283"/>
      <c r="F203" s="283"/>
      <c r="G203" s="283"/>
      <c r="H203" s="283"/>
      <c r="I203" s="283"/>
      <c r="J203" s="283"/>
      <c r="K203" s="283"/>
      <c r="L203" s="283"/>
      <c r="M203" s="283"/>
      <c r="N203" s="283"/>
      <c r="O203" s="283"/>
      <c r="P203" s="283"/>
      <c r="Q203" s="283"/>
      <c r="R203" s="283"/>
      <c r="S203" s="283"/>
      <c r="T203" s="283"/>
      <c r="U203" s="283"/>
    </row>
    <row r="204" spans="1:21" s="259" customFormat="1" x14ac:dyDescent="0.2">
      <c r="A204" s="262">
        <v>2</v>
      </c>
      <c r="B204" s="260"/>
      <c r="C204" s="260"/>
      <c r="D204" s="260"/>
      <c r="E204" s="260"/>
      <c r="F204" s="260"/>
      <c r="G204" s="260"/>
      <c r="H204" s="260"/>
      <c r="I204" s="260"/>
      <c r="J204" s="260"/>
      <c r="K204" s="260"/>
      <c r="L204" s="260"/>
      <c r="M204" s="260"/>
      <c r="N204" s="260"/>
      <c r="O204" s="260"/>
      <c r="P204" s="260"/>
      <c r="Q204" s="260"/>
      <c r="R204" s="260"/>
      <c r="S204" s="260"/>
      <c r="T204" s="260"/>
      <c r="U204" s="260"/>
    </row>
    <row r="205" spans="1:21" x14ac:dyDescent="0.2">
      <c r="A205" s="262">
        <v>3</v>
      </c>
      <c r="B205" s="277" t="s">
        <v>1796</v>
      </c>
    </row>
    <row r="206" spans="1:21" x14ac:dyDescent="0.2">
      <c r="A206" s="262">
        <v>4</v>
      </c>
    </row>
    <row r="207" spans="1:21" x14ac:dyDescent="0.2">
      <c r="A207" s="262">
        <v>5</v>
      </c>
      <c r="D207" s="277" t="s">
        <v>1797</v>
      </c>
      <c r="E207" s="283"/>
      <c r="F207" s="283"/>
      <c r="G207" s="283"/>
      <c r="H207" s="213"/>
      <c r="I207" s="283"/>
      <c r="J207" s="283"/>
      <c r="K207" s="283"/>
      <c r="L207" s="283"/>
      <c r="M207" s="283"/>
      <c r="N207" s="283"/>
      <c r="O207" s="283"/>
      <c r="P207" s="283"/>
      <c r="Q207" s="283"/>
    </row>
    <row r="208" spans="1:21" x14ac:dyDescent="0.2">
      <c r="A208" s="262">
        <v>6</v>
      </c>
      <c r="D208" s="281" t="s">
        <v>1117</v>
      </c>
      <c r="E208" s="283"/>
      <c r="F208" s="283"/>
      <c r="G208" s="283"/>
      <c r="H208" s="213">
        <f>+'2025 GSLDPR Rate Class E-13c'!J41*1000</f>
        <v>2.0300000000000002</v>
      </c>
      <c r="I208" s="283"/>
      <c r="J208" s="213">
        <f>+'2025 GSLDPR Rate Class E-13c'!Q41*1000</f>
        <v>2.0300000000000002</v>
      </c>
      <c r="K208" s="207">
        <v>2.0099999999999998</v>
      </c>
      <c r="L208" s="207" t="s">
        <v>1750</v>
      </c>
      <c r="M208" s="283"/>
      <c r="N208" s="283"/>
      <c r="O208" s="283"/>
      <c r="P208" s="277" t="s">
        <v>1722</v>
      </c>
      <c r="Q208" s="283"/>
    </row>
    <row r="209" spans="1:21" x14ac:dyDescent="0.2">
      <c r="A209" s="262">
        <v>7</v>
      </c>
      <c r="D209" s="281" t="s">
        <v>341</v>
      </c>
      <c r="E209" s="283"/>
      <c r="F209" s="283"/>
      <c r="G209" s="283"/>
      <c r="H209" s="213">
        <f>+'2025 GSLDPR Rate Class E-13c'!J42*1000</f>
        <v>2.0300000000000002</v>
      </c>
      <c r="I209" s="283"/>
      <c r="J209" s="213">
        <f>+'2025 GSLDPR Rate Class E-13c'!Q42*1000</f>
        <v>2.0300000000000002</v>
      </c>
      <c r="K209" s="207">
        <v>2.0099999999999998</v>
      </c>
      <c r="L209" s="207" t="s">
        <v>1750</v>
      </c>
      <c r="M209" s="283"/>
      <c r="N209" s="283"/>
      <c r="O209" s="283"/>
      <c r="P209" s="277" t="s">
        <v>1722</v>
      </c>
      <c r="Q209" s="283"/>
    </row>
    <row r="210" spans="1:21" x14ac:dyDescent="0.2">
      <c r="A210" s="262">
        <v>8</v>
      </c>
      <c r="D210" s="282"/>
      <c r="E210" s="283"/>
      <c r="F210" s="283"/>
      <c r="G210" s="283"/>
      <c r="H210" s="283"/>
      <c r="I210" s="283"/>
      <c r="J210" s="283"/>
      <c r="K210" s="283"/>
      <c r="L210" s="283"/>
      <c r="M210" s="283"/>
      <c r="N210" s="283"/>
      <c r="O210" s="283"/>
      <c r="P210" s="283"/>
      <c r="Q210" s="283"/>
    </row>
    <row r="211" spans="1:21" x14ac:dyDescent="0.2">
      <c r="A211" s="262">
        <v>9</v>
      </c>
      <c r="D211" s="277" t="s">
        <v>1798</v>
      </c>
      <c r="E211" s="283"/>
      <c r="F211" s="283"/>
      <c r="G211" s="283"/>
      <c r="H211" s="213"/>
      <c r="I211" s="283"/>
      <c r="J211" s="213"/>
      <c r="K211" s="283"/>
      <c r="L211" s="283"/>
      <c r="M211" s="283"/>
      <c r="N211" s="283"/>
      <c r="O211" s="283"/>
      <c r="P211" s="283"/>
      <c r="Q211" s="283"/>
    </row>
    <row r="212" spans="1:21" x14ac:dyDescent="0.2">
      <c r="A212" s="262">
        <v>10</v>
      </c>
      <c r="D212" s="281" t="s">
        <v>1117</v>
      </c>
      <c r="E212" s="283"/>
      <c r="F212" s="283"/>
      <c r="G212" s="283"/>
      <c r="H212" s="213">
        <f>+'2025 GSLDPR Rate Class E-13c'!J45*1000</f>
        <v>-1.02</v>
      </c>
      <c r="I212" s="283"/>
      <c r="J212" s="213">
        <f>+'2025 GSLDPR Rate Class E-13c'!Q45*1000</f>
        <v>-1.02</v>
      </c>
      <c r="K212" s="279">
        <v>-1.01</v>
      </c>
      <c r="L212" s="304" t="s">
        <v>1750</v>
      </c>
      <c r="M212" s="283"/>
      <c r="N212" s="283"/>
      <c r="O212" s="283"/>
      <c r="P212" s="277" t="s">
        <v>1722</v>
      </c>
      <c r="Q212" s="283"/>
    </row>
    <row r="213" spans="1:21" x14ac:dyDescent="0.2">
      <c r="A213" s="262">
        <v>11</v>
      </c>
      <c r="D213" s="281" t="s">
        <v>341</v>
      </c>
      <c r="E213" s="283"/>
      <c r="F213" s="283"/>
      <c r="G213" s="283"/>
      <c r="H213" s="213">
        <f>+'2025 GSLDPR Rate Class E-13c'!J46*1000</f>
        <v>-1.02</v>
      </c>
      <c r="I213" s="283"/>
      <c r="J213" s="213">
        <f>+'2025 GSLDPR Rate Class E-13c'!Q46*1000</f>
        <v>-1.02</v>
      </c>
      <c r="K213" s="279">
        <v>-1.01</v>
      </c>
      <c r="L213" s="304" t="s">
        <v>1750</v>
      </c>
      <c r="M213" s="283"/>
      <c r="N213" s="283"/>
      <c r="O213" s="283"/>
      <c r="P213" s="277" t="s">
        <v>1722</v>
      </c>
      <c r="Q213" s="283"/>
    </row>
    <row r="214" spans="1:21" x14ac:dyDescent="0.2">
      <c r="A214" s="262">
        <v>12</v>
      </c>
    </row>
    <row r="215" spans="1:21" x14ac:dyDescent="0.2">
      <c r="A215" s="262">
        <v>13</v>
      </c>
      <c r="B215" s="277" t="s">
        <v>453</v>
      </c>
      <c r="C215" s="283"/>
      <c r="D215" s="283"/>
      <c r="E215" s="283"/>
      <c r="F215" s="283"/>
      <c r="G215" s="283"/>
      <c r="H215" s="283"/>
      <c r="I215" s="283"/>
      <c r="J215" s="283"/>
      <c r="K215" s="283"/>
      <c r="L215" s="283"/>
      <c r="M215" s="283"/>
      <c r="N215" s="283"/>
      <c r="O215" s="283"/>
      <c r="P215" s="283"/>
      <c r="Q215" s="277"/>
      <c r="R215" s="277"/>
      <c r="S215" s="277"/>
    </row>
    <row r="216" spans="1:21" x14ac:dyDescent="0.2">
      <c r="A216" s="262">
        <v>14</v>
      </c>
      <c r="B216" s="283"/>
      <c r="C216" s="283"/>
      <c r="D216" s="282" t="s">
        <v>1823</v>
      </c>
      <c r="E216" s="283"/>
      <c r="F216" s="283"/>
      <c r="G216" s="283"/>
      <c r="H216" s="213"/>
      <c r="I216" s="283"/>
      <c r="J216" s="213"/>
      <c r="K216" s="279"/>
      <c r="L216" s="283"/>
      <c r="M216" s="283"/>
      <c r="N216" s="290"/>
      <c r="O216" s="290"/>
      <c r="P216" s="290"/>
      <c r="Q216" s="277"/>
      <c r="R216" s="277"/>
      <c r="S216" s="288"/>
    </row>
    <row r="217" spans="1:21" x14ac:dyDescent="0.2">
      <c r="A217" s="262">
        <v>15</v>
      </c>
      <c r="B217" s="283"/>
      <c r="C217" s="283"/>
      <c r="D217" s="277" t="s">
        <v>1738</v>
      </c>
      <c r="E217" s="283"/>
      <c r="F217" s="283"/>
      <c r="G217" s="283"/>
      <c r="H217" s="213"/>
      <c r="I217" s="279"/>
      <c r="J217" s="213"/>
      <c r="K217" s="279"/>
      <c r="L217" s="279"/>
      <c r="M217" s="279"/>
      <c r="N217" s="281"/>
      <c r="O217" s="283"/>
      <c r="P217" s="277"/>
      <c r="Q217" s="277"/>
      <c r="R217" s="277"/>
      <c r="S217" s="277"/>
    </row>
    <row r="218" spans="1:21" x14ac:dyDescent="0.2">
      <c r="A218" s="262">
        <v>16</v>
      </c>
      <c r="B218" s="283"/>
      <c r="C218" s="283"/>
      <c r="D218" s="277" t="s">
        <v>328</v>
      </c>
      <c r="E218" s="283"/>
      <c r="F218" s="283"/>
      <c r="G218" s="283"/>
      <c r="H218" s="213">
        <f>+'2025 GSLDSU Rate Class E-13c'!J18</f>
        <v>83.9</v>
      </c>
      <c r="I218" s="283"/>
      <c r="J218" s="213">
        <f>+'2025 GSLDSU Rate Class E-13c'!Q18</f>
        <v>127.62</v>
      </c>
      <c r="K218" s="279">
        <v>3086.7</v>
      </c>
      <c r="L218" s="280">
        <f>+'Unit Cost Rate Design Input'!D149</f>
        <v>127.62</v>
      </c>
      <c r="M218" s="283"/>
      <c r="N218" s="279" t="s">
        <v>1786</v>
      </c>
      <c r="O218" s="283"/>
      <c r="P218" s="279" t="s">
        <v>1755</v>
      </c>
      <c r="Q218" s="283"/>
      <c r="R218" s="277"/>
      <c r="S218" s="277"/>
    </row>
    <row r="219" spans="1:21" x14ac:dyDescent="0.2">
      <c r="A219" s="262">
        <v>17</v>
      </c>
      <c r="B219" s="283"/>
      <c r="C219" s="283"/>
      <c r="D219" s="277" t="s">
        <v>341</v>
      </c>
      <c r="E219" s="283"/>
      <c r="F219" s="283"/>
      <c r="G219" s="283"/>
      <c r="H219" s="213">
        <f>+'2025 GSLDSU Rate Class E-13c'!J19</f>
        <v>83.9</v>
      </c>
      <c r="I219" s="283"/>
      <c r="J219" s="213">
        <f>+'2025 GSLDSU Rate Class E-13c'!Q19</f>
        <v>127.62</v>
      </c>
      <c r="K219" s="279">
        <v>3086.7</v>
      </c>
      <c r="L219" s="280">
        <f>+'Unit Cost Rate Design Input'!D150</f>
        <v>127.62</v>
      </c>
      <c r="M219" s="283"/>
      <c r="N219" s="279" t="s">
        <v>1786</v>
      </c>
      <c r="O219" s="278"/>
      <c r="P219" s="279" t="s">
        <v>1755</v>
      </c>
      <c r="Q219" s="283"/>
      <c r="R219" s="277"/>
      <c r="S219" s="277"/>
    </row>
    <row r="220" spans="1:21" x14ac:dyDescent="0.2">
      <c r="A220" s="262">
        <v>18</v>
      </c>
      <c r="B220" s="283"/>
      <c r="C220" s="283"/>
      <c r="D220" s="277"/>
      <c r="E220" s="283"/>
      <c r="F220" s="283"/>
      <c r="G220" s="283"/>
      <c r="H220" s="126"/>
      <c r="I220" s="126"/>
      <c r="J220" s="126"/>
      <c r="K220" s="126"/>
      <c r="L220" s="281"/>
      <c r="M220" s="277"/>
      <c r="N220" s="278"/>
      <c r="O220" s="278"/>
      <c r="P220" s="277"/>
      <c r="Q220" s="283"/>
      <c r="R220" s="283"/>
      <c r="S220" s="277"/>
    </row>
    <row r="221" spans="1:21" s="259" customFormat="1" x14ac:dyDescent="0.2">
      <c r="A221" s="262">
        <v>19</v>
      </c>
      <c r="B221" s="277"/>
      <c r="C221" s="277"/>
      <c r="D221" s="277" t="s">
        <v>1739</v>
      </c>
      <c r="E221" s="283"/>
      <c r="F221" s="283"/>
      <c r="G221" s="283"/>
      <c r="H221" s="213"/>
      <c r="I221" s="126"/>
      <c r="J221" s="213"/>
      <c r="K221" s="277"/>
      <c r="L221" s="281"/>
      <c r="M221" s="277"/>
      <c r="N221" s="278"/>
      <c r="O221" s="278"/>
      <c r="P221" s="277"/>
      <c r="Q221" s="283"/>
      <c r="R221" s="283"/>
      <c r="S221" s="277"/>
      <c r="T221" s="260"/>
      <c r="U221" s="260"/>
    </row>
    <row r="222" spans="1:21" s="259" customFormat="1" x14ac:dyDescent="0.2">
      <c r="A222" s="262">
        <v>20</v>
      </c>
      <c r="B222" s="277"/>
      <c r="C222" s="277"/>
      <c r="D222" s="284" t="s">
        <v>328</v>
      </c>
      <c r="E222" s="283"/>
      <c r="F222" s="283"/>
      <c r="G222" s="283"/>
      <c r="H222" s="213">
        <f>+'2025 GSLDSU Rate Class E-13c'!J30</f>
        <v>9.2899999999999991</v>
      </c>
      <c r="I222" s="283"/>
      <c r="J222" s="213">
        <f>+'2025 GSLDSU Rate Class E-13c'!Q30</f>
        <v>12.771549918847711</v>
      </c>
      <c r="K222" s="279">
        <v>4.07</v>
      </c>
      <c r="L222" s="280">
        <f>+'Unit Cost Rate Design Input'!D151</f>
        <v>8.15</v>
      </c>
      <c r="M222" s="283"/>
      <c r="N222" s="279" t="s">
        <v>1740</v>
      </c>
      <c r="O222" s="283"/>
      <c r="P222" s="277" t="s">
        <v>1836</v>
      </c>
      <c r="Q222" s="283"/>
      <c r="R222" s="283"/>
      <c r="S222" s="277"/>
      <c r="T222" s="260"/>
      <c r="U222" s="260"/>
    </row>
    <row r="223" spans="1:21" s="259" customFormat="1" x14ac:dyDescent="0.2">
      <c r="A223" s="262">
        <v>21</v>
      </c>
      <c r="B223" s="277"/>
      <c r="C223" s="277"/>
      <c r="D223" s="281" t="s">
        <v>1787</v>
      </c>
      <c r="E223" s="277"/>
      <c r="F223" s="277"/>
      <c r="G223" s="283"/>
      <c r="H223" s="213">
        <f>+'2025 GSLDSU Rate Class E-13c'!J31</f>
        <v>2.95</v>
      </c>
      <c r="I223" s="283"/>
      <c r="J223" s="213">
        <f>+'2025 GSLDSU Rate Class E-13c'!Q31</f>
        <v>1.5513907263385562</v>
      </c>
      <c r="K223" s="279">
        <v>4.07</v>
      </c>
      <c r="L223" s="280">
        <f>+'Unit Cost Rate Design Input'!D152</f>
        <v>0.99</v>
      </c>
      <c r="M223" s="283"/>
      <c r="N223" s="279" t="s">
        <v>1740</v>
      </c>
      <c r="O223" s="283"/>
      <c r="P223" s="277" t="s">
        <v>1836</v>
      </c>
      <c r="Q223" s="283"/>
      <c r="R223" s="283"/>
      <c r="S223" s="277"/>
      <c r="T223" s="260"/>
      <c r="U223" s="260"/>
    </row>
    <row r="224" spans="1:21" s="259" customFormat="1" x14ac:dyDescent="0.2">
      <c r="A224" s="262">
        <v>22</v>
      </c>
      <c r="B224" s="277"/>
      <c r="C224" s="277"/>
      <c r="D224" s="281" t="s">
        <v>1788</v>
      </c>
      <c r="E224" s="277"/>
      <c r="F224" s="277"/>
      <c r="G224" s="283"/>
      <c r="H224" s="213">
        <f>+'2025 GSLDSU Rate Class E-13c'!J32</f>
        <v>6.31</v>
      </c>
      <c r="I224" s="283"/>
      <c r="J224" s="213">
        <f>+'2025 GSLDSU Rate Class E-13c'!Q32</f>
        <v>11.220159192509154</v>
      </c>
      <c r="K224" s="279">
        <v>4.07</v>
      </c>
      <c r="L224" s="280">
        <f>+'Unit Cost Rate Design Input'!D153</f>
        <v>7.16</v>
      </c>
      <c r="M224" s="283"/>
      <c r="N224" s="279" t="s">
        <v>1740</v>
      </c>
      <c r="O224" s="283"/>
      <c r="P224" s="277" t="s">
        <v>1836</v>
      </c>
      <c r="Q224" s="283"/>
      <c r="R224" s="283"/>
      <c r="S224" s="283"/>
      <c r="T224" s="260"/>
      <c r="U224" s="260"/>
    </row>
    <row r="225" spans="1:21" s="259" customFormat="1" x14ac:dyDescent="0.2">
      <c r="A225" s="262">
        <v>23</v>
      </c>
      <c r="B225" s="283"/>
      <c r="C225" s="283"/>
      <c r="D225" s="277"/>
      <c r="E225" s="277"/>
      <c r="F225" s="277"/>
      <c r="G225" s="283"/>
      <c r="H225" s="283"/>
      <c r="I225" s="283"/>
      <c r="J225" s="283"/>
      <c r="K225" s="283"/>
      <c r="L225" s="283"/>
      <c r="M225" s="283"/>
      <c r="N225" s="283"/>
      <c r="O225" s="283"/>
      <c r="P225" s="279"/>
      <c r="Q225" s="283"/>
      <c r="R225" s="283"/>
      <c r="S225" s="283"/>
      <c r="T225" s="260"/>
      <c r="U225" s="260"/>
    </row>
    <row r="226" spans="1:21" s="259" customFormat="1" x14ac:dyDescent="0.2">
      <c r="A226" s="262">
        <v>24</v>
      </c>
      <c r="B226" s="277"/>
      <c r="C226" s="277"/>
      <c r="D226" s="283"/>
      <c r="E226" s="283"/>
      <c r="F226" s="283"/>
      <c r="G226" s="283"/>
      <c r="H226" s="283"/>
      <c r="I226" s="283"/>
      <c r="J226" s="283"/>
      <c r="K226" s="283"/>
      <c r="L226" s="283"/>
      <c r="M226" s="283"/>
      <c r="N226" s="283"/>
      <c r="O226" s="283"/>
      <c r="P226" s="283"/>
      <c r="Q226" s="283"/>
      <c r="R226" s="283"/>
      <c r="S226" s="283"/>
      <c r="T226" s="260"/>
      <c r="U226" s="260"/>
    </row>
    <row r="227" spans="1:21" s="259" customFormat="1" x14ac:dyDescent="0.2">
      <c r="A227" s="262">
        <v>25</v>
      </c>
      <c r="B227" s="283"/>
      <c r="C227" s="283"/>
      <c r="D227" s="277" t="s">
        <v>1744</v>
      </c>
      <c r="E227" s="283"/>
      <c r="F227" s="283"/>
      <c r="G227" s="283"/>
      <c r="H227" s="213"/>
      <c r="I227" s="283"/>
      <c r="J227" s="213"/>
      <c r="K227" s="283"/>
      <c r="L227" s="283"/>
      <c r="M227" s="283"/>
      <c r="N227" s="283"/>
      <c r="O227" s="283"/>
      <c r="P227" s="283"/>
      <c r="Q227" s="283"/>
      <c r="R227" s="283"/>
      <c r="S227" s="283"/>
      <c r="T227" s="260"/>
      <c r="U227" s="260"/>
    </row>
    <row r="228" spans="1:21" s="259" customFormat="1" x14ac:dyDescent="0.2">
      <c r="A228" s="262">
        <v>26</v>
      </c>
      <c r="B228" s="283"/>
      <c r="C228" s="283"/>
      <c r="D228" s="281" t="s">
        <v>328</v>
      </c>
      <c r="E228" s="283"/>
      <c r="F228" s="283"/>
      <c r="G228" s="283"/>
      <c r="H228" s="213">
        <f>+'2025 GSLDSU Rate Class E-13c'!J23*1000</f>
        <v>11.51</v>
      </c>
      <c r="I228" s="283"/>
      <c r="J228" s="213">
        <f>+'2025 GSLDSU Rate Class E-13c'!Q23*1000</f>
        <v>11.6251</v>
      </c>
      <c r="K228" s="279">
        <v>20.3</v>
      </c>
      <c r="L228" s="279"/>
      <c r="M228" s="283"/>
      <c r="N228" s="283"/>
      <c r="O228" s="283"/>
      <c r="P228" s="279" t="s">
        <v>1836</v>
      </c>
      <c r="Q228" s="283"/>
      <c r="R228" s="283"/>
      <c r="S228" s="277"/>
      <c r="T228" s="260"/>
      <c r="U228" s="260"/>
    </row>
    <row r="229" spans="1:21" s="259" customFormat="1" x14ac:dyDescent="0.2">
      <c r="A229" s="262">
        <v>27</v>
      </c>
      <c r="B229" s="283"/>
      <c r="C229" s="283"/>
      <c r="D229" s="288" t="s">
        <v>344</v>
      </c>
      <c r="E229" s="283"/>
      <c r="F229" s="283"/>
      <c r="G229" s="283"/>
      <c r="H229" s="213">
        <f>+'2025 GSLDSU Rate Class E-13c'!J24*1000</f>
        <v>13.860000000000001</v>
      </c>
      <c r="I229" s="283"/>
      <c r="J229" s="213">
        <f>+'2025 GSLDSU Rate Class E-13c'!Q24*1000</f>
        <v>20.947400000000002</v>
      </c>
      <c r="K229" s="279">
        <v>36.880000000000003</v>
      </c>
      <c r="L229" s="279"/>
      <c r="M229" s="283"/>
      <c r="N229" s="283"/>
      <c r="O229" s="283"/>
      <c r="P229" s="279" t="s">
        <v>1828</v>
      </c>
      <c r="Q229" s="283"/>
      <c r="R229" s="283"/>
      <c r="S229" s="283"/>
      <c r="T229" s="283"/>
      <c r="U229" s="283"/>
    </row>
    <row r="230" spans="1:21" s="259" customFormat="1" x14ac:dyDescent="0.2">
      <c r="A230" s="262">
        <v>28</v>
      </c>
      <c r="B230" s="283"/>
      <c r="C230" s="283"/>
      <c r="D230" s="288" t="s">
        <v>345</v>
      </c>
      <c r="E230" s="283"/>
      <c r="F230" s="283"/>
      <c r="G230" s="283"/>
      <c r="H230" s="213">
        <f>+'2025 GSLDSU Rate Class E-13c'!J25*1000</f>
        <v>10.78</v>
      </c>
      <c r="I230" s="203"/>
      <c r="J230" s="213">
        <f>+'2025 GSLDSU Rate Class E-13c'!Q25*1000</f>
        <v>10.227400000000001</v>
      </c>
      <c r="K230" s="279">
        <v>14.99</v>
      </c>
      <c r="L230" s="279"/>
      <c r="M230" s="277"/>
      <c r="N230" s="277"/>
      <c r="O230" s="277"/>
      <c r="P230" s="279" t="s">
        <v>1828</v>
      </c>
      <c r="Q230" s="283"/>
      <c r="R230" s="283"/>
      <c r="S230" s="283"/>
      <c r="T230" s="283"/>
      <c r="U230" s="283"/>
    </row>
    <row r="231" spans="1:21" s="259" customFormat="1" x14ac:dyDescent="0.2">
      <c r="A231" s="262">
        <v>29</v>
      </c>
      <c r="B231" s="283"/>
      <c r="C231" s="283"/>
      <c r="D231" s="288" t="s">
        <v>1609</v>
      </c>
      <c r="E231" s="283"/>
      <c r="F231" s="283"/>
      <c r="G231" s="277"/>
      <c r="H231" s="213">
        <f>+'2025 GSLDSU Rate Class E-13c'!J26*1000</f>
        <v>0</v>
      </c>
      <c r="I231" s="277"/>
      <c r="J231" s="213">
        <f>+'2025 GSLDSU Rate Class E-13c'!Q26*1000</f>
        <v>7.1874000000000011</v>
      </c>
      <c r="K231" s="277"/>
      <c r="L231" s="277"/>
      <c r="M231" s="277"/>
      <c r="N231" s="277"/>
      <c r="O231" s="277"/>
      <c r="P231" s="277"/>
      <c r="Q231" s="283"/>
      <c r="R231" s="283"/>
      <c r="S231" s="283"/>
      <c r="T231" s="283"/>
      <c r="U231" s="283"/>
    </row>
    <row r="232" spans="1:21" s="259" customFormat="1" x14ac:dyDescent="0.2">
      <c r="A232" s="262">
        <v>30</v>
      </c>
      <c r="B232" s="283"/>
      <c r="C232" s="283"/>
      <c r="D232" s="284"/>
      <c r="E232" s="283"/>
      <c r="F232" s="283"/>
      <c r="G232" s="277"/>
      <c r="H232" s="200"/>
      <c r="I232" s="203"/>
      <c r="J232" s="200"/>
      <c r="K232" s="277"/>
      <c r="L232" s="277"/>
      <c r="M232" s="277"/>
      <c r="N232" s="277"/>
      <c r="O232" s="277"/>
      <c r="P232" s="277"/>
      <c r="Q232" s="283"/>
      <c r="R232" s="283"/>
      <c r="S232" s="283"/>
      <c r="T232" s="283"/>
      <c r="U232" s="283"/>
    </row>
    <row r="233" spans="1:21" s="259" customFormat="1" x14ac:dyDescent="0.2">
      <c r="A233" s="262">
        <v>31</v>
      </c>
      <c r="B233" s="283"/>
      <c r="C233" s="283"/>
      <c r="D233" s="288" t="s">
        <v>1793</v>
      </c>
      <c r="E233" s="283"/>
      <c r="F233" s="283"/>
      <c r="G233" s="277"/>
      <c r="H233" s="213"/>
      <c r="I233" s="67"/>
      <c r="J233" s="213"/>
      <c r="K233" s="277"/>
      <c r="L233" s="277"/>
      <c r="M233" s="277"/>
      <c r="N233" s="277"/>
      <c r="O233" s="277"/>
      <c r="P233" s="277"/>
      <c r="Q233" s="283"/>
      <c r="R233" s="283"/>
      <c r="S233" s="283"/>
      <c r="T233" s="283"/>
      <c r="U233" s="283"/>
    </row>
    <row r="234" spans="1:21" s="259" customFormat="1" x14ac:dyDescent="0.2">
      <c r="A234" s="262">
        <v>32</v>
      </c>
      <c r="B234" s="283"/>
      <c r="C234" s="283"/>
      <c r="D234" s="282" t="s">
        <v>1794</v>
      </c>
      <c r="E234" s="283"/>
      <c r="F234" s="283"/>
      <c r="G234" s="277"/>
      <c r="H234" s="213">
        <f>+'2025 GSLDSU Rate Class E-13c'!J36</f>
        <v>0.68</v>
      </c>
      <c r="I234" s="287"/>
      <c r="J234" s="213">
        <f>+'2025 GSLDSU Rate Class E-13c'!Q36</f>
        <v>1.02</v>
      </c>
      <c r="K234" s="287"/>
      <c r="L234" s="305">
        <f>+'Unit Cost Rate Design Input'!D154</f>
        <v>1.02</v>
      </c>
      <c r="M234" s="277"/>
      <c r="N234" s="279" t="s">
        <v>1758</v>
      </c>
      <c r="O234" s="277"/>
      <c r="P234" s="279" t="s">
        <v>1755</v>
      </c>
      <c r="Q234" s="283"/>
      <c r="R234" s="283"/>
      <c r="S234" s="283"/>
      <c r="T234" s="283"/>
      <c r="U234" s="283"/>
    </row>
    <row r="235" spans="1:21" s="259" customFormat="1" x14ac:dyDescent="0.2">
      <c r="A235" s="262">
        <v>33</v>
      </c>
      <c r="B235" s="283"/>
      <c r="C235" s="283"/>
      <c r="D235" s="282" t="s">
        <v>341</v>
      </c>
      <c r="E235" s="283"/>
      <c r="F235" s="283"/>
      <c r="G235" s="283"/>
      <c r="H235" s="213">
        <f>+'2025 GSLDSU Rate Class E-13c'!J37</f>
        <v>0.68</v>
      </c>
      <c r="I235" s="283"/>
      <c r="J235" s="213">
        <f>+'2025 GSLDSU Rate Class E-13c'!Q37</f>
        <v>1.02</v>
      </c>
      <c r="K235" s="287"/>
      <c r="L235" s="305">
        <f>+'Unit Cost Rate Design Input'!D155</f>
        <v>1.02</v>
      </c>
      <c r="M235" s="283"/>
      <c r="N235" s="279" t="s">
        <v>1758</v>
      </c>
      <c r="O235" s="283"/>
      <c r="P235" s="279" t="s">
        <v>1755</v>
      </c>
      <c r="Q235" s="283"/>
      <c r="R235" s="283"/>
      <c r="S235" s="283"/>
      <c r="T235" s="283"/>
      <c r="U235" s="283"/>
    </row>
    <row r="236" spans="1:21" s="259" customFormat="1" x14ac:dyDescent="0.2">
      <c r="A236" s="262">
        <v>34</v>
      </c>
      <c r="B236" s="283"/>
      <c r="C236" s="283"/>
      <c r="D236" s="277"/>
      <c r="E236" s="283"/>
      <c r="F236" s="283"/>
      <c r="G236" s="283"/>
      <c r="H236" s="283"/>
      <c r="I236" s="283"/>
      <c r="J236" s="283"/>
      <c r="K236" s="283"/>
      <c r="L236" s="283"/>
      <c r="M236" s="283"/>
      <c r="N236" s="283"/>
      <c r="O236" s="283"/>
      <c r="P236" s="279"/>
      <c r="Q236" s="283"/>
      <c r="R236" s="283"/>
      <c r="S236" s="283"/>
      <c r="T236" s="283"/>
      <c r="U236" s="283"/>
    </row>
    <row r="237" spans="1:21" s="259" customFormat="1" x14ac:dyDescent="0.2">
      <c r="A237" s="262">
        <v>35</v>
      </c>
      <c r="B237" s="283"/>
      <c r="C237" s="283"/>
      <c r="D237" s="284" t="s">
        <v>1797</v>
      </c>
      <c r="E237" s="283"/>
      <c r="F237" s="283"/>
      <c r="G237" s="283"/>
      <c r="H237" s="213"/>
      <c r="I237" s="283"/>
      <c r="J237" s="213"/>
      <c r="K237" s="283"/>
      <c r="L237" s="283"/>
      <c r="M237" s="283"/>
      <c r="N237" s="283"/>
      <c r="O237" s="283"/>
      <c r="P237" s="279"/>
      <c r="Q237" s="283"/>
      <c r="R237" s="283"/>
      <c r="S237" s="283"/>
      <c r="T237" s="283"/>
      <c r="U237" s="283"/>
    </row>
    <row r="238" spans="1:21" s="259" customFormat="1" x14ac:dyDescent="0.2">
      <c r="A238" s="262">
        <v>36</v>
      </c>
      <c r="B238" s="283"/>
      <c r="C238" s="283"/>
      <c r="D238" s="281" t="s">
        <v>1117</v>
      </c>
      <c r="E238" s="283"/>
      <c r="F238" s="283"/>
      <c r="G238" s="283"/>
      <c r="H238" s="213">
        <f>+'2025 GSLDSU Rate Class E-13c'!J41*1000</f>
        <v>2.0300000000000002</v>
      </c>
      <c r="I238" s="283"/>
      <c r="J238" s="213">
        <f>+'2025 GSLDSU Rate Class E-13c'!Q41*1000</f>
        <v>2.0300000000000002</v>
      </c>
      <c r="K238" s="207">
        <v>2.0099999999999998</v>
      </c>
      <c r="L238" s="207" t="s">
        <v>1750</v>
      </c>
      <c r="M238" s="283"/>
      <c r="N238" s="283"/>
      <c r="O238" s="283"/>
      <c r="P238" s="279" t="s">
        <v>1722</v>
      </c>
      <c r="Q238" s="283"/>
      <c r="R238" s="279"/>
      <c r="S238" s="283"/>
      <c r="T238" s="283"/>
      <c r="U238" s="283"/>
    </row>
    <row r="239" spans="1:21" s="259" customFormat="1" x14ac:dyDescent="0.2">
      <c r="A239" s="262">
        <v>37</v>
      </c>
      <c r="B239" s="283"/>
      <c r="C239" s="283"/>
      <c r="D239" s="282" t="s">
        <v>341</v>
      </c>
      <c r="E239" s="283"/>
      <c r="F239" s="283"/>
      <c r="G239" s="283"/>
      <c r="H239" s="213">
        <f>+'2025 GSLDSU Rate Class E-13c'!J42*1000</f>
        <v>2.0300000000000002</v>
      </c>
      <c r="I239" s="283"/>
      <c r="J239" s="213">
        <f>+'2025 GSLDSU Rate Class E-13c'!Q42*1000</f>
        <v>2.0300000000000002</v>
      </c>
      <c r="K239" s="207">
        <v>2.0099999999999998</v>
      </c>
      <c r="L239" s="207" t="s">
        <v>1750</v>
      </c>
      <c r="M239" s="283"/>
      <c r="N239" s="283"/>
      <c r="O239" s="283"/>
      <c r="P239" s="279" t="s">
        <v>1722</v>
      </c>
      <c r="Q239" s="283"/>
      <c r="R239" s="279"/>
      <c r="S239" s="283"/>
      <c r="T239" s="283"/>
      <c r="U239" s="283"/>
    </row>
    <row r="240" spans="1:21" s="259" customFormat="1" x14ac:dyDescent="0.2">
      <c r="A240" s="262">
        <v>38</v>
      </c>
      <c r="B240" s="283"/>
      <c r="C240" s="283"/>
      <c r="D240" s="277"/>
      <c r="E240" s="283"/>
      <c r="F240" s="283"/>
      <c r="G240" s="283"/>
      <c r="H240" s="283"/>
      <c r="I240" s="283"/>
      <c r="J240" s="283"/>
      <c r="K240" s="283"/>
      <c r="L240" s="283"/>
      <c r="M240" s="283"/>
      <c r="N240" s="283"/>
      <c r="O240" s="283"/>
      <c r="P240" s="279"/>
      <c r="Q240" s="283"/>
      <c r="R240" s="279"/>
      <c r="S240" s="283"/>
      <c r="T240" s="283"/>
      <c r="U240" s="283"/>
    </row>
    <row r="241" spans="1:21" s="259" customFormat="1" x14ac:dyDescent="0.2">
      <c r="A241" s="262">
        <v>39</v>
      </c>
      <c r="B241" s="283"/>
      <c r="C241" s="283"/>
      <c r="D241" s="277" t="s">
        <v>1798</v>
      </c>
      <c r="E241" s="283"/>
      <c r="F241" s="283"/>
      <c r="G241" s="283"/>
      <c r="H241" s="213"/>
      <c r="I241" s="283"/>
      <c r="J241" s="213"/>
      <c r="K241" s="283"/>
      <c r="L241" s="283"/>
      <c r="M241" s="283"/>
      <c r="N241" s="283"/>
      <c r="O241" s="283"/>
      <c r="P241" s="283"/>
      <c r="Q241" s="283"/>
      <c r="R241" s="283"/>
      <c r="S241" s="283"/>
      <c r="T241" s="283"/>
      <c r="U241" s="283"/>
    </row>
    <row r="242" spans="1:21" s="259" customFormat="1" x14ac:dyDescent="0.2">
      <c r="A242" s="262">
        <v>40</v>
      </c>
      <c r="B242" s="283"/>
      <c r="C242" s="283"/>
      <c r="D242" s="281" t="s">
        <v>1117</v>
      </c>
      <c r="E242" s="283"/>
      <c r="F242" s="283"/>
      <c r="G242" s="283"/>
      <c r="H242" s="213">
        <f>+'2025 GSLDSU Rate Class E-13c'!J45*1000</f>
        <v>-1.02</v>
      </c>
      <c r="I242" s="283"/>
      <c r="J242" s="213">
        <f>+'2025 GSLDSU Rate Class E-13c'!Q45*1000</f>
        <v>-1.02</v>
      </c>
      <c r="K242" s="279">
        <v>-1.01</v>
      </c>
      <c r="L242" s="304" t="s">
        <v>1750</v>
      </c>
      <c r="M242" s="279">
        <v>-1.01</v>
      </c>
      <c r="N242" s="283"/>
      <c r="O242" s="283"/>
      <c r="P242" s="279" t="s">
        <v>1722</v>
      </c>
      <c r="Q242" s="283"/>
      <c r="R242" s="283"/>
      <c r="S242" s="277"/>
      <c r="T242" s="283"/>
      <c r="U242" s="283"/>
    </row>
    <row r="243" spans="1:21" s="259" customFormat="1" x14ac:dyDescent="0.2">
      <c r="A243" s="262">
        <v>41</v>
      </c>
      <c r="B243" s="283"/>
      <c r="C243" s="283"/>
      <c r="D243" s="277" t="s">
        <v>341</v>
      </c>
      <c r="E243" s="283"/>
      <c r="F243" s="283"/>
      <c r="G243" s="283"/>
      <c r="H243" s="213">
        <f>+'2025 GSLDSU Rate Class E-13c'!J46*1000</f>
        <v>-1.02</v>
      </c>
      <c r="I243" s="283"/>
      <c r="J243" s="213">
        <f>+'2025 GSLDSU Rate Class E-13c'!Q46*1000</f>
        <v>-1.02</v>
      </c>
      <c r="K243" s="279">
        <v>-1.01</v>
      </c>
      <c r="L243" s="304" t="s">
        <v>1750</v>
      </c>
      <c r="M243" s="279">
        <v>-1.01</v>
      </c>
      <c r="N243" s="283"/>
      <c r="O243" s="283"/>
      <c r="P243" s="279" t="s">
        <v>1722</v>
      </c>
      <c r="Q243" s="283"/>
      <c r="R243" s="277"/>
      <c r="S243" s="283"/>
      <c r="T243" s="283"/>
      <c r="U243" s="283"/>
    </row>
    <row r="244" spans="1:21" s="259" customFormat="1" x14ac:dyDescent="0.2">
      <c r="A244" s="262">
        <v>42</v>
      </c>
      <c r="B244" s="283"/>
      <c r="C244" s="283"/>
      <c r="D244" s="282"/>
      <c r="E244" s="283"/>
      <c r="F244" s="283"/>
      <c r="G244" s="283"/>
      <c r="H244" s="283"/>
      <c r="I244" s="283"/>
      <c r="J244" s="283"/>
      <c r="K244" s="283"/>
      <c r="L244" s="283"/>
      <c r="M244" s="283"/>
      <c r="N244" s="283"/>
      <c r="O244" s="283"/>
      <c r="P244" s="279"/>
      <c r="Q244" s="283"/>
      <c r="R244" s="277"/>
      <c r="S244" s="283"/>
      <c r="T244" s="283"/>
      <c r="U244" s="283"/>
    </row>
    <row r="245" spans="1:21" s="259" customFormat="1" x14ac:dyDescent="0.2">
      <c r="A245" s="262">
        <v>43</v>
      </c>
      <c r="B245" s="283"/>
      <c r="C245" s="283"/>
      <c r="D245" s="277"/>
      <c r="E245" s="283"/>
      <c r="F245" s="283"/>
      <c r="G245" s="283"/>
      <c r="H245" s="283"/>
      <c r="I245" s="283"/>
      <c r="J245" s="283"/>
      <c r="K245" s="283"/>
      <c r="L245" s="283"/>
      <c r="M245" s="283"/>
      <c r="N245" s="283"/>
      <c r="O245" s="283"/>
      <c r="P245" s="283"/>
      <c r="Q245" s="283"/>
      <c r="R245" s="277"/>
      <c r="S245" s="283"/>
      <c r="T245" s="283"/>
      <c r="U245" s="283"/>
    </row>
    <row r="246" spans="1:21" s="259" customFormat="1" x14ac:dyDescent="0.2">
      <c r="A246" s="262">
        <v>44</v>
      </c>
      <c r="B246" s="283"/>
      <c r="C246" s="283"/>
      <c r="D246" s="283"/>
      <c r="E246" s="283"/>
      <c r="F246" s="283"/>
      <c r="G246" s="283"/>
      <c r="H246" s="277"/>
      <c r="I246" s="277"/>
      <c r="J246" s="277"/>
      <c r="K246" s="277"/>
      <c r="L246" s="277"/>
      <c r="M246" s="277"/>
      <c r="N246" s="277"/>
      <c r="O246" s="277"/>
      <c r="P246" s="277"/>
      <c r="Q246" s="277"/>
      <c r="R246" s="277"/>
      <c r="S246" s="277"/>
      <c r="T246" s="283"/>
      <c r="U246" s="283"/>
    </row>
    <row r="247" spans="1:21" s="259" customFormat="1" x14ac:dyDescent="0.2">
      <c r="A247" s="262">
        <v>45</v>
      </c>
      <c r="B247" s="283"/>
      <c r="C247" s="283"/>
      <c r="D247" s="283"/>
      <c r="E247" s="283"/>
      <c r="F247" s="283"/>
      <c r="G247" s="283"/>
      <c r="H247" s="277"/>
      <c r="I247" s="277"/>
      <c r="J247" s="277"/>
      <c r="K247" s="277"/>
      <c r="L247" s="277"/>
      <c r="M247" s="277"/>
      <c r="N247" s="277"/>
      <c r="O247" s="277"/>
      <c r="P247" s="277"/>
      <c r="Q247" s="277"/>
      <c r="R247" s="277"/>
      <c r="S247" s="277"/>
      <c r="T247" s="287"/>
      <c r="U247" s="283"/>
    </row>
    <row r="248" spans="1:21" s="259" customFormat="1" ht="13.5" thickBot="1" x14ac:dyDescent="0.25">
      <c r="A248" s="257" t="s">
        <v>1699</v>
      </c>
      <c r="B248" s="295"/>
      <c r="C248" s="296"/>
      <c r="D248" s="296"/>
      <c r="E248" s="296"/>
      <c r="F248" s="295"/>
      <c r="G248" s="296"/>
      <c r="H248" s="296"/>
      <c r="I248" s="296"/>
      <c r="J248" s="296"/>
      <c r="K248" s="296"/>
      <c r="L248" s="296"/>
      <c r="M248" s="296"/>
      <c r="N248" s="296"/>
      <c r="O248" s="296"/>
      <c r="P248" s="296"/>
      <c r="Q248" s="296"/>
      <c r="R248" s="296"/>
      <c r="S248" s="296"/>
      <c r="T248" s="296"/>
      <c r="U248" s="296" t="s">
        <v>1799</v>
      </c>
    </row>
    <row r="249" spans="1:21" s="259" customFormat="1" x14ac:dyDescent="0.2">
      <c r="A249" s="260"/>
      <c r="B249" s="277"/>
      <c r="C249" s="277"/>
      <c r="D249" s="277"/>
      <c r="E249" s="277"/>
      <c r="F249" s="277"/>
      <c r="G249" s="277"/>
      <c r="H249" s="277"/>
      <c r="I249" s="277"/>
      <c r="J249" s="277"/>
      <c r="K249" s="277"/>
      <c r="L249" s="277"/>
      <c r="M249" s="277"/>
      <c r="N249" s="277"/>
      <c r="O249" s="277"/>
      <c r="P249" s="277"/>
      <c r="Q249" s="277"/>
      <c r="R249" s="277"/>
      <c r="S249" s="277"/>
      <c r="T249" s="277"/>
      <c r="U249" s="277"/>
    </row>
    <row r="250" spans="1:21" s="259" customFormat="1" x14ac:dyDescent="0.2">
      <c r="A250" s="260"/>
      <c r="B250" s="599" t="s">
        <v>987</v>
      </c>
      <c r="C250" s="599"/>
      <c r="D250" s="277"/>
      <c r="E250" s="277"/>
      <c r="F250" s="283"/>
      <c r="G250" s="283"/>
      <c r="H250" s="281" t="s">
        <v>1702</v>
      </c>
      <c r="I250" s="281"/>
      <c r="J250" s="281" t="s">
        <v>984</v>
      </c>
      <c r="K250" s="281"/>
      <c r="L250" s="281" t="s">
        <v>1703</v>
      </c>
      <c r="M250" s="281"/>
      <c r="N250" s="281"/>
      <c r="O250" s="277"/>
      <c r="P250" s="277"/>
      <c r="Q250" s="277"/>
      <c r="R250" s="277"/>
      <c r="S250" s="277"/>
      <c r="T250" s="277"/>
      <c r="U250" s="277"/>
    </row>
    <row r="251" spans="1:21" s="259" customFormat="1" x14ac:dyDescent="0.2">
      <c r="A251" s="263" t="s">
        <v>1704</v>
      </c>
      <c r="B251" s="598" t="s">
        <v>1705</v>
      </c>
      <c r="C251" s="598"/>
      <c r="D251" s="598" t="s">
        <v>1706</v>
      </c>
      <c r="E251" s="598"/>
      <c r="F251" s="598"/>
      <c r="G251" s="283"/>
      <c r="H251" s="297" t="s">
        <v>987</v>
      </c>
      <c r="I251" s="281"/>
      <c r="J251" s="297" t="s">
        <v>987</v>
      </c>
      <c r="K251" s="281"/>
      <c r="L251" s="297" t="s">
        <v>1707</v>
      </c>
      <c r="M251" s="281"/>
      <c r="N251" s="297" t="s">
        <v>1708</v>
      </c>
      <c r="O251" s="283"/>
      <c r="P251" s="598" t="s">
        <v>1709</v>
      </c>
      <c r="Q251" s="598"/>
      <c r="R251" s="598"/>
      <c r="S251" s="598"/>
      <c r="T251" s="598"/>
      <c r="U251" s="277"/>
    </row>
    <row r="252" spans="1:21" s="259" customFormat="1" x14ac:dyDescent="0.2">
      <c r="A252" s="262">
        <v>1</v>
      </c>
      <c r="B252" s="283"/>
      <c r="C252" s="283"/>
      <c r="D252" s="283"/>
      <c r="E252" s="283"/>
      <c r="F252" s="283"/>
      <c r="G252" s="283"/>
      <c r="H252" s="283"/>
      <c r="I252" s="283"/>
      <c r="J252" s="283"/>
      <c r="K252" s="283"/>
      <c r="L252" s="283"/>
      <c r="M252" s="283"/>
      <c r="N252" s="283"/>
      <c r="O252" s="283"/>
      <c r="P252" s="283"/>
      <c r="Q252" s="283"/>
      <c r="R252" s="283"/>
      <c r="S252" s="277"/>
      <c r="T252" s="283"/>
      <c r="U252" s="283"/>
    </row>
    <row r="253" spans="1:21" s="259" customFormat="1" x14ac:dyDescent="0.2">
      <c r="A253" s="262">
        <v>2</v>
      </c>
      <c r="B253" s="277" t="s">
        <v>459</v>
      </c>
      <c r="C253" s="283"/>
      <c r="D253" s="283"/>
      <c r="E253" s="283"/>
      <c r="F253" s="283"/>
      <c r="G253" s="283"/>
      <c r="H253" s="283"/>
      <c r="I253" s="283"/>
      <c r="J253" s="283"/>
      <c r="K253" s="283"/>
      <c r="L253" s="283"/>
      <c r="M253" s="283"/>
      <c r="N253" s="283"/>
      <c r="O253" s="283"/>
      <c r="P253" s="283"/>
      <c r="Q253" s="277"/>
      <c r="R253" s="277"/>
      <c r="S253" s="288"/>
      <c r="T253" s="283"/>
      <c r="U253" s="283"/>
    </row>
    <row r="254" spans="1:21" s="259" customFormat="1" x14ac:dyDescent="0.2">
      <c r="A254" s="262">
        <v>3</v>
      </c>
      <c r="B254" s="283"/>
      <c r="C254" s="283"/>
      <c r="D254" s="277" t="s">
        <v>1823</v>
      </c>
      <c r="E254" s="283"/>
      <c r="F254" s="283"/>
      <c r="G254" s="283"/>
      <c r="H254" s="213"/>
      <c r="I254" s="283"/>
      <c r="J254" s="283"/>
      <c r="K254" s="283"/>
      <c r="L254" s="283"/>
      <c r="M254" s="283"/>
      <c r="N254" s="283"/>
      <c r="O254" s="283"/>
      <c r="P254" s="283"/>
      <c r="Q254" s="277"/>
      <c r="R254" s="277"/>
      <c r="S254" s="277"/>
      <c r="T254" s="283"/>
      <c r="U254" s="283"/>
    </row>
    <row r="255" spans="1:21" s="259" customFormat="1" x14ac:dyDescent="0.2">
      <c r="A255" s="262">
        <v>4</v>
      </c>
      <c r="B255" s="283"/>
      <c r="C255" s="283"/>
      <c r="D255" s="277" t="s">
        <v>1737</v>
      </c>
      <c r="E255" s="283"/>
      <c r="F255" s="283"/>
      <c r="G255" s="283"/>
      <c r="H255" s="213"/>
      <c r="I255" s="283"/>
      <c r="J255" s="283"/>
      <c r="K255" s="283"/>
      <c r="L255" s="283"/>
      <c r="M255" s="283"/>
      <c r="N255" s="283"/>
      <c r="O255" s="283"/>
      <c r="P255" s="283"/>
      <c r="Q255" s="277"/>
      <c r="R255" s="277"/>
      <c r="S255" s="277"/>
      <c r="T255" s="283"/>
      <c r="U255" s="283"/>
    </row>
    <row r="256" spans="1:21" s="259" customFormat="1" x14ac:dyDescent="0.2">
      <c r="A256" s="262">
        <v>5</v>
      </c>
      <c r="B256" s="283"/>
      <c r="C256" s="283"/>
      <c r="D256" s="281" t="s">
        <v>328</v>
      </c>
      <c r="E256" s="283"/>
      <c r="F256" s="283"/>
      <c r="G256" s="283"/>
      <c r="H256" s="213">
        <f>+'2025 GSLDPR Rate Class E-13c'!J73</f>
        <v>20.350000000000001</v>
      </c>
      <c r="I256" s="283"/>
      <c r="J256" s="213">
        <f>+'2025 GSLDPR Rate Class E-13c'!Q73</f>
        <v>22.24</v>
      </c>
      <c r="K256" s="279"/>
      <c r="L256" s="280">
        <f>+'Unit Cost Rate Design Input'!D130</f>
        <v>22.24</v>
      </c>
      <c r="M256" s="283"/>
      <c r="N256" s="277" t="s">
        <v>1786</v>
      </c>
      <c r="O256" s="290"/>
      <c r="P256" s="277" t="s">
        <v>1800</v>
      </c>
      <c r="Q256" s="277"/>
      <c r="R256" s="277"/>
      <c r="S256" s="288"/>
      <c r="T256" s="283"/>
      <c r="U256" s="283"/>
    </row>
    <row r="257" spans="1:21" s="259" customFormat="1" x14ac:dyDescent="0.2">
      <c r="A257" s="262">
        <v>6</v>
      </c>
      <c r="B257" s="283"/>
      <c r="C257" s="283"/>
      <c r="D257" s="288" t="s">
        <v>1801</v>
      </c>
      <c r="E257" s="283"/>
      <c r="F257" s="283"/>
      <c r="G257" s="283"/>
      <c r="H257" s="213">
        <f>+'2025 GSLDPR Rate Class E-13c'!J74</f>
        <v>20.350000000000001</v>
      </c>
      <c r="I257" s="279"/>
      <c r="J257" s="213">
        <f>+'2025 GSLDPR Rate Class E-13c'!Q74</f>
        <v>22.24</v>
      </c>
      <c r="K257" s="279"/>
      <c r="L257" s="280">
        <f>+'Unit Cost Rate Design Input'!D131</f>
        <v>22.24</v>
      </c>
      <c r="M257" s="279"/>
      <c r="N257" s="277" t="s">
        <v>1786</v>
      </c>
      <c r="O257" s="283"/>
      <c r="P257" s="277" t="s">
        <v>1800</v>
      </c>
      <c r="Q257" s="277"/>
      <c r="R257" s="277"/>
      <c r="S257" s="277"/>
      <c r="T257" s="283"/>
      <c r="U257" s="283"/>
    </row>
    <row r="258" spans="1:21" s="259" customFormat="1" x14ac:dyDescent="0.2">
      <c r="A258" s="262">
        <v>7</v>
      </c>
      <c r="B258" s="283"/>
      <c r="C258" s="283"/>
      <c r="D258" s="277"/>
      <c r="E258" s="283"/>
      <c r="F258" s="283"/>
      <c r="G258" s="283"/>
      <c r="H258" s="283"/>
      <c r="I258" s="283"/>
      <c r="J258" s="283"/>
      <c r="K258" s="283"/>
      <c r="L258" s="283"/>
      <c r="M258" s="283"/>
      <c r="N258" s="283"/>
      <c r="O258" s="283"/>
      <c r="P258" s="283"/>
      <c r="Q258" s="283"/>
      <c r="R258" s="277"/>
      <c r="S258" s="277"/>
      <c r="T258" s="283"/>
      <c r="U258" s="283"/>
    </row>
    <row r="259" spans="1:21" s="259" customFormat="1" x14ac:dyDescent="0.2">
      <c r="A259" s="262">
        <v>8</v>
      </c>
      <c r="B259" s="283"/>
      <c r="C259" s="283"/>
      <c r="D259" s="277" t="s">
        <v>1739</v>
      </c>
      <c r="E259" s="283"/>
      <c r="F259" s="283"/>
      <c r="G259" s="283"/>
      <c r="H259" s="213"/>
      <c r="I259" s="283"/>
      <c r="J259" s="213"/>
      <c r="K259" s="126"/>
      <c r="L259" s="283"/>
      <c r="M259" s="283"/>
      <c r="N259" s="290"/>
      <c r="O259" s="278"/>
      <c r="P259" s="278"/>
      <c r="Q259" s="283"/>
      <c r="R259" s="277"/>
      <c r="S259" s="277"/>
      <c r="T259" s="283"/>
      <c r="U259" s="283"/>
    </row>
    <row r="260" spans="1:21" s="259" customFormat="1" x14ac:dyDescent="0.2">
      <c r="A260" s="262">
        <v>9</v>
      </c>
      <c r="B260" s="283"/>
      <c r="C260" s="283"/>
      <c r="D260" s="277" t="s">
        <v>1768</v>
      </c>
      <c r="E260" s="283"/>
      <c r="F260" s="283"/>
      <c r="G260" s="283"/>
      <c r="H260" s="213"/>
      <c r="I260" s="126"/>
      <c r="J260" s="213"/>
      <c r="K260" s="126"/>
      <c r="L260" s="281"/>
      <c r="M260" s="277"/>
      <c r="N260" s="278"/>
      <c r="O260" s="278"/>
      <c r="P260" s="277"/>
      <c r="Q260" s="283"/>
      <c r="R260" s="283"/>
      <c r="S260" s="277"/>
      <c r="T260" s="283"/>
      <c r="U260" s="283"/>
    </row>
    <row r="261" spans="1:21" s="259" customFormat="1" x14ac:dyDescent="0.2">
      <c r="A261" s="262">
        <v>10</v>
      </c>
      <c r="B261" s="283"/>
      <c r="C261" s="283"/>
      <c r="D261" s="281" t="s">
        <v>1802</v>
      </c>
      <c r="E261" s="283"/>
      <c r="F261" s="283"/>
      <c r="G261" s="283"/>
      <c r="H261" s="213">
        <f>+'2025 GSLDPR Rate Class E-13c'!J92</f>
        <v>11.88</v>
      </c>
      <c r="I261" s="126"/>
      <c r="J261" s="213">
        <f>+'2025 GSLDPR Rate Class E-13c'!Q92</f>
        <v>12.998543718400001</v>
      </c>
      <c r="K261" s="200">
        <v>15</v>
      </c>
      <c r="L261" s="280">
        <f>+'Unit Cost Rate Design Input'!D132</f>
        <v>15.68</v>
      </c>
      <c r="M261" s="277"/>
      <c r="N261" s="277" t="s">
        <v>1740</v>
      </c>
      <c r="O261" s="278"/>
      <c r="P261" s="277" t="s">
        <v>1807</v>
      </c>
      <c r="Q261" s="283"/>
      <c r="R261" s="283"/>
      <c r="S261" s="277"/>
      <c r="T261" s="283"/>
      <c r="U261" s="283"/>
    </row>
    <row r="262" spans="1:21" s="259" customFormat="1" x14ac:dyDescent="0.2">
      <c r="A262" s="262">
        <v>11</v>
      </c>
      <c r="B262" s="283"/>
      <c r="C262" s="283"/>
      <c r="D262" s="288" t="s">
        <v>1770</v>
      </c>
      <c r="E262" s="283"/>
      <c r="F262" s="283"/>
      <c r="G262" s="283"/>
      <c r="H262" s="213">
        <f>+'2025 GSLDPR Rate Class E-13c'!J93</f>
        <v>3.77</v>
      </c>
      <c r="I262" s="283"/>
      <c r="J262" s="213">
        <f>+'2025 GSLDPR Rate Class E-13c'!Q93</f>
        <v>2.9252046763999999</v>
      </c>
      <c r="K262" s="279">
        <v>4.79</v>
      </c>
      <c r="L262" s="280">
        <f>+'Unit Cost Rate Design Input'!D133</f>
        <v>3.53</v>
      </c>
      <c r="M262" s="283"/>
      <c r="N262" s="277" t="s">
        <v>1740</v>
      </c>
      <c r="O262" s="283"/>
      <c r="P262" s="277" t="s">
        <v>1807</v>
      </c>
      <c r="Q262" s="283"/>
      <c r="R262" s="283"/>
      <c r="S262" s="277"/>
      <c r="T262" s="283"/>
      <c r="U262" s="283"/>
    </row>
    <row r="263" spans="1:21" s="259" customFormat="1" x14ac:dyDescent="0.2">
      <c r="A263" s="262">
        <v>12</v>
      </c>
      <c r="B263" s="283"/>
      <c r="C263" s="283"/>
      <c r="D263" s="277" t="s">
        <v>1772</v>
      </c>
      <c r="E263" s="283"/>
      <c r="F263" s="283"/>
      <c r="G263" s="283"/>
      <c r="H263" s="213">
        <f>+'2025 GSLDPR Rate Class E-13c'!J94</f>
        <v>8.08</v>
      </c>
      <c r="I263" s="283"/>
      <c r="J263" s="213">
        <f>+'2025 GSLDPR Rate Class E-13c'!Q94</f>
        <v>10.068339042</v>
      </c>
      <c r="K263" s="279">
        <v>9.81</v>
      </c>
      <c r="L263" s="280">
        <f>+'Unit Cost Rate Design Input'!D134</f>
        <v>12.15</v>
      </c>
      <c r="M263" s="283"/>
      <c r="N263" s="283"/>
      <c r="O263" s="283"/>
      <c r="P263" s="277" t="s">
        <v>1807</v>
      </c>
      <c r="Q263" s="283"/>
      <c r="R263" s="283"/>
      <c r="S263" s="277"/>
      <c r="T263" s="283"/>
      <c r="U263" s="283"/>
    </row>
    <row r="264" spans="1:21" s="259" customFormat="1" x14ac:dyDescent="0.2">
      <c r="A264" s="262">
        <v>13</v>
      </c>
      <c r="B264" s="283"/>
      <c r="C264" s="283"/>
      <c r="D264" s="277"/>
      <c r="E264" s="283"/>
      <c r="F264" s="283"/>
      <c r="G264" s="283"/>
      <c r="H264" s="283"/>
      <c r="I264" s="283"/>
      <c r="J264" s="283"/>
      <c r="K264" s="283"/>
      <c r="L264" s="283"/>
      <c r="M264" s="283"/>
      <c r="N264" s="283"/>
      <c r="O264" s="283"/>
      <c r="P264" s="283"/>
      <c r="Q264" s="283"/>
      <c r="R264" s="283"/>
      <c r="S264" s="283"/>
      <c r="T264" s="283"/>
      <c r="U264" s="283"/>
    </row>
    <row r="265" spans="1:21" s="259" customFormat="1" x14ac:dyDescent="0.2">
      <c r="A265" s="262">
        <v>14</v>
      </c>
      <c r="B265" s="283"/>
      <c r="C265" s="283"/>
      <c r="D265" s="277" t="s">
        <v>1803</v>
      </c>
      <c r="E265" s="283"/>
      <c r="F265" s="283"/>
      <c r="G265" s="283"/>
      <c r="H265" s="213"/>
      <c r="I265" s="283"/>
      <c r="J265" s="213"/>
      <c r="K265" s="283"/>
      <c r="L265" s="283"/>
      <c r="M265" s="283"/>
      <c r="N265" s="283"/>
      <c r="O265" s="283"/>
      <c r="P265" s="283"/>
      <c r="Q265" s="283"/>
      <c r="R265" s="283"/>
      <c r="S265" s="283"/>
      <c r="T265" s="283"/>
      <c r="U265" s="283"/>
    </row>
    <row r="266" spans="1:21" s="259" customFormat="1" x14ac:dyDescent="0.2">
      <c r="A266" s="262">
        <v>15</v>
      </c>
      <c r="B266" s="283"/>
      <c r="C266" s="283"/>
      <c r="D266" s="277" t="s">
        <v>1804</v>
      </c>
      <c r="E266" s="283"/>
      <c r="F266" s="283"/>
      <c r="G266" s="283"/>
      <c r="H266" s="213">
        <f>+'2025 GSLDPR Rate Class E-13c'!J98</f>
        <v>1.33</v>
      </c>
      <c r="I266" s="283"/>
      <c r="J266" s="213">
        <f>+'2025 GSLDPR Rate Class E-13c'!Q98</f>
        <v>1.7070599527999999</v>
      </c>
      <c r="K266" s="279">
        <v>1.93</v>
      </c>
      <c r="L266" s="280">
        <f>+'Unit Cost Rate Design Input'!D135</f>
        <v>2.06</v>
      </c>
      <c r="M266" s="283"/>
      <c r="N266" s="277" t="s">
        <v>1754</v>
      </c>
      <c r="O266" s="283"/>
      <c r="P266" s="277" t="s">
        <v>1807</v>
      </c>
      <c r="Q266" s="283"/>
      <c r="R266" s="283"/>
      <c r="S266" s="283"/>
      <c r="T266" s="283"/>
      <c r="U266" s="283"/>
    </row>
    <row r="267" spans="1:21" s="259" customFormat="1" x14ac:dyDescent="0.2">
      <c r="A267" s="262">
        <v>16</v>
      </c>
      <c r="B267" s="283"/>
      <c r="C267" s="283"/>
      <c r="D267" s="288" t="s">
        <v>1805</v>
      </c>
      <c r="E267" s="283"/>
      <c r="F267" s="283"/>
      <c r="G267" s="283"/>
      <c r="H267" s="213">
        <f>+'2025 GSLDPR Rate Class E-13c'!J99</f>
        <v>1.43</v>
      </c>
      <c r="I267" s="283"/>
      <c r="J267" s="213">
        <f>+'2025 GSLDPR Rate Class E-13c'!Q99</f>
        <v>1.5578993743999998</v>
      </c>
      <c r="K267" s="279">
        <v>2.2200000000000002</v>
      </c>
      <c r="L267" s="280">
        <f>+'Unit Cost Rate Design Input'!D136</f>
        <v>1.88</v>
      </c>
      <c r="M267" s="283"/>
      <c r="N267" s="277" t="s">
        <v>1754</v>
      </c>
      <c r="O267" s="283"/>
      <c r="P267" s="277" t="s">
        <v>1807</v>
      </c>
      <c r="Q267" s="283"/>
      <c r="R267" s="283"/>
      <c r="S267" s="283"/>
      <c r="T267" s="283"/>
      <c r="U267" s="283"/>
    </row>
    <row r="268" spans="1:21" s="259" customFormat="1" x14ac:dyDescent="0.2">
      <c r="A268" s="262">
        <v>17</v>
      </c>
      <c r="B268" s="283"/>
      <c r="C268" s="283"/>
      <c r="D268" s="277" t="s">
        <v>1806</v>
      </c>
      <c r="E268" s="283"/>
      <c r="F268" s="283"/>
      <c r="G268" s="283"/>
      <c r="H268" s="213">
        <f>+'2025 GSLDPR Rate Class E-13c'!J100</f>
        <v>0.56000000000000005</v>
      </c>
      <c r="I268" s="283"/>
      <c r="J268" s="213">
        <f>+'2025 GSLDPR Rate Class E-13c'!Q100</f>
        <v>0.62150240999999995</v>
      </c>
      <c r="K268" s="279">
        <v>0.88</v>
      </c>
      <c r="L268" s="280">
        <f>+'Unit Cost Rate Design Input'!D137</f>
        <v>0.75</v>
      </c>
      <c r="M268" s="283"/>
      <c r="N268" s="277" t="s">
        <v>1754</v>
      </c>
      <c r="O268" s="283"/>
      <c r="P268" s="277" t="s">
        <v>1807</v>
      </c>
      <c r="Q268" s="283"/>
      <c r="R268" s="277"/>
      <c r="S268" s="277"/>
      <c r="T268" s="283"/>
      <c r="U268" s="283"/>
    </row>
    <row r="269" spans="1:21" x14ac:dyDescent="0.2">
      <c r="A269" s="262">
        <v>18</v>
      </c>
      <c r="B269" s="283"/>
      <c r="C269" s="283"/>
      <c r="D269" s="277" t="s">
        <v>1774</v>
      </c>
      <c r="E269" s="283"/>
      <c r="F269" s="283"/>
      <c r="G269" s="283"/>
      <c r="H269" s="213">
        <f>+'2025 GSLDPR Rate Class E-13c'!J101</f>
        <v>1.33</v>
      </c>
      <c r="I269" s="283"/>
      <c r="J269" s="213">
        <f>+'2025 GSLDPR Rate Class E-13c'!Q101</f>
        <v>1.7070599527999999</v>
      </c>
      <c r="K269" s="279">
        <v>1.93</v>
      </c>
      <c r="L269" s="280">
        <f>+'Unit Cost Rate Design Input'!D138</f>
        <v>2.06</v>
      </c>
      <c r="M269" s="283"/>
      <c r="N269" s="277" t="s">
        <v>1754</v>
      </c>
      <c r="O269" s="283"/>
      <c r="P269" s="277" t="s">
        <v>1807</v>
      </c>
      <c r="Q269" s="277"/>
      <c r="R269" s="283"/>
      <c r="S269" s="283"/>
      <c r="T269" s="283"/>
      <c r="U269" s="283"/>
    </row>
    <row r="270" spans="1:21" x14ac:dyDescent="0.2">
      <c r="A270" s="262">
        <v>19</v>
      </c>
      <c r="B270" s="277"/>
      <c r="C270" s="277"/>
      <c r="D270" s="277" t="s">
        <v>1776</v>
      </c>
      <c r="E270" s="283"/>
      <c r="F270" s="283"/>
      <c r="G270" s="283"/>
      <c r="H270" s="213">
        <f>+'2025 GSLDPR Rate Class E-13c'!J102</f>
        <v>1.43</v>
      </c>
      <c r="I270" s="203"/>
      <c r="J270" s="213">
        <f>+'2025 GSLDPR Rate Class E-13c'!Q102</f>
        <v>1.5578993743999998</v>
      </c>
      <c r="K270" s="279">
        <v>2.2200000000000002</v>
      </c>
      <c r="L270" s="280">
        <f>+'Unit Cost Rate Design Input'!D139</f>
        <v>1.88</v>
      </c>
      <c r="M270" s="277"/>
      <c r="N270" s="277" t="s">
        <v>1754</v>
      </c>
      <c r="O270" s="277"/>
      <c r="P270" s="277" t="s">
        <v>1807</v>
      </c>
      <c r="Q270" s="283"/>
      <c r="R270" s="283"/>
      <c r="S270" s="283"/>
      <c r="T270" s="283"/>
      <c r="U270" s="283"/>
    </row>
    <row r="271" spans="1:21" x14ac:dyDescent="0.2">
      <c r="A271" s="262">
        <v>20</v>
      </c>
      <c r="B271" s="277"/>
      <c r="C271" s="277"/>
      <c r="D271" s="277" t="s">
        <v>1777</v>
      </c>
      <c r="E271" s="277"/>
      <c r="F271" s="277"/>
      <c r="G271" s="277"/>
      <c r="H271" s="213">
        <f>+'2025 GSLDPR Rate Class E-13c'!J103</f>
        <v>0.56000000000000005</v>
      </c>
      <c r="I271" s="277"/>
      <c r="J271" s="213">
        <f>+'2025 GSLDPR Rate Class E-13c'!Q103</f>
        <v>0.62150240999999995</v>
      </c>
      <c r="K271" s="200">
        <v>0.88</v>
      </c>
      <c r="L271" s="280">
        <f>+'Unit Cost Rate Design Input'!D140</f>
        <v>0.75</v>
      </c>
      <c r="M271" s="277"/>
      <c r="N271" s="277" t="s">
        <v>1754</v>
      </c>
      <c r="O271" s="277"/>
      <c r="P271" s="277" t="s">
        <v>1807</v>
      </c>
      <c r="Q271" s="283"/>
      <c r="R271" s="283"/>
      <c r="S271" s="283"/>
      <c r="T271" s="283"/>
      <c r="U271" s="283"/>
    </row>
    <row r="272" spans="1:21" x14ac:dyDescent="0.2">
      <c r="A272" s="262">
        <v>21</v>
      </c>
      <c r="B272" s="277"/>
      <c r="C272" s="277"/>
      <c r="D272" s="288"/>
      <c r="E272" s="277"/>
      <c r="F272" s="277"/>
      <c r="G272" s="277"/>
      <c r="H272" s="200"/>
      <c r="I272" s="203"/>
      <c r="J272" s="200"/>
      <c r="K272" s="277"/>
      <c r="L272" s="277"/>
      <c r="M272" s="277"/>
      <c r="N272" s="277"/>
      <c r="O272" s="277"/>
      <c r="P272" s="277"/>
      <c r="Q272" s="283"/>
      <c r="R272" s="283"/>
      <c r="S272" s="283"/>
      <c r="T272" s="283"/>
      <c r="U272" s="283"/>
    </row>
    <row r="273" spans="1:21" x14ac:dyDescent="0.2">
      <c r="A273" s="262">
        <v>22</v>
      </c>
      <c r="B273" s="277"/>
      <c r="C273" s="277"/>
      <c r="D273" s="277" t="s">
        <v>1744</v>
      </c>
      <c r="E273" s="277"/>
      <c r="F273" s="277"/>
      <c r="G273" s="277"/>
      <c r="H273" s="213"/>
      <c r="I273" s="67"/>
      <c r="J273" s="213"/>
      <c r="K273" s="277"/>
      <c r="L273" s="277"/>
      <c r="M273" s="277"/>
      <c r="N273" s="277"/>
      <c r="O273" s="277"/>
      <c r="P273" s="277"/>
      <c r="Q273" s="283"/>
      <c r="R273" s="283"/>
      <c r="S273" s="283"/>
      <c r="T273" s="283"/>
      <c r="U273" s="283"/>
    </row>
    <row r="274" spans="1:21" x14ac:dyDescent="0.2">
      <c r="A274" s="262">
        <v>23</v>
      </c>
      <c r="B274" s="283"/>
      <c r="C274" s="283"/>
      <c r="D274" s="277" t="s">
        <v>1101</v>
      </c>
      <c r="E274" s="277"/>
      <c r="F274" s="277"/>
      <c r="G274" s="277"/>
      <c r="H274" s="213"/>
      <c r="I274" s="287"/>
      <c r="J274" s="213"/>
      <c r="K274" s="287"/>
      <c r="L274" s="287"/>
      <c r="M274" s="277"/>
      <c r="N274" s="277"/>
      <c r="O274" s="277"/>
      <c r="P274" s="288"/>
      <c r="Q274" s="283"/>
      <c r="R274" s="283"/>
      <c r="S274" s="283"/>
      <c r="T274" s="283"/>
      <c r="U274" s="283"/>
    </row>
    <row r="275" spans="1:21" x14ac:dyDescent="0.2">
      <c r="A275" s="262">
        <v>24</v>
      </c>
      <c r="B275" s="277"/>
      <c r="C275" s="277"/>
      <c r="D275" s="281" t="s">
        <v>328</v>
      </c>
      <c r="E275" s="283"/>
      <c r="F275" s="283"/>
      <c r="G275" s="283"/>
      <c r="H275" s="213">
        <f>+'2025 GSLDPR Rate Class E-13c'!J78*1000</f>
        <v>10.42</v>
      </c>
      <c r="I275" s="283"/>
      <c r="J275" s="213">
        <f>+'2025 GSLDPR Rate Class E-13c'!Q78*1000</f>
        <v>10.628400000000001</v>
      </c>
      <c r="K275" s="279">
        <v>14</v>
      </c>
      <c r="L275" s="279"/>
      <c r="M275" s="283"/>
      <c r="N275" s="283"/>
      <c r="O275" s="283"/>
      <c r="P275" s="277" t="s">
        <v>1807</v>
      </c>
      <c r="Q275" s="283"/>
      <c r="R275" s="283"/>
      <c r="S275" s="283"/>
      <c r="T275" s="283"/>
      <c r="U275" s="283"/>
    </row>
    <row r="276" spans="1:21" x14ac:dyDescent="0.2">
      <c r="A276" s="262">
        <v>25</v>
      </c>
      <c r="B276" s="283"/>
      <c r="C276" s="283"/>
      <c r="D276" s="288" t="s">
        <v>344</v>
      </c>
      <c r="E276" s="283"/>
      <c r="F276" s="283"/>
      <c r="G276" s="283"/>
      <c r="H276" s="213">
        <f>+'2025 GSLDPR Rate Class E-13c'!J79*1000</f>
        <v>15.84</v>
      </c>
      <c r="I276" s="283"/>
      <c r="J276" s="213">
        <f>+'2025 GSLDPR Rate Class E-13c'!Q79*1000</f>
        <v>17.248200000000001</v>
      </c>
      <c r="K276" s="279">
        <v>30.47</v>
      </c>
      <c r="L276" s="279"/>
      <c r="M276" s="283"/>
      <c r="N276" s="283"/>
      <c r="O276" s="283"/>
      <c r="P276" s="277" t="s">
        <v>1828</v>
      </c>
      <c r="Q276" s="283"/>
      <c r="R276" s="283"/>
      <c r="S276" s="283"/>
      <c r="T276" s="283"/>
      <c r="U276" s="283"/>
    </row>
    <row r="277" spans="1:21" x14ac:dyDescent="0.2">
      <c r="A277" s="262">
        <v>26</v>
      </c>
      <c r="B277" s="283"/>
      <c r="C277" s="283"/>
      <c r="D277" s="288" t="s">
        <v>345</v>
      </c>
      <c r="E277" s="283"/>
      <c r="F277" s="283"/>
      <c r="G277" s="283"/>
      <c r="H277" s="213">
        <f>+'2025 GSLDPR Rate Class E-13c'!J80*1000</f>
        <v>8.4700000000000006</v>
      </c>
      <c r="I277" s="283"/>
      <c r="J277" s="213">
        <f>+'2025 GSLDPR Rate Class E-13c'!Q80*1000</f>
        <v>10.478200000000001</v>
      </c>
      <c r="K277" s="279">
        <v>8.07</v>
      </c>
      <c r="L277" s="279"/>
      <c r="M277" s="283"/>
      <c r="N277" s="283"/>
      <c r="O277" s="283"/>
      <c r="P277" s="277" t="s">
        <v>1828</v>
      </c>
      <c r="Q277" s="283"/>
      <c r="R277" s="283"/>
      <c r="S277" s="283"/>
      <c r="T277" s="283"/>
      <c r="U277" s="283"/>
    </row>
    <row r="278" spans="1:21" x14ac:dyDescent="0.2">
      <c r="A278" s="262">
        <v>27</v>
      </c>
      <c r="B278" s="283"/>
      <c r="C278" s="283"/>
      <c r="D278" s="288" t="s">
        <v>1609</v>
      </c>
      <c r="E278" s="283"/>
      <c r="F278" s="283"/>
      <c r="G278" s="283"/>
      <c r="H278" s="213">
        <f>+'2025 GSLDPR Rate Class E-13c'!J81*1000</f>
        <v>0</v>
      </c>
      <c r="I278" s="283"/>
      <c r="J278" s="213">
        <f>+'2025 GSLDPR Rate Class E-13c'!Q81*1000</f>
        <v>6.2982000000000022</v>
      </c>
      <c r="K278" s="283"/>
      <c r="L278" s="283"/>
      <c r="M278" s="283"/>
      <c r="N278" s="283"/>
      <c r="O278" s="283"/>
      <c r="P278" s="277" t="s">
        <v>1828</v>
      </c>
      <c r="Q278" s="283"/>
      <c r="R278" s="283"/>
      <c r="S278" s="283"/>
      <c r="T278" s="283"/>
      <c r="U278" s="283"/>
    </row>
    <row r="279" spans="1:21" x14ac:dyDescent="0.2">
      <c r="A279" s="262">
        <v>28</v>
      </c>
      <c r="B279" s="283"/>
      <c r="C279" s="283"/>
      <c r="D279" s="277" t="s">
        <v>1808</v>
      </c>
      <c r="E279" s="283"/>
      <c r="F279" s="283"/>
      <c r="G279" s="283"/>
      <c r="H279" s="213"/>
      <c r="I279" s="283"/>
      <c r="J279" s="213"/>
      <c r="K279" s="283"/>
      <c r="L279" s="283"/>
      <c r="M279" s="283"/>
      <c r="N279" s="283"/>
      <c r="O279" s="283"/>
      <c r="P279" s="283"/>
      <c r="Q279" s="277"/>
      <c r="R279" s="283"/>
      <c r="S279" s="283"/>
      <c r="T279" s="283"/>
      <c r="U279" s="283"/>
    </row>
    <row r="280" spans="1:21" x14ac:dyDescent="0.2">
      <c r="A280" s="262">
        <v>29</v>
      </c>
      <c r="B280" s="283"/>
      <c r="C280" s="283"/>
      <c r="D280" s="284" t="s">
        <v>328</v>
      </c>
      <c r="E280" s="283"/>
      <c r="F280" s="283"/>
      <c r="G280" s="283"/>
      <c r="H280" s="213">
        <f>+'2025 GSLDPR Rate Class E-13c'!J85*1000</f>
        <v>8.57</v>
      </c>
      <c r="I280" s="283"/>
      <c r="J280" s="213">
        <f>+'2025 GSLDPR Rate Class E-13c'!Q85*1000</f>
        <v>8.7414000000000005</v>
      </c>
      <c r="K280" s="279">
        <v>9.92</v>
      </c>
      <c r="L280" s="279"/>
      <c r="M280" s="283"/>
      <c r="N280" s="277"/>
      <c r="O280" s="283"/>
      <c r="P280" s="277" t="s">
        <v>1807</v>
      </c>
      <c r="Q280" s="288"/>
      <c r="R280" s="283"/>
      <c r="S280" s="283"/>
      <c r="T280" s="283"/>
      <c r="U280" s="283"/>
    </row>
    <row r="281" spans="1:21" x14ac:dyDescent="0.2">
      <c r="A281" s="262">
        <v>30</v>
      </c>
      <c r="B281" s="283"/>
      <c r="C281" s="283"/>
      <c r="D281" s="288" t="s">
        <v>344</v>
      </c>
      <c r="E281" s="283"/>
      <c r="F281" s="283"/>
      <c r="G281" s="283"/>
      <c r="H281" s="213">
        <f>+'2025 GSLDPR Rate Class E-13c'!J86*1000</f>
        <v>8.57</v>
      </c>
      <c r="I281" s="283"/>
      <c r="J281" s="213">
        <f>+'2025 GSLDPR Rate Class E-13c'!Q86*1000</f>
        <v>8.7414000000000005</v>
      </c>
      <c r="K281" s="279">
        <v>9.92</v>
      </c>
      <c r="L281" s="279"/>
      <c r="M281" s="283"/>
      <c r="N281" s="277"/>
      <c r="O281" s="283"/>
      <c r="P281" s="277" t="s">
        <v>1807</v>
      </c>
      <c r="Q281" s="277"/>
      <c r="R281" s="283"/>
      <c r="S281" s="283"/>
      <c r="T281" s="283"/>
      <c r="U281" s="283"/>
    </row>
    <row r="282" spans="1:21" x14ac:dyDescent="0.2">
      <c r="A282" s="262">
        <v>31</v>
      </c>
      <c r="B282" s="283"/>
      <c r="C282" s="283"/>
      <c r="D282" s="288" t="s">
        <v>345</v>
      </c>
      <c r="E282" s="283"/>
      <c r="F282" s="283"/>
      <c r="G282" s="283"/>
      <c r="H282" s="213">
        <f>+'2025 GSLDPR Rate Class E-13c'!J87*1000</f>
        <v>8.57</v>
      </c>
      <c r="I282" s="283"/>
      <c r="J282" s="213">
        <f>+'2025 GSLDPR Rate Class E-13c'!Q87*1000</f>
        <v>8.7414000000000005</v>
      </c>
      <c r="K282" s="279">
        <v>9.92</v>
      </c>
      <c r="L282" s="279"/>
      <c r="M282" s="283"/>
      <c r="N282" s="277"/>
      <c r="O282" s="283"/>
      <c r="P282" s="277" t="s">
        <v>1807</v>
      </c>
      <c r="Q282" s="277"/>
      <c r="R282" s="277"/>
      <c r="S282" s="277"/>
      <c r="T282" s="283"/>
      <c r="U282" s="283"/>
    </row>
    <row r="283" spans="1:21" x14ac:dyDescent="0.2">
      <c r="A283" s="262">
        <v>32</v>
      </c>
      <c r="B283" s="283"/>
      <c r="C283" s="283"/>
      <c r="D283" s="288" t="s">
        <v>1609</v>
      </c>
      <c r="E283" s="283"/>
      <c r="F283" s="283"/>
      <c r="G283" s="283"/>
      <c r="H283" s="213">
        <f>+'2025 GSLDPR Rate Class E-13c'!J88*1000</f>
        <v>0</v>
      </c>
      <c r="I283" s="283"/>
      <c r="J283" s="213">
        <f>+'2025 GSLDPR Rate Class E-13c'!Q88*1000</f>
        <v>8.7414000000000005</v>
      </c>
      <c r="K283" s="283"/>
      <c r="L283" s="283"/>
      <c r="M283" s="283"/>
      <c r="N283" s="283"/>
      <c r="O283" s="283"/>
      <c r="P283" s="277" t="s">
        <v>1807</v>
      </c>
      <c r="Q283" s="277"/>
      <c r="R283" s="288"/>
      <c r="S283" s="283"/>
      <c r="T283" s="283"/>
      <c r="U283" s="283"/>
    </row>
    <row r="284" spans="1:21" x14ac:dyDescent="0.2">
      <c r="A284" s="262">
        <v>33</v>
      </c>
      <c r="B284" s="283"/>
      <c r="C284" s="283"/>
      <c r="U284" s="283"/>
    </row>
    <row r="285" spans="1:21" s="259" customFormat="1" x14ac:dyDescent="0.2">
      <c r="A285" s="262">
        <v>34</v>
      </c>
      <c r="B285" s="283"/>
      <c r="C285" s="283"/>
      <c r="D285" s="277" t="s">
        <v>1809</v>
      </c>
      <c r="E285" s="283"/>
      <c r="F285" s="283"/>
      <c r="G285" s="283"/>
      <c r="H285" s="213"/>
      <c r="I285" s="283"/>
      <c r="J285" s="213"/>
      <c r="K285" s="283"/>
      <c r="L285" s="283"/>
      <c r="M285" s="283"/>
      <c r="N285" s="283"/>
      <c r="O285" s="283"/>
      <c r="P285" s="283"/>
      <c r="Q285" s="283"/>
      <c r="R285" s="277"/>
      <c r="S285" s="283"/>
      <c r="T285" s="283"/>
      <c r="U285" s="283"/>
    </row>
    <row r="286" spans="1:21" s="259" customFormat="1" x14ac:dyDescent="0.2">
      <c r="A286" s="262">
        <v>35</v>
      </c>
      <c r="B286" s="283"/>
      <c r="C286" s="283"/>
      <c r="D286" s="284" t="s">
        <v>1782</v>
      </c>
      <c r="E286" s="283"/>
      <c r="F286" s="283"/>
      <c r="G286" s="283"/>
      <c r="H286" s="213"/>
      <c r="I286" s="283"/>
      <c r="J286" s="213"/>
      <c r="K286" s="283"/>
      <c r="L286" s="283"/>
      <c r="M286" s="283"/>
      <c r="N286" s="283"/>
      <c r="O286" s="283"/>
      <c r="P286" s="283"/>
      <c r="Q286" s="283"/>
      <c r="R286" s="277"/>
      <c r="S286" s="283"/>
      <c r="T286" s="283"/>
      <c r="U286" s="283"/>
    </row>
    <row r="287" spans="1:21" s="259" customFormat="1" x14ac:dyDescent="0.2">
      <c r="A287" s="262">
        <v>36</v>
      </c>
      <c r="B287" s="283"/>
      <c r="C287" s="283"/>
      <c r="D287" s="281" t="s">
        <v>328</v>
      </c>
      <c r="E287" s="283"/>
      <c r="F287" s="283"/>
      <c r="G287" s="283"/>
      <c r="H287" s="213">
        <f>+'2025 GSLDPR Rate Class E-13c'!J133</f>
        <v>0.68</v>
      </c>
      <c r="I287" s="283"/>
      <c r="J287" s="213">
        <f>+'2025 GSLDPR Rate Class E-13c'!Q133</f>
        <v>1.02</v>
      </c>
      <c r="K287" s="279">
        <v>0.72</v>
      </c>
      <c r="L287" s="280">
        <f>+'Unit Cost Rate Design Input'!D145</f>
        <v>1.02</v>
      </c>
      <c r="M287" s="283"/>
      <c r="N287" s="277" t="s">
        <v>1758</v>
      </c>
      <c r="O287" s="283"/>
      <c r="P287" s="277" t="s">
        <v>1755</v>
      </c>
      <c r="Q287" s="288"/>
      <c r="R287" s="277"/>
      <c r="S287" s="283"/>
      <c r="T287" s="283"/>
      <c r="U287" s="283"/>
    </row>
    <row r="288" spans="1:21" s="259" customFormat="1" x14ac:dyDescent="0.2">
      <c r="A288" s="262">
        <v>37</v>
      </c>
      <c r="B288" s="283"/>
      <c r="C288" s="283"/>
      <c r="D288" s="277" t="s">
        <v>341</v>
      </c>
      <c r="E288" s="283"/>
      <c r="F288" s="283"/>
      <c r="G288" s="283"/>
      <c r="H288" s="213">
        <f>+'2025 GSLDPR Rate Class E-13c'!J134</f>
        <v>0.68</v>
      </c>
      <c r="I288" s="283"/>
      <c r="J288" s="213">
        <f>+'2025 GSLDPR Rate Class E-13c'!Q134</f>
        <v>1.02</v>
      </c>
      <c r="K288" s="279">
        <v>0.72</v>
      </c>
      <c r="L288" s="280">
        <f>+'Unit Cost Rate Design Input'!D146</f>
        <v>1.02</v>
      </c>
      <c r="M288" s="283"/>
      <c r="N288" s="277" t="s">
        <v>1758</v>
      </c>
      <c r="O288" s="283"/>
      <c r="P288" s="277" t="s">
        <v>1755</v>
      </c>
      <c r="Q288" s="277"/>
      <c r="R288" s="283"/>
      <c r="S288" s="283"/>
      <c r="T288" s="283"/>
      <c r="U288" s="283"/>
    </row>
    <row r="289" spans="1:21" s="259" customFormat="1" x14ac:dyDescent="0.2">
      <c r="A289" s="262">
        <v>38</v>
      </c>
      <c r="B289" s="283"/>
      <c r="C289" s="283"/>
      <c r="D289" s="277"/>
      <c r="E289" s="283"/>
      <c r="F289" s="283"/>
      <c r="G289" s="283"/>
      <c r="H289" s="283"/>
      <c r="I289" s="283"/>
      <c r="J289" s="283"/>
      <c r="K289" s="283"/>
      <c r="L289" s="283"/>
      <c r="M289" s="283"/>
      <c r="N289" s="283"/>
      <c r="O289" s="283"/>
      <c r="P289" s="283"/>
      <c r="Q289" s="283"/>
      <c r="R289" s="283"/>
      <c r="S289" s="283"/>
      <c r="T289" s="283"/>
      <c r="U289" s="283"/>
    </row>
    <row r="290" spans="1:21" s="259" customFormat="1" x14ac:dyDescent="0.2">
      <c r="A290" s="262">
        <v>39</v>
      </c>
      <c r="B290" s="283"/>
      <c r="C290" s="283"/>
      <c r="D290" s="277" t="s">
        <v>1810</v>
      </c>
      <c r="E290" s="283"/>
      <c r="F290" s="283"/>
      <c r="G290" s="283"/>
      <c r="H290" s="283"/>
      <c r="I290" s="283"/>
      <c r="J290" s="283"/>
      <c r="K290" s="283"/>
      <c r="L290" s="283"/>
      <c r="M290" s="283"/>
      <c r="N290" s="283"/>
      <c r="O290" s="283"/>
      <c r="P290" s="283"/>
      <c r="Q290" s="283"/>
      <c r="R290" s="283"/>
      <c r="S290" s="283"/>
      <c r="T290" s="283"/>
      <c r="U290" s="283"/>
    </row>
    <row r="291" spans="1:21" s="259" customFormat="1" x14ac:dyDescent="0.2">
      <c r="A291" s="262">
        <v>40</v>
      </c>
      <c r="B291" s="283"/>
      <c r="C291" s="283"/>
      <c r="D291" s="284" t="s">
        <v>1811</v>
      </c>
      <c r="E291" s="283"/>
      <c r="F291" s="283"/>
      <c r="G291" s="283"/>
      <c r="H291" s="213"/>
      <c r="I291" s="283"/>
      <c r="J291" s="213"/>
      <c r="K291" s="283"/>
      <c r="L291" s="283"/>
      <c r="M291" s="283"/>
      <c r="N291" s="283"/>
      <c r="O291" s="283"/>
      <c r="P291" s="283"/>
      <c r="Q291" s="283"/>
      <c r="R291" s="283"/>
      <c r="S291" s="283"/>
      <c r="T291" s="283"/>
      <c r="U291" s="283"/>
    </row>
    <row r="292" spans="1:21" s="259" customFormat="1" x14ac:dyDescent="0.2">
      <c r="A292" s="262">
        <v>41</v>
      </c>
      <c r="B292" s="283"/>
      <c r="C292" s="283"/>
      <c r="D292" s="288" t="s">
        <v>1737</v>
      </c>
      <c r="E292" s="283"/>
      <c r="F292" s="283"/>
      <c r="G292" s="283"/>
      <c r="H292" s="126">
        <f>+'2025 GSLDPR Rate Class E-13c'!J139</f>
        <v>-0.01</v>
      </c>
      <c r="I292" s="283"/>
      <c r="J292" s="126">
        <f>+'2025 GSLDPR Rate Class E-13c'!Q139</f>
        <v>-0.01</v>
      </c>
      <c r="K292" s="126"/>
      <c r="L292" s="126"/>
      <c r="M292" s="283"/>
      <c r="N292" s="210" t="s">
        <v>1750</v>
      </c>
      <c r="O292" s="283"/>
      <c r="P292" s="277" t="s">
        <v>1751</v>
      </c>
      <c r="Q292" s="283"/>
      <c r="R292" s="283"/>
      <c r="S292" s="283"/>
      <c r="T292" s="283"/>
      <c r="U292" s="283"/>
    </row>
    <row r="293" spans="1:21" s="259" customFormat="1" x14ac:dyDescent="0.2">
      <c r="A293" s="262">
        <v>42</v>
      </c>
      <c r="B293" s="260"/>
      <c r="C293" s="260"/>
      <c r="D293" s="277" t="s">
        <v>341</v>
      </c>
      <c r="E293" s="283"/>
      <c r="F293" s="283"/>
      <c r="G293" s="283"/>
      <c r="H293" s="126">
        <f>+'2025 GSLDPR Rate Class E-13c'!J140</f>
        <v>-0.01</v>
      </c>
      <c r="I293" s="283"/>
      <c r="J293" s="126">
        <f>+'2025 GSLDPR Rate Class E-13c'!Q140</f>
        <v>-0.01</v>
      </c>
      <c r="K293" s="126"/>
      <c r="L293" s="126"/>
      <c r="M293" s="283"/>
      <c r="N293" s="210" t="s">
        <v>1750</v>
      </c>
      <c r="O293" s="283"/>
      <c r="P293" s="277" t="s">
        <v>1751</v>
      </c>
      <c r="Q293" s="283"/>
      <c r="R293" s="283"/>
      <c r="S293" s="283"/>
      <c r="T293" s="283"/>
      <c r="U293" s="260"/>
    </row>
    <row r="294" spans="1:21" s="259" customFormat="1" x14ac:dyDescent="0.2">
      <c r="A294" s="262">
        <v>43</v>
      </c>
      <c r="B294" s="260"/>
      <c r="C294" s="260"/>
      <c r="D294" s="260"/>
      <c r="E294" s="260"/>
      <c r="F294" s="260"/>
      <c r="G294" s="260"/>
      <c r="H294" s="260"/>
      <c r="I294" s="260"/>
      <c r="J294" s="260"/>
      <c r="K294" s="260"/>
      <c r="L294" s="260"/>
      <c r="M294" s="260"/>
      <c r="N294" s="260"/>
      <c r="O294" s="260"/>
      <c r="P294" s="260"/>
      <c r="Q294" s="260"/>
      <c r="R294" s="260"/>
      <c r="S294" s="260"/>
      <c r="T294" s="260"/>
      <c r="U294" s="260"/>
    </row>
    <row r="295" spans="1:21" x14ac:dyDescent="0.2">
      <c r="A295" s="262">
        <v>44</v>
      </c>
    </row>
    <row r="296" spans="1:21" s="259" customFormat="1" x14ac:dyDescent="0.2">
      <c r="A296" s="262">
        <v>45</v>
      </c>
      <c r="B296" s="283"/>
      <c r="C296" s="283"/>
      <c r="D296" s="283"/>
      <c r="E296" s="283"/>
      <c r="F296" s="283"/>
      <c r="G296" s="283"/>
      <c r="H296" s="283"/>
      <c r="I296" s="283"/>
      <c r="J296" s="283"/>
      <c r="K296" s="283"/>
      <c r="L296" s="283"/>
      <c r="M296" s="283"/>
      <c r="N296" s="283"/>
      <c r="O296" s="283"/>
      <c r="P296" s="283"/>
      <c r="Q296" s="283"/>
      <c r="R296" s="283"/>
      <c r="S296" s="283"/>
      <c r="T296" s="283"/>
      <c r="U296" s="283"/>
    </row>
    <row r="297" spans="1:21" s="259" customFormat="1" ht="13.5" thickBot="1" x14ac:dyDescent="0.25">
      <c r="A297" s="257" t="s">
        <v>1699</v>
      </c>
      <c r="B297" s="295"/>
      <c r="C297" s="296"/>
      <c r="D297" s="296"/>
      <c r="E297" s="296"/>
      <c r="F297" s="295"/>
      <c r="G297" s="296"/>
      <c r="H297" s="296"/>
      <c r="I297" s="296"/>
      <c r="J297" s="296"/>
      <c r="K297" s="296"/>
      <c r="L297" s="296"/>
      <c r="M297" s="296"/>
      <c r="N297" s="296"/>
      <c r="O297" s="296"/>
      <c r="P297" s="296"/>
      <c r="Q297" s="296"/>
      <c r="R297" s="296"/>
      <c r="S297" s="296"/>
      <c r="T297" s="296"/>
      <c r="U297" s="296" t="s">
        <v>1812</v>
      </c>
    </row>
    <row r="298" spans="1:21" s="259" customFormat="1" x14ac:dyDescent="0.2">
      <c r="A298" s="260"/>
      <c r="B298" s="277"/>
      <c r="C298" s="277"/>
      <c r="D298" s="277"/>
      <c r="E298" s="277"/>
      <c r="F298" s="277"/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</row>
    <row r="299" spans="1:21" s="259" customFormat="1" x14ac:dyDescent="0.2">
      <c r="A299" s="260"/>
      <c r="B299" s="599" t="s">
        <v>987</v>
      </c>
      <c r="C299" s="599"/>
      <c r="D299" s="277"/>
      <c r="E299" s="277"/>
      <c r="F299" s="283"/>
      <c r="G299" s="283"/>
      <c r="H299" s="281" t="s">
        <v>1702</v>
      </c>
      <c r="I299" s="281"/>
      <c r="J299" s="281" t="s">
        <v>984</v>
      </c>
      <c r="K299" s="281"/>
      <c r="L299" s="281" t="s">
        <v>1703</v>
      </c>
      <c r="M299" s="281"/>
      <c r="N299" s="281"/>
      <c r="O299" s="277"/>
      <c r="P299" s="277"/>
      <c r="Q299" s="277"/>
      <c r="R299" s="277"/>
      <c r="S299" s="277"/>
      <c r="T299" s="277"/>
      <c r="U299" s="277"/>
    </row>
    <row r="300" spans="1:21" s="259" customFormat="1" x14ac:dyDescent="0.2">
      <c r="A300" s="263" t="s">
        <v>1704</v>
      </c>
      <c r="B300" s="598" t="s">
        <v>1705</v>
      </c>
      <c r="C300" s="598"/>
      <c r="D300" s="598" t="s">
        <v>1706</v>
      </c>
      <c r="E300" s="598"/>
      <c r="F300" s="598"/>
      <c r="G300" s="283"/>
      <c r="H300" s="297" t="s">
        <v>987</v>
      </c>
      <c r="I300" s="281"/>
      <c r="J300" s="297" t="s">
        <v>987</v>
      </c>
      <c r="K300" s="281"/>
      <c r="L300" s="297" t="s">
        <v>1707</v>
      </c>
      <c r="M300" s="281"/>
      <c r="N300" s="297" t="s">
        <v>1708</v>
      </c>
      <c r="O300" s="283"/>
      <c r="P300" s="598" t="s">
        <v>1709</v>
      </c>
      <c r="Q300" s="598"/>
      <c r="R300" s="598"/>
      <c r="S300" s="598"/>
      <c r="T300" s="598"/>
      <c r="U300" s="277"/>
    </row>
    <row r="301" spans="1:21" s="259" customFormat="1" x14ac:dyDescent="0.2">
      <c r="A301" s="262">
        <v>1</v>
      </c>
      <c r="B301" s="283"/>
      <c r="C301" s="283"/>
      <c r="D301" s="283"/>
      <c r="E301" s="283"/>
      <c r="F301" s="283"/>
      <c r="G301" s="283"/>
      <c r="H301" s="283"/>
      <c r="I301" s="283"/>
      <c r="J301" s="283"/>
      <c r="K301" s="283"/>
      <c r="L301" s="283"/>
      <c r="M301" s="283"/>
      <c r="N301" s="283"/>
      <c r="O301" s="283"/>
      <c r="P301" s="283"/>
      <c r="Q301" s="283"/>
      <c r="R301" s="283"/>
      <c r="S301" s="277"/>
      <c r="T301" s="283"/>
      <c r="U301" s="283"/>
    </row>
    <row r="302" spans="1:21" s="259" customFormat="1" x14ac:dyDescent="0.2">
      <c r="A302" s="262">
        <v>2</v>
      </c>
      <c r="B302" s="277" t="s">
        <v>1813</v>
      </c>
      <c r="C302" s="283"/>
      <c r="D302" s="283"/>
      <c r="E302" s="283"/>
      <c r="F302" s="283"/>
      <c r="G302" s="283"/>
      <c r="H302" s="283"/>
      <c r="I302" s="283"/>
      <c r="J302" s="283"/>
      <c r="K302" s="283"/>
      <c r="L302" s="283"/>
      <c r="M302" s="283"/>
      <c r="N302" s="283"/>
      <c r="O302" s="283"/>
      <c r="P302" s="283"/>
      <c r="Q302" s="277"/>
      <c r="R302" s="277"/>
      <c r="S302" s="288"/>
      <c r="T302" s="283"/>
      <c r="U302" s="283"/>
    </row>
    <row r="303" spans="1:21" s="259" customFormat="1" x14ac:dyDescent="0.2">
      <c r="A303" s="262">
        <v>3</v>
      </c>
      <c r="B303" s="283"/>
      <c r="C303" s="283"/>
      <c r="D303" s="283"/>
      <c r="E303" s="283"/>
      <c r="F303" s="283"/>
      <c r="G303" s="283"/>
      <c r="H303" s="283"/>
      <c r="I303" s="283"/>
      <c r="J303" s="283"/>
      <c r="K303" s="283"/>
      <c r="L303" s="283"/>
      <c r="M303" s="283"/>
      <c r="N303" s="283"/>
      <c r="O303" s="283"/>
      <c r="P303" s="283"/>
      <c r="Q303" s="277"/>
      <c r="R303" s="277"/>
      <c r="S303" s="260"/>
      <c r="T303" s="283"/>
      <c r="U303" s="283"/>
    </row>
    <row r="304" spans="1:21" s="259" customFormat="1" x14ac:dyDescent="0.2">
      <c r="A304" s="262">
        <v>4</v>
      </c>
      <c r="B304" s="283"/>
      <c r="C304" s="283"/>
      <c r="D304" s="288" t="s">
        <v>1814</v>
      </c>
      <c r="E304" s="283"/>
      <c r="F304" s="283"/>
      <c r="G304" s="283"/>
      <c r="H304" s="213"/>
      <c r="I304" s="283"/>
      <c r="J304" s="283"/>
      <c r="K304" s="279"/>
      <c r="L304" s="283"/>
      <c r="M304" s="283"/>
      <c r="N304" s="290"/>
      <c r="O304" s="290"/>
      <c r="P304" s="290"/>
      <c r="Q304" s="277"/>
      <c r="R304" s="277"/>
      <c r="S304" s="260"/>
      <c r="T304" s="283"/>
      <c r="U304" s="283"/>
    </row>
    <row r="305" spans="1:21" s="259" customFormat="1" x14ac:dyDescent="0.2">
      <c r="A305" s="262">
        <v>5</v>
      </c>
      <c r="B305" s="283"/>
      <c r="C305" s="283"/>
      <c r="D305" s="281" t="s">
        <v>328</v>
      </c>
      <c r="E305" s="283"/>
      <c r="F305" s="283"/>
      <c r="G305" s="283"/>
      <c r="H305" s="213">
        <f>+'2025 GSLDPR Rate Class E-13c'!J107*1000</f>
        <v>2.0300000000000002</v>
      </c>
      <c r="I305" s="279"/>
      <c r="J305" s="213">
        <f>+'2025 GSLDPR Rate Class E-13c'!Q107*1000</f>
        <v>2.0300000000000002</v>
      </c>
      <c r="K305" s="279">
        <v>2.0099999999999998</v>
      </c>
      <c r="L305" s="279"/>
      <c r="M305" s="279">
        <v>2.0099999999999998</v>
      </c>
      <c r="N305" s="279"/>
      <c r="O305" s="283"/>
      <c r="P305" s="277" t="s">
        <v>1722</v>
      </c>
      <c r="Q305" s="277"/>
      <c r="R305" s="277"/>
      <c r="S305" s="260"/>
      <c r="T305" s="283"/>
      <c r="U305" s="283"/>
    </row>
    <row r="306" spans="1:21" s="259" customFormat="1" x14ac:dyDescent="0.2">
      <c r="A306" s="262">
        <v>6</v>
      </c>
      <c r="B306" s="283"/>
      <c r="C306" s="283"/>
      <c r="D306" s="277" t="s">
        <v>341</v>
      </c>
      <c r="E306" s="283"/>
      <c r="F306" s="283"/>
      <c r="G306" s="283"/>
      <c r="H306" s="213">
        <f>+'2025 GSLDPR Rate Class E-13c'!J108*1000</f>
        <v>2.0300000000000002</v>
      </c>
      <c r="I306" s="283"/>
      <c r="J306" s="213">
        <f>+'2025 GSLDPR Rate Class E-13c'!Q108*1000</f>
        <v>2.0300000000000002</v>
      </c>
      <c r="K306" s="279">
        <v>2.0099999999999998</v>
      </c>
      <c r="L306" s="279"/>
      <c r="M306" s="279">
        <v>2.0099999999999998</v>
      </c>
      <c r="N306" s="279"/>
      <c r="O306" s="283"/>
      <c r="P306" s="277" t="s">
        <v>1722</v>
      </c>
      <c r="Q306" s="283"/>
      <c r="R306" s="277"/>
      <c r="S306" s="260"/>
      <c r="T306" s="283"/>
      <c r="U306" s="283"/>
    </row>
    <row r="307" spans="1:21" s="259" customFormat="1" x14ac:dyDescent="0.2">
      <c r="A307" s="262">
        <v>7</v>
      </c>
      <c r="B307" s="283"/>
      <c r="C307" s="283"/>
      <c r="D307" s="277"/>
      <c r="E307" s="283"/>
      <c r="F307" s="283"/>
      <c r="G307" s="283"/>
      <c r="H307" s="283"/>
      <c r="I307" s="283"/>
      <c r="J307" s="283"/>
      <c r="K307" s="277"/>
      <c r="L307" s="277"/>
      <c r="M307" s="277"/>
      <c r="N307" s="277"/>
      <c r="O307" s="278"/>
      <c r="P307" s="278"/>
      <c r="Q307" s="283"/>
      <c r="R307" s="277"/>
      <c r="S307" s="260"/>
      <c r="T307" s="283"/>
      <c r="U307" s="283"/>
    </row>
    <row r="308" spans="1:21" s="259" customFormat="1" x14ac:dyDescent="0.2">
      <c r="A308" s="262">
        <v>8</v>
      </c>
      <c r="B308" s="283"/>
      <c r="C308" s="283"/>
      <c r="D308" s="284" t="s">
        <v>1815</v>
      </c>
      <c r="E308" s="283"/>
      <c r="F308" s="283"/>
      <c r="G308" s="283"/>
      <c r="H308" s="213"/>
      <c r="I308" s="126"/>
      <c r="J308" s="213"/>
      <c r="K308" s="126"/>
      <c r="L308" s="126"/>
      <c r="M308" s="126"/>
      <c r="N308" s="126"/>
      <c r="O308" s="278"/>
      <c r="P308" s="277"/>
      <c r="Q308" s="283"/>
      <c r="R308" s="283"/>
      <c r="S308" s="260"/>
      <c r="T308" s="283"/>
      <c r="U308" s="283"/>
    </row>
    <row r="309" spans="1:21" s="259" customFormat="1" x14ac:dyDescent="0.2">
      <c r="A309" s="262">
        <v>9</v>
      </c>
      <c r="B309" s="283"/>
      <c r="C309" s="283"/>
      <c r="D309" s="281" t="s">
        <v>328</v>
      </c>
      <c r="E309" s="283"/>
      <c r="F309" s="283"/>
      <c r="G309" s="283"/>
      <c r="H309" s="213">
        <f>+'2025 GSLDPR Rate Class E-13c'!J128*1000</f>
        <v>-1.02</v>
      </c>
      <c r="I309" s="126"/>
      <c r="J309" s="213">
        <f>+'2025 GSLDPR Rate Class E-13c'!Q128*1000</f>
        <v>-1.02</v>
      </c>
      <c r="K309" s="279">
        <v>-1.01</v>
      </c>
      <c r="L309" s="279"/>
      <c r="M309" s="279">
        <v>-1</v>
      </c>
      <c r="N309" s="279"/>
      <c r="O309" s="278"/>
      <c r="P309" s="277" t="s">
        <v>1722</v>
      </c>
      <c r="Q309" s="283"/>
      <c r="R309" s="283"/>
      <c r="S309" s="260"/>
      <c r="T309" s="283"/>
      <c r="U309" s="283"/>
    </row>
    <row r="310" spans="1:21" s="259" customFormat="1" x14ac:dyDescent="0.2">
      <c r="A310" s="262">
        <v>10</v>
      </c>
      <c r="B310" s="283"/>
      <c r="C310" s="283"/>
      <c r="D310" s="277" t="s">
        <v>341</v>
      </c>
      <c r="E310" s="283"/>
      <c r="F310" s="283"/>
      <c r="G310" s="283"/>
      <c r="H310" s="213">
        <f>+'2025 GSLDPR Rate Class E-13c'!J129*1000</f>
        <v>-1.02</v>
      </c>
      <c r="I310" s="283"/>
      <c r="J310" s="213">
        <f>+'2025 GSLDPR Rate Class E-13c'!Q129*1000</f>
        <v>-1.02</v>
      </c>
      <c r="K310" s="279">
        <v>-1.01</v>
      </c>
      <c r="L310" s="279"/>
      <c r="M310" s="279">
        <v>-1</v>
      </c>
      <c r="N310" s="279"/>
      <c r="O310" s="283"/>
      <c r="P310" s="277" t="s">
        <v>1722</v>
      </c>
      <c r="Q310" s="283"/>
      <c r="R310" s="283"/>
      <c r="S310" s="260"/>
      <c r="T310" s="283"/>
      <c r="U310" s="283"/>
    </row>
    <row r="311" spans="1:21" s="259" customFormat="1" x14ac:dyDescent="0.2">
      <c r="A311" s="262">
        <v>11</v>
      </c>
      <c r="B311" s="283"/>
      <c r="C311" s="283"/>
      <c r="D311" s="283"/>
      <c r="E311" s="283"/>
      <c r="F311" s="283"/>
      <c r="G311" s="283"/>
      <c r="H311" s="283"/>
      <c r="I311" s="283"/>
      <c r="J311" s="283"/>
      <c r="K311" s="283"/>
      <c r="L311" s="283"/>
      <c r="M311" s="283"/>
      <c r="N311" s="283"/>
      <c r="O311" s="283"/>
      <c r="P311" s="283"/>
      <c r="Q311" s="283"/>
      <c r="R311" s="283"/>
      <c r="S311" s="260"/>
      <c r="T311" s="283"/>
      <c r="U311" s="283"/>
    </row>
    <row r="312" spans="1:21" s="259" customFormat="1" x14ac:dyDescent="0.2">
      <c r="A312" s="262">
        <v>12</v>
      </c>
      <c r="B312" s="283"/>
      <c r="C312" s="283"/>
      <c r="D312" s="283"/>
      <c r="E312" s="283"/>
      <c r="F312" s="283"/>
      <c r="G312" s="283"/>
      <c r="H312" s="283"/>
      <c r="I312" s="283"/>
      <c r="J312" s="283"/>
      <c r="K312" s="283"/>
      <c r="L312" s="283"/>
      <c r="M312" s="283"/>
      <c r="N312" s="283"/>
      <c r="O312" s="283"/>
      <c r="P312" s="283"/>
      <c r="Q312" s="283"/>
      <c r="R312" s="283"/>
      <c r="S312" s="260"/>
      <c r="T312" s="283"/>
      <c r="U312" s="283"/>
    </row>
    <row r="313" spans="1:21" s="259" customFormat="1" x14ac:dyDescent="0.2">
      <c r="A313" s="262">
        <v>13</v>
      </c>
      <c r="B313" s="260"/>
      <c r="C313" s="260"/>
      <c r="D313" s="260"/>
      <c r="E313" s="260"/>
      <c r="F313" s="260"/>
      <c r="G313" s="260"/>
      <c r="H313" s="260"/>
      <c r="I313" s="260"/>
      <c r="J313" s="260"/>
      <c r="K313" s="260"/>
      <c r="L313" s="260"/>
      <c r="M313" s="260"/>
      <c r="N313" s="260"/>
      <c r="O313" s="260"/>
      <c r="P313" s="260"/>
      <c r="Q313" s="260"/>
      <c r="R313" s="260"/>
      <c r="S313" s="260"/>
      <c r="T313" s="283"/>
      <c r="U313" s="283"/>
    </row>
    <row r="314" spans="1:21" s="259" customFormat="1" x14ac:dyDescent="0.2">
      <c r="A314" s="262">
        <v>14</v>
      </c>
      <c r="B314" s="260"/>
      <c r="C314" s="260"/>
      <c r="D314" s="260"/>
      <c r="E314" s="260"/>
      <c r="F314" s="260"/>
      <c r="G314" s="260"/>
      <c r="H314" s="260"/>
      <c r="I314" s="260"/>
      <c r="J314" s="260"/>
      <c r="K314" s="260"/>
      <c r="L314" s="260"/>
      <c r="M314" s="260"/>
      <c r="N314" s="260"/>
      <c r="O314" s="260"/>
      <c r="P314" s="260"/>
      <c r="Q314" s="260"/>
      <c r="R314" s="260"/>
      <c r="S314" s="260"/>
      <c r="T314" s="283"/>
      <c r="U314" s="283"/>
    </row>
    <row r="315" spans="1:21" s="259" customFormat="1" x14ac:dyDescent="0.2">
      <c r="A315" s="262">
        <v>15</v>
      </c>
      <c r="B315" s="260"/>
      <c r="C315" s="260"/>
      <c r="D315" s="260"/>
      <c r="E315" s="260"/>
      <c r="F315" s="260"/>
      <c r="G315" s="260"/>
      <c r="H315" s="260"/>
      <c r="I315" s="260"/>
      <c r="J315" s="260"/>
      <c r="K315" s="260"/>
      <c r="L315" s="260"/>
      <c r="M315" s="260"/>
      <c r="N315" s="260"/>
      <c r="O315" s="260"/>
      <c r="P315" s="260"/>
      <c r="Q315" s="260"/>
      <c r="R315" s="260"/>
      <c r="S315" s="260"/>
      <c r="T315" s="283"/>
      <c r="U315" s="283"/>
    </row>
    <row r="316" spans="1:21" s="259" customFormat="1" x14ac:dyDescent="0.2">
      <c r="A316" s="262">
        <v>16</v>
      </c>
      <c r="B316" s="260"/>
      <c r="C316" s="260"/>
      <c r="D316" s="260"/>
      <c r="E316" s="260"/>
      <c r="F316" s="260"/>
      <c r="G316" s="260"/>
      <c r="H316" s="260"/>
      <c r="I316" s="260"/>
      <c r="J316" s="260"/>
      <c r="K316" s="260"/>
      <c r="L316" s="260"/>
      <c r="M316" s="260"/>
      <c r="N316" s="260"/>
      <c r="O316" s="260"/>
      <c r="P316" s="260"/>
      <c r="Q316" s="260"/>
      <c r="R316" s="260"/>
      <c r="S316" s="260"/>
      <c r="T316" s="283"/>
      <c r="U316" s="283"/>
    </row>
    <row r="317" spans="1:21" s="259" customFormat="1" x14ac:dyDescent="0.2">
      <c r="A317" s="262">
        <v>17</v>
      </c>
      <c r="T317" s="283"/>
      <c r="U317" s="283"/>
    </row>
    <row r="318" spans="1:21" s="259" customFormat="1" x14ac:dyDescent="0.2">
      <c r="A318" s="262">
        <v>18</v>
      </c>
      <c r="T318" s="283"/>
      <c r="U318" s="283"/>
    </row>
    <row r="319" spans="1:21" s="259" customFormat="1" x14ac:dyDescent="0.2">
      <c r="A319" s="262">
        <v>19</v>
      </c>
      <c r="T319" s="283"/>
      <c r="U319" s="283"/>
    </row>
    <row r="320" spans="1:21" s="259" customFormat="1" x14ac:dyDescent="0.2">
      <c r="A320" s="262">
        <v>20</v>
      </c>
      <c r="T320" s="283"/>
      <c r="U320" s="283"/>
    </row>
    <row r="321" spans="1:21" s="259" customFormat="1" x14ac:dyDescent="0.2">
      <c r="A321" s="262">
        <v>21</v>
      </c>
      <c r="T321" s="283"/>
      <c r="U321" s="283"/>
    </row>
    <row r="322" spans="1:21" s="259" customFormat="1" x14ac:dyDescent="0.2">
      <c r="A322" s="262">
        <v>22</v>
      </c>
      <c r="T322" s="283"/>
      <c r="U322" s="283"/>
    </row>
    <row r="323" spans="1:21" s="259" customFormat="1" x14ac:dyDescent="0.2">
      <c r="A323" s="262">
        <v>23</v>
      </c>
      <c r="T323" s="283"/>
      <c r="U323" s="283"/>
    </row>
    <row r="324" spans="1:21" s="259" customFormat="1" x14ac:dyDescent="0.2">
      <c r="A324" s="262">
        <v>24</v>
      </c>
      <c r="T324" s="283"/>
      <c r="U324" s="283"/>
    </row>
    <row r="325" spans="1:21" s="259" customFormat="1" x14ac:dyDescent="0.2">
      <c r="A325" s="262">
        <v>25</v>
      </c>
      <c r="T325" s="283"/>
      <c r="U325" s="283"/>
    </row>
    <row r="326" spans="1:21" s="259" customFormat="1" x14ac:dyDescent="0.2">
      <c r="A326" s="262">
        <v>26</v>
      </c>
      <c r="T326" s="283"/>
      <c r="U326" s="283"/>
    </row>
    <row r="327" spans="1:21" s="259" customFormat="1" x14ac:dyDescent="0.2">
      <c r="A327" s="262">
        <v>27</v>
      </c>
      <c r="T327" s="283"/>
      <c r="U327" s="283"/>
    </row>
    <row r="328" spans="1:21" s="259" customFormat="1" x14ac:dyDescent="0.2">
      <c r="A328" s="262">
        <v>28</v>
      </c>
      <c r="T328" s="283"/>
      <c r="U328" s="283"/>
    </row>
    <row r="329" spans="1:21" s="259" customFormat="1" x14ac:dyDescent="0.2">
      <c r="A329" s="262">
        <v>29</v>
      </c>
      <c r="T329" s="283"/>
      <c r="U329" s="283"/>
    </row>
    <row r="330" spans="1:21" s="259" customFormat="1" x14ac:dyDescent="0.2">
      <c r="A330" s="262">
        <v>30</v>
      </c>
      <c r="T330" s="283"/>
      <c r="U330" s="283"/>
    </row>
    <row r="331" spans="1:21" s="259" customFormat="1" x14ac:dyDescent="0.2">
      <c r="A331" s="262">
        <v>31</v>
      </c>
      <c r="T331" s="283"/>
      <c r="U331" s="283"/>
    </row>
    <row r="332" spans="1:21" s="259" customFormat="1" x14ac:dyDescent="0.2">
      <c r="A332" s="262">
        <v>32</v>
      </c>
      <c r="T332" s="283"/>
      <c r="U332" s="283"/>
    </row>
    <row r="333" spans="1:21" s="259" customFormat="1" x14ac:dyDescent="0.2">
      <c r="A333" s="262">
        <v>33</v>
      </c>
      <c r="B333" s="260"/>
      <c r="C333" s="260"/>
      <c r="D333" s="260"/>
      <c r="E333" s="260"/>
      <c r="F333" s="260"/>
      <c r="G333" s="260"/>
      <c r="H333" s="260"/>
      <c r="I333" s="260"/>
      <c r="J333" s="260"/>
      <c r="K333" s="260"/>
      <c r="L333" s="260"/>
      <c r="M333" s="260"/>
      <c r="N333" s="260"/>
      <c r="O333" s="260"/>
      <c r="P333" s="260"/>
      <c r="Q333" s="260"/>
      <c r="R333" s="260"/>
      <c r="S333" s="260"/>
      <c r="T333" s="283"/>
      <c r="U333" s="283"/>
    </row>
    <row r="334" spans="1:21" s="259" customFormat="1" x14ac:dyDescent="0.2">
      <c r="A334" s="262">
        <v>34</v>
      </c>
      <c r="B334" s="283"/>
      <c r="C334" s="283"/>
      <c r="D334" s="277"/>
      <c r="E334" s="283"/>
      <c r="F334" s="283"/>
      <c r="G334" s="283"/>
      <c r="H334" s="283"/>
      <c r="I334" s="283"/>
      <c r="J334" s="283"/>
      <c r="K334" s="283"/>
      <c r="L334" s="283"/>
      <c r="M334" s="283"/>
      <c r="N334" s="283"/>
      <c r="O334" s="283"/>
      <c r="P334" s="283"/>
      <c r="Q334" s="283"/>
      <c r="R334" s="277"/>
      <c r="S334" s="283"/>
      <c r="T334" s="283"/>
      <c r="U334" s="283"/>
    </row>
    <row r="335" spans="1:21" s="259" customFormat="1" x14ac:dyDescent="0.2">
      <c r="A335" s="262">
        <v>35</v>
      </c>
      <c r="B335" s="283"/>
      <c r="C335" s="283"/>
      <c r="D335" s="284"/>
      <c r="E335" s="283"/>
      <c r="F335" s="283"/>
      <c r="G335" s="283"/>
      <c r="H335" s="283"/>
      <c r="I335" s="283"/>
      <c r="J335" s="283"/>
      <c r="K335" s="283"/>
      <c r="L335" s="283"/>
      <c r="M335" s="283"/>
      <c r="N335" s="283"/>
      <c r="O335" s="283"/>
      <c r="P335" s="283"/>
      <c r="Q335" s="283"/>
      <c r="R335" s="283"/>
      <c r="S335" s="283"/>
      <c r="T335" s="283"/>
      <c r="U335" s="283"/>
    </row>
    <row r="336" spans="1:21" s="259" customFormat="1" x14ac:dyDescent="0.2">
      <c r="A336" s="262">
        <v>36</v>
      </c>
      <c r="B336" s="283"/>
      <c r="C336" s="283"/>
      <c r="D336" s="283"/>
      <c r="E336" s="283"/>
      <c r="F336" s="283"/>
      <c r="G336" s="283"/>
      <c r="H336" s="283"/>
      <c r="I336" s="283"/>
      <c r="J336" s="283"/>
      <c r="K336" s="283"/>
      <c r="L336" s="283"/>
      <c r="M336" s="283"/>
      <c r="N336" s="283"/>
      <c r="O336" s="283"/>
      <c r="P336" s="283"/>
      <c r="Q336" s="283"/>
      <c r="R336" s="283"/>
      <c r="S336" s="283"/>
      <c r="T336" s="283"/>
      <c r="U336" s="283"/>
    </row>
    <row r="337" spans="1:21" s="259" customFormat="1" x14ac:dyDescent="0.2">
      <c r="A337" s="262">
        <v>37</v>
      </c>
      <c r="B337" s="283"/>
      <c r="C337" s="283"/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3"/>
      <c r="T337" s="283"/>
      <c r="U337" s="283"/>
    </row>
    <row r="338" spans="1:21" s="259" customFormat="1" x14ac:dyDescent="0.2">
      <c r="A338" s="262">
        <v>38</v>
      </c>
      <c r="B338" s="283"/>
      <c r="C338" s="283"/>
      <c r="D338" s="283"/>
      <c r="E338" s="283"/>
      <c r="F338" s="283"/>
      <c r="G338" s="283"/>
      <c r="H338" s="283"/>
      <c r="I338" s="283"/>
      <c r="J338" s="283"/>
      <c r="K338" s="283"/>
      <c r="L338" s="283"/>
      <c r="M338" s="283"/>
      <c r="N338" s="283"/>
      <c r="O338" s="283"/>
      <c r="P338" s="283"/>
      <c r="Q338" s="283"/>
      <c r="R338" s="283"/>
      <c r="S338" s="283"/>
      <c r="T338" s="283"/>
      <c r="U338" s="283"/>
    </row>
    <row r="339" spans="1:21" s="259" customFormat="1" x14ac:dyDescent="0.2">
      <c r="A339" s="262">
        <v>39</v>
      </c>
      <c r="B339" s="283"/>
      <c r="C339" s="283"/>
      <c r="D339" s="283"/>
      <c r="E339" s="283"/>
      <c r="F339" s="283"/>
      <c r="G339" s="283"/>
      <c r="H339" s="283"/>
      <c r="I339" s="283"/>
      <c r="J339" s="283"/>
      <c r="K339" s="283"/>
      <c r="L339" s="283"/>
      <c r="M339" s="283"/>
      <c r="N339" s="283"/>
      <c r="O339" s="283"/>
      <c r="P339" s="283"/>
      <c r="Q339" s="283"/>
      <c r="R339" s="283"/>
      <c r="S339" s="283"/>
      <c r="T339" s="283"/>
      <c r="U339" s="283"/>
    </row>
    <row r="340" spans="1:21" s="259" customFormat="1" x14ac:dyDescent="0.2">
      <c r="A340" s="262">
        <v>40</v>
      </c>
      <c r="B340" s="283"/>
      <c r="C340" s="283"/>
      <c r="D340" s="283"/>
      <c r="E340" s="283"/>
      <c r="F340" s="283"/>
      <c r="G340" s="283"/>
      <c r="H340" s="283"/>
      <c r="I340" s="283"/>
      <c r="J340" s="283"/>
      <c r="K340" s="283"/>
      <c r="L340" s="283"/>
      <c r="M340" s="283"/>
      <c r="N340" s="283"/>
      <c r="O340" s="283"/>
      <c r="P340" s="283"/>
      <c r="Q340" s="283"/>
      <c r="R340" s="283"/>
      <c r="S340" s="283"/>
      <c r="T340" s="283"/>
      <c r="U340" s="283"/>
    </row>
    <row r="341" spans="1:21" s="259" customFormat="1" x14ac:dyDescent="0.2">
      <c r="A341" s="262">
        <v>41</v>
      </c>
      <c r="B341" s="283"/>
      <c r="C341" s="283"/>
      <c r="D341" s="283"/>
      <c r="E341" s="283"/>
      <c r="F341" s="283"/>
      <c r="G341" s="283"/>
      <c r="H341" s="283"/>
      <c r="I341" s="283"/>
      <c r="J341" s="283"/>
      <c r="K341" s="283"/>
      <c r="L341" s="283"/>
      <c r="M341" s="283"/>
      <c r="N341" s="283"/>
      <c r="O341" s="283"/>
      <c r="P341" s="283"/>
      <c r="Q341" s="283"/>
      <c r="R341" s="283"/>
      <c r="S341" s="283"/>
      <c r="T341" s="283"/>
      <c r="U341" s="283"/>
    </row>
    <row r="342" spans="1:21" s="259" customFormat="1" x14ac:dyDescent="0.2">
      <c r="A342" s="262">
        <v>42</v>
      </c>
      <c r="B342" s="283"/>
      <c r="C342" s="283"/>
      <c r="D342" s="283"/>
      <c r="E342" s="283"/>
      <c r="F342" s="283"/>
      <c r="G342" s="283"/>
      <c r="H342" s="283"/>
      <c r="I342" s="283"/>
      <c r="J342" s="283"/>
      <c r="K342" s="283"/>
      <c r="L342" s="283"/>
      <c r="M342" s="283"/>
      <c r="N342" s="283"/>
      <c r="O342" s="283"/>
      <c r="P342" s="283"/>
      <c r="Q342" s="283"/>
      <c r="R342" s="283"/>
      <c r="S342" s="283"/>
      <c r="T342" s="283"/>
      <c r="U342" s="283"/>
    </row>
    <row r="343" spans="1:21" s="259" customFormat="1" x14ac:dyDescent="0.2">
      <c r="A343" s="262">
        <v>43</v>
      </c>
      <c r="B343" s="283"/>
      <c r="C343" s="283"/>
      <c r="D343" s="283"/>
      <c r="E343" s="283"/>
      <c r="F343" s="283"/>
      <c r="G343" s="283"/>
      <c r="H343" s="283"/>
      <c r="I343" s="283"/>
      <c r="J343" s="283"/>
      <c r="K343" s="283"/>
      <c r="L343" s="283"/>
      <c r="M343" s="283"/>
      <c r="N343" s="283"/>
      <c r="O343" s="283"/>
      <c r="P343" s="283"/>
      <c r="Q343" s="283"/>
      <c r="R343" s="283"/>
      <c r="S343" s="283"/>
      <c r="T343" s="283"/>
      <c r="U343" s="283"/>
    </row>
    <row r="344" spans="1:21" s="259" customFormat="1" x14ac:dyDescent="0.2">
      <c r="A344" s="262">
        <v>44</v>
      </c>
      <c r="B344" s="283"/>
      <c r="C344" s="283"/>
      <c r="D344" s="283"/>
      <c r="E344" s="283"/>
      <c r="F344" s="283"/>
      <c r="G344" s="283"/>
      <c r="H344" s="283"/>
      <c r="I344" s="283"/>
      <c r="J344" s="283"/>
      <c r="K344" s="283"/>
      <c r="L344" s="283"/>
      <c r="M344" s="283"/>
      <c r="N344" s="283"/>
      <c r="O344" s="283"/>
      <c r="P344" s="283"/>
      <c r="Q344" s="283"/>
      <c r="R344" s="283"/>
      <c r="S344" s="283"/>
      <c r="T344" s="283"/>
      <c r="U344" s="283"/>
    </row>
    <row r="345" spans="1:21" s="259" customFormat="1" x14ac:dyDescent="0.2">
      <c r="A345" s="262">
        <v>45</v>
      </c>
      <c r="B345" s="283"/>
      <c r="C345" s="283"/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  <c r="Q345" s="283"/>
      <c r="R345" s="283"/>
      <c r="S345" s="283"/>
      <c r="T345" s="283"/>
      <c r="U345" s="283"/>
    </row>
    <row r="346" spans="1:21" s="259" customFormat="1" ht="13.5" thickBot="1" x14ac:dyDescent="0.25">
      <c r="A346" s="257" t="s">
        <v>1699</v>
      </c>
      <c r="B346" s="295"/>
      <c r="C346" s="296"/>
      <c r="D346" s="296"/>
      <c r="E346" s="296"/>
      <c r="F346" s="295"/>
      <c r="G346" s="296"/>
      <c r="H346" s="296"/>
      <c r="I346" s="296"/>
      <c r="J346" s="296"/>
      <c r="K346" s="296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 t="s">
        <v>1816</v>
      </c>
    </row>
    <row r="347" spans="1:21" s="259" customFormat="1" x14ac:dyDescent="0.2">
      <c r="A347" s="260"/>
      <c r="B347" s="277"/>
      <c r="C347" s="277"/>
      <c r="D347" s="277"/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</row>
    <row r="348" spans="1:21" s="259" customFormat="1" x14ac:dyDescent="0.2">
      <c r="A348" s="260"/>
      <c r="B348" s="599" t="s">
        <v>987</v>
      </c>
      <c r="C348" s="599"/>
      <c r="D348" s="277"/>
      <c r="E348" s="277"/>
      <c r="F348" s="283"/>
      <c r="G348" s="283"/>
      <c r="H348" s="281" t="s">
        <v>1702</v>
      </c>
      <c r="I348" s="281"/>
      <c r="J348" s="281" t="s">
        <v>984</v>
      </c>
      <c r="K348" s="281"/>
      <c r="L348" s="281" t="s">
        <v>1703</v>
      </c>
      <c r="M348" s="281"/>
      <c r="N348" s="281"/>
      <c r="O348" s="277"/>
      <c r="P348" s="277"/>
      <c r="Q348" s="277"/>
      <c r="R348" s="277"/>
      <c r="S348" s="277"/>
      <c r="T348" s="277"/>
      <c r="U348" s="277"/>
    </row>
    <row r="349" spans="1:21" x14ac:dyDescent="0.2">
      <c r="A349" s="263" t="s">
        <v>1704</v>
      </c>
      <c r="B349" s="598" t="s">
        <v>1705</v>
      </c>
      <c r="C349" s="598"/>
      <c r="D349" s="598" t="s">
        <v>1706</v>
      </c>
      <c r="E349" s="598"/>
      <c r="F349" s="598"/>
      <c r="G349" s="283"/>
      <c r="H349" s="297" t="s">
        <v>987</v>
      </c>
      <c r="I349" s="281"/>
      <c r="J349" s="297" t="s">
        <v>987</v>
      </c>
      <c r="K349" s="281"/>
      <c r="L349" s="297" t="s">
        <v>1707</v>
      </c>
      <c r="M349" s="281"/>
      <c r="N349" s="297" t="s">
        <v>1708</v>
      </c>
      <c r="O349" s="283"/>
      <c r="P349" s="598" t="s">
        <v>1709</v>
      </c>
      <c r="Q349" s="598"/>
      <c r="R349" s="598"/>
      <c r="S349" s="598"/>
      <c r="T349" s="598"/>
      <c r="U349" s="277"/>
    </row>
    <row r="350" spans="1:21" x14ac:dyDescent="0.2">
      <c r="A350" s="262">
        <v>1</v>
      </c>
      <c r="B350" s="283"/>
      <c r="C350" s="283"/>
      <c r="D350" s="28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  <c r="Q350" s="283"/>
      <c r="R350" s="283"/>
      <c r="S350" s="277"/>
      <c r="T350" s="283"/>
      <c r="U350" s="283"/>
    </row>
    <row r="351" spans="1:21" x14ac:dyDescent="0.2">
      <c r="A351" s="262">
        <v>2</v>
      </c>
      <c r="B351" s="277" t="s">
        <v>471</v>
      </c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  <c r="Q351" s="277"/>
      <c r="R351" s="277"/>
      <c r="S351" s="288"/>
      <c r="T351" s="283"/>
      <c r="U351" s="283"/>
    </row>
    <row r="352" spans="1:21" x14ac:dyDescent="0.2">
      <c r="A352" s="262">
        <v>3</v>
      </c>
      <c r="B352" s="283"/>
      <c r="C352" s="283"/>
      <c r="D352" s="288" t="s">
        <v>1823</v>
      </c>
      <c r="E352" s="283"/>
      <c r="F352" s="283"/>
      <c r="G352" s="283"/>
      <c r="H352" s="213"/>
      <c r="I352" s="283"/>
      <c r="J352" s="283"/>
      <c r="K352" s="283"/>
      <c r="L352" s="283"/>
      <c r="M352" s="283"/>
      <c r="N352" s="283"/>
      <c r="O352" s="283"/>
      <c r="P352" s="283"/>
      <c r="Q352" s="277"/>
      <c r="R352" s="277"/>
      <c r="S352" s="277"/>
      <c r="T352" s="283"/>
      <c r="U352" s="283"/>
    </row>
    <row r="353" spans="1:21" x14ac:dyDescent="0.2">
      <c r="A353" s="262">
        <v>4</v>
      </c>
      <c r="B353" s="283"/>
      <c r="C353" s="283"/>
      <c r="D353" s="281" t="s">
        <v>328</v>
      </c>
      <c r="E353" s="283"/>
      <c r="F353" s="283"/>
      <c r="G353" s="283"/>
      <c r="H353" s="213">
        <f>+'2025 GSLDSU Rate Class E-13c'!J73</f>
        <v>84.73</v>
      </c>
      <c r="I353" s="283"/>
      <c r="J353" s="213">
        <f>+'2025 GSLDSU Rate Class E-13c'!Q73</f>
        <v>128.44</v>
      </c>
      <c r="K353" s="279"/>
      <c r="L353" s="280">
        <f>+'Unit Cost Rate Design Input'!D162</f>
        <v>128.44</v>
      </c>
      <c r="M353" s="283"/>
      <c r="N353" s="281" t="s">
        <v>1786</v>
      </c>
      <c r="O353" s="290"/>
      <c r="P353" s="277" t="s">
        <v>1800</v>
      </c>
      <c r="Q353" s="277"/>
      <c r="R353" s="277"/>
      <c r="S353" s="288"/>
      <c r="T353" s="283"/>
      <c r="U353" s="283"/>
    </row>
    <row r="354" spans="1:21" x14ac:dyDescent="0.2">
      <c r="A354" s="262">
        <v>5</v>
      </c>
      <c r="B354" s="283"/>
      <c r="C354" s="283"/>
      <c r="D354" s="277" t="s">
        <v>1801</v>
      </c>
      <c r="E354" s="283"/>
      <c r="F354" s="283"/>
      <c r="G354" s="283"/>
      <c r="H354" s="213">
        <f>+'2025 GSLDSU Rate Class E-13c'!J74</f>
        <v>84.73</v>
      </c>
      <c r="I354" s="279"/>
      <c r="J354" s="213">
        <f>+'2025 GSLDSU Rate Class E-13c'!Q74</f>
        <v>128.44</v>
      </c>
      <c r="K354" s="279"/>
      <c r="L354" s="280">
        <f>+'Unit Cost Rate Design Input'!D163</f>
        <v>128.44</v>
      </c>
      <c r="M354" s="279"/>
      <c r="N354" s="281" t="s">
        <v>1786</v>
      </c>
      <c r="O354" s="283"/>
      <c r="P354" s="277" t="s">
        <v>1800</v>
      </c>
      <c r="Q354" s="277"/>
      <c r="R354" s="277"/>
      <c r="S354" s="277"/>
      <c r="T354" s="283"/>
      <c r="U354" s="283"/>
    </row>
    <row r="355" spans="1:21" x14ac:dyDescent="0.2">
      <c r="A355" s="262">
        <v>6</v>
      </c>
      <c r="B355" s="283"/>
      <c r="C355" s="283"/>
      <c r="D355" s="28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  <c r="Q355" s="283"/>
      <c r="R355" s="277"/>
      <c r="S355" s="277"/>
      <c r="T355" s="283"/>
      <c r="U355" s="283"/>
    </row>
    <row r="356" spans="1:21" x14ac:dyDescent="0.2">
      <c r="A356" s="262">
        <v>7</v>
      </c>
      <c r="B356" s="283"/>
      <c r="C356" s="283"/>
      <c r="D356" s="277" t="s">
        <v>1739</v>
      </c>
      <c r="E356" s="283"/>
      <c r="F356" s="283"/>
      <c r="G356" s="283"/>
      <c r="H356" s="283"/>
      <c r="I356" s="283"/>
      <c r="J356" s="283"/>
      <c r="K356" s="126"/>
      <c r="L356" s="283"/>
      <c r="M356" s="283"/>
      <c r="N356" s="290"/>
      <c r="O356" s="278"/>
      <c r="P356" s="278"/>
      <c r="Q356" s="283"/>
      <c r="R356" s="277"/>
      <c r="S356" s="277"/>
      <c r="T356" s="283"/>
      <c r="U356" s="283"/>
    </row>
    <row r="357" spans="1:21" x14ac:dyDescent="0.2">
      <c r="A357" s="262">
        <v>8</v>
      </c>
      <c r="B357" s="283"/>
      <c r="C357" s="283"/>
      <c r="D357" s="284" t="s">
        <v>1768</v>
      </c>
      <c r="E357" s="283"/>
      <c r="F357" s="283"/>
      <c r="G357" s="283"/>
      <c r="H357" s="213"/>
      <c r="I357" s="126"/>
      <c r="J357" s="213"/>
      <c r="K357" s="126"/>
      <c r="L357" s="281"/>
      <c r="M357" s="277"/>
      <c r="N357" s="278"/>
      <c r="O357" s="278"/>
      <c r="P357" s="277"/>
      <c r="Q357" s="283"/>
      <c r="R357" s="283"/>
      <c r="S357" s="277"/>
      <c r="T357" s="283"/>
      <c r="U357" s="283"/>
    </row>
    <row r="358" spans="1:21" x14ac:dyDescent="0.2">
      <c r="A358" s="262">
        <v>9</v>
      </c>
      <c r="B358" s="283"/>
      <c r="C358" s="283"/>
      <c r="D358" s="281" t="s">
        <v>1802</v>
      </c>
      <c r="E358" s="283"/>
      <c r="F358" s="283"/>
      <c r="G358" s="283"/>
      <c r="H358" s="213">
        <f>+'2025 GSLDSU Rate Class E-13c'!J92</f>
        <v>9.2899999999999991</v>
      </c>
      <c r="I358" s="126"/>
      <c r="J358" s="213">
        <f>+'2025 GSLDSU Rate Class E-13c'!Q92</f>
        <v>12.771549918847711</v>
      </c>
      <c r="K358" s="200">
        <v>16</v>
      </c>
      <c r="L358" s="280">
        <f>+'Unit Cost Rate Design Input'!D164</f>
        <v>8.15</v>
      </c>
      <c r="M358" s="277"/>
      <c r="N358" s="281"/>
      <c r="O358" s="278"/>
      <c r="P358" s="277" t="s">
        <v>1817</v>
      </c>
      <c r="Q358" s="283"/>
      <c r="R358" s="283"/>
      <c r="S358" s="277"/>
      <c r="T358" s="283"/>
      <c r="U358" s="283"/>
    </row>
    <row r="359" spans="1:21" x14ac:dyDescent="0.2">
      <c r="A359" s="262">
        <v>10</v>
      </c>
      <c r="B359" s="283"/>
      <c r="C359" s="283"/>
      <c r="D359" s="288" t="s">
        <v>1770</v>
      </c>
      <c r="E359" s="283"/>
      <c r="F359" s="283"/>
      <c r="G359" s="283"/>
      <c r="H359" s="213">
        <f>+'2025 GSLDSU Rate Class E-13c'!J93</f>
        <v>2.95</v>
      </c>
      <c r="I359" s="283"/>
      <c r="J359" s="213">
        <f>+'2025 GSLDSU Rate Class E-13c'!Q93</f>
        <v>1.5513907263385562</v>
      </c>
      <c r="K359" s="279">
        <v>5.1100000000000003</v>
      </c>
      <c r="L359" s="280">
        <f>+'Unit Cost Rate Design Input'!D165</f>
        <v>0.99</v>
      </c>
      <c r="M359" s="283"/>
      <c r="N359" s="281"/>
      <c r="O359" s="283"/>
      <c r="P359" s="277" t="s">
        <v>1817</v>
      </c>
      <c r="Q359" s="283"/>
      <c r="R359" s="283"/>
      <c r="S359" s="277"/>
      <c r="T359" s="283"/>
      <c r="U359" s="283"/>
    </row>
    <row r="360" spans="1:21" x14ac:dyDescent="0.2">
      <c r="A360" s="262">
        <v>11</v>
      </c>
      <c r="B360" s="283"/>
      <c r="C360" s="283"/>
      <c r="D360" s="277" t="s">
        <v>1772</v>
      </c>
      <c r="E360" s="283"/>
      <c r="F360" s="283"/>
      <c r="G360" s="283"/>
      <c r="H360" s="213">
        <f>+'2025 GSLDSU Rate Class E-13c'!J94</f>
        <v>6.31</v>
      </c>
      <c r="I360" s="283"/>
      <c r="J360" s="213">
        <f>+'2025 GSLDSU Rate Class E-13c'!Q94</f>
        <v>11.220159192509154</v>
      </c>
      <c r="K360" s="279">
        <v>10.46</v>
      </c>
      <c r="L360" s="280">
        <f>+'Unit Cost Rate Design Input'!D166</f>
        <v>7.16</v>
      </c>
      <c r="M360" s="283"/>
      <c r="N360" s="283"/>
      <c r="O360" s="283"/>
      <c r="P360" s="277" t="s">
        <v>1817</v>
      </c>
      <c r="Q360" s="283"/>
      <c r="R360" s="283"/>
      <c r="S360" s="277"/>
      <c r="T360" s="283"/>
      <c r="U360" s="283"/>
    </row>
    <row r="361" spans="1:21" x14ac:dyDescent="0.2">
      <c r="A361" s="262">
        <v>12</v>
      </c>
      <c r="B361" s="283"/>
      <c r="C361" s="283"/>
      <c r="D361" s="282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  <c r="Q361" s="283"/>
      <c r="R361" s="283"/>
      <c r="S361" s="283"/>
      <c r="T361" s="283"/>
      <c r="U361" s="283"/>
    </row>
    <row r="362" spans="1:21" x14ac:dyDescent="0.2">
      <c r="A362" s="262">
        <v>13</v>
      </c>
      <c r="B362" s="283"/>
      <c r="C362" s="283"/>
      <c r="D362" s="277" t="s">
        <v>1803</v>
      </c>
      <c r="E362" s="283"/>
      <c r="F362" s="283"/>
      <c r="G362" s="283"/>
      <c r="H362" s="283"/>
      <c r="I362" s="283"/>
      <c r="J362" s="283"/>
      <c r="K362" s="283"/>
      <c r="L362" s="283"/>
      <c r="M362" s="283"/>
      <c r="N362" s="283"/>
      <c r="O362" s="283"/>
      <c r="P362" s="283"/>
      <c r="Q362" s="283"/>
      <c r="R362" s="283"/>
      <c r="S362" s="283"/>
      <c r="T362" s="283"/>
      <c r="U362" s="283"/>
    </row>
    <row r="363" spans="1:21" x14ac:dyDescent="0.2">
      <c r="A363" s="262">
        <v>14</v>
      </c>
      <c r="B363" s="283"/>
      <c r="C363" s="283"/>
      <c r="D363" s="277" t="s">
        <v>1804</v>
      </c>
      <c r="E363" s="283"/>
      <c r="F363" s="283"/>
      <c r="G363" s="283"/>
      <c r="H363" s="213">
        <f>+'2025 GSLDSU Rate Class E-13c'!J98</f>
        <v>0.86</v>
      </c>
      <c r="I363" s="283"/>
      <c r="J363" s="213">
        <f>+'2025 GSLDSU Rate Class E-13c'!Q98</f>
        <v>1.3006609119808097</v>
      </c>
      <c r="K363" s="279">
        <v>0</v>
      </c>
      <c r="L363" s="280">
        <f>+'Unit Cost Rate Design Input'!D167</f>
        <v>0.83</v>
      </c>
      <c r="M363" s="283"/>
      <c r="N363" s="277" t="s">
        <v>1754</v>
      </c>
      <c r="O363" s="283"/>
      <c r="P363" s="277" t="s">
        <v>1817</v>
      </c>
      <c r="Q363" s="283"/>
      <c r="R363" s="283"/>
      <c r="S363" s="283"/>
      <c r="T363" s="283"/>
      <c r="U363" s="283"/>
    </row>
    <row r="364" spans="1:21" x14ac:dyDescent="0.2">
      <c r="A364" s="262">
        <v>15</v>
      </c>
      <c r="B364" s="283"/>
      <c r="C364" s="283"/>
      <c r="D364" s="277" t="s">
        <v>1805</v>
      </c>
      <c r="E364" s="283"/>
      <c r="F364" s="283"/>
      <c r="G364" s="283"/>
      <c r="H364" s="213">
        <f>+'2025 GSLDSU Rate Class E-13c'!J99</f>
        <v>1.1200000000000001</v>
      </c>
      <c r="I364" s="283"/>
      <c r="J364" s="213">
        <f>+'2025 GSLDSU Rate Class E-13c'!Q99</f>
        <v>1.535720112941197</v>
      </c>
      <c r="K364" s="279">
        <v>2.2200000000000002</v>
      </c>
      <c r="L364" s="280">
        <f>+'Unit Cost Rate Design Input'!D168</f>
        <v>0.98</v>
      </c>
      <c r="M364" s="283"/>
      <c r="N364" s="277" t="s">
        <v>1754</v>
      </c>
      <c r="O364" s="283"/>
      <c r="P364" s="277" t="s">
        <v>1817</v>
      </c>
      <c r="Q364" s="283"/>
      <c r="R364" s="283"/>
      <c r="S364" s="283"/>
      <c r="T364" s="283"/>
      <c r="U364" s="283"/>
    </row>
    <row r="365" spans="1:21" x14ac:dyDescent="0.2">
      <c r="A365" s="262">
        <v>16</v>
      </c>
      <c r="B365" s="283"/>
      <c r="C365" s="283"/>
      <c r="D365" s="277" t="s">
        <v>1806</v>
      </c>
      <c r="E365" s="283"/>
      <c r="F365" s="283"/>
      <c r="G365" s="283"/>
      <c r="H365" s="213">
        <f>+'2025 GSLDSU Rate Class E-13c'!J100</f>
        <v>0.44</v>
      </c>
      <c r="I365" s="283"/>
      <c r="J365" s="213">
        <f>+'2025 GSLDSU Rate Class E-13c'!Q100</f>
        <v>0.61115392249700706</v>
      </c>
      <c r="K365" s="279">
        <v>0.88</v>
      </c>
      <c r="L365" s="280">
        <f>+'Unit Cost Rate Design Input'!D169</f>
        <v>0.39</v>
      </c>
      <c r="M365" s="283"/>
      <c r="N365" s="277" t="s">
        <v>1754</v>
      </c>
      <c r="O365" s="283"/>
      <c r="P365" s="277" t="s">
        <v>1817</v>
      </c>
      <c r="Q365" s="283"/>
      <c r="R365" s="277"/>
      <c r="S365" s="277"/>
      <c r="T365" s="283"/>
      <c r="U365" s="283"/>
    </row>
    <row r="366" spans="1:21" x14ac:dyDescent="0.2">
      <c r="A366" s="262">
        <v>17</v>
      </c>
      <c r="B366" s="283"/>
      <c r="C366" s="283"/>
      <c r="D366" s="277" t="s">
        <v>1774</v>
      </c>
      <c r="E366" s="283"/>
      <c r="F366" s="283"/>
      <c r="G366" s="283"/>
      <c r="H366" s="213">
        <f>+'2025 GSLDSU Rate Class E-13c'!J101</f>
        <v>0.86</v>
      </c>
      <c r="I366" s="283"/>
      <c r="J366" s="213">
        <f>+'2025 GSLDSU Rate Class E-13c'!Q101</f>
        <v>1.3006609119808097</v>
      </c>
      <c r="K366" s="279">
        <v>0</v>
      </c>
      <c r="L366" s="280">
        <f>+'Unit Cost Rate Design Input'!D170</f>
        <v>0.83</v>
      </c>
      <c r="M366" s="283"/>
      <c r="N366" s="277" t="s">
        <v>1754</v>
      </c>
      <c r="O366" s="283"/>
      <c r="P366" s="277" t="s">
        <v>1817</v>
      </c>
      <c r="Q366" s="277"/>
      <c r="R366" s="283"/>
      <c r="S366" s="283"/>
      <c r="T366" s="283"/>
      <c r="U366" s="283"/>
    </row>
    <row r="367" spans="1:21" x14ac:dyDescent="0.2">
      <c r="A367" s="262">
        <v>18</v>
      </c>
      <c r="B367" s="277"/>
      <c r="C367" s="277"/>
      <c r="D367" s="277" t="s">
        <v>1776</v>
      </c>
      <c r="E367" s="283"/>
      <c r="F367" s="283"/>
      <c r="G367" s="283"/>
      <c r="H367" s="213">
        <f>+'2025 GSLDSU Rate Class E-13c'!J102</f>
        <v>1.1200000000000001</v>
      </c>
      <c r="I367" s="203"/>
      <c r="J367" s="213">
        <f>+'2025 GSLDSU Rate Class E-13c'!Q102</f>
        <v>1.535720112941197</v>
      </c>
      <c r="K367" s="279">
        <v>2.2200000000000002</v>
      </c>
      <c r="L367" s="280">
        <f>+'Unit Cost Rate Design Input'!D171</f>
        <v>0.98</v>
      </c>
      <c r="M367" s="277"/>
      <c r="N367" s="277" t="s">
        <v>1754</v>
      </c>
      <c r="O367" s="277"/>
      <c r="P367" s="277" t="s">
        <v>1817</v>
      </c>
      <c r="Q367" s="283"/>
      <c r="R367" s="283"/>
      <c r="S367" s="283"/>
      <c r="T367" s="283"/>
      <c r="U367" s="283"/>
    </row>
    <row r="368" spans="1:21" x14ac:dyDescent="0.2">
      <c r="A368" s="262">
        <v>19</v>
      </c>
      <c r="B368" s="277"/>
      <c r="C368" s="277"/>
      <c r="D368" s="277" t="s">
        <v>1777</v>
      </c>
      <c r="E368" s="277"/>
      <c r="F368" s="277"/>
      <c r="G368" s="277"/>
      <c r="H368" s="213">
        <f>+'2025 GSLDSU Rate Class E-13c'!J103</f>
        <v>0.44</v>
      </c>
      <c r="I368" s="277"/>
      <c r="J368" s="213">
        <f>+'2025 GSLDSU Rate Class E-13c'!Q103</f>
        <v>0.61115392249700706</v>
      </c>
      <c r="K368" s="279">
        <v>0.88</v>
      </c>
      <c r="L368" s="280">
        <f>+'Unit Cost Rate Design Input'!D172</f>
        <v>0.39</v>
      </c>
      <c r="M368" s="277"/>
      <c r="N368" s="277" t="s">
        <v>1754</v>
      </c>
      <c r="O368" s="277"/>
      <c r="P368" s="277" t="s">
        <v>1817</v>
      </c>
      <c r="Q368" s="283"/>
      <c r="R368" s="283"/>
      <c r="S368" s="283"/>
      <c r="T368" s="283"/>
      <c r="U368" s="283"/>
    </row>
    <row r="369" spans="1:21" x14ac:dyDescent="0.2">
      <c r="A369" s="262">
        <v>20</v>
      </c>
      <c r="B369" s="277"/>
      <c r="C369" s="277"/>
      <c r="D369" s="277"/>
      <c r="E369" s="277"/>
      <c r="F369" s="277"/>
      <c r="G369" s="277"/>
      <c r="H369" s="200"/>
      <c r="I369" s="203"/>
      <c r="J369" s="200"/>
      <c r="K369" s="277"/>
      <c r="L369" s="277"/>
      <c r="M369" s="277"/>
      <c r="N369" s="277"/>
      <c r="O369" s="277"/>
      <c r="P369" s="277"/>
      <c r="Q369" s="283"/>
      <c r="R369" s="283"/>
      <c r="S369" s="283"/>
      <c r="T369" s="283"/>
      <c r="U369" s="283"/>
    </row>
    <row r="370" spans="1:21" x14ac:dyDescent="0.2">
      <c r="A370" s="262">
        <v>21</v>
      </c>
      <c r="B370" s="277"/>
      <c r="C370" s="277"/>
      <c r="D370" s="277" t="s">
        <v>1744</v>
      </c>
      <c r="E370" s="277"/>
      <c r="F370" s="277"/>
      <c r="G370" s="277"/>
      <c r="H370" s="67"/>
      <c r="I370" s="67"/>
      <c r="J370" s="67"/>
      <c r="K370" s="277"/>
      <c r="L370" s="277"/>
      <c r="M370" s="277"/>
      <c r="N370" s="277"/>
      <c r="O370" s="277"/>
      <c r="P370" s="277"/>
      <c r="Q370" s="283"/>
      <c r="R370" s="283"/>
      <c r="S370" s="283"/>
      <c r="T370" s="283"/>
      <c r="U370" s="283"/>
    </row>
    <row r="371" spans="1:21" x14ac:dyDescent="0.2">
      <c r="A371" s="262">
        <v>22</v>
      </c>
      <c r="B371" s="283"/>
      <c r="C371" s="283"/>
      <c r="D371" s="277" t="s">
        <v>1101</v>
      </c>
      <c r="E371" s="277"/>
      <c r="F371" s="277"/>
      <c r="G371" s="277"/>
      <c r="H371" s="287"/>
      <c r="I371" s="287"/>
      <c r="J371" s="287"/>
      <c r="K371" s="287"/>
      <c r="L371" s="287"/>
      <c r="M371" s="277"/>
      <c r="N371" s="277"/>
      <c r="O371" s="277"/>
      <c r="P371" s="288"/>
      <c r="Q371" s="283"/>
      <c r="R371" s="283"/>
      <c r="S371" s="283"/>
      <c r="T371" s="283"/>
      <c r="U371" s="283"/>
    </row>
    <row r="372" spans="1:21" x14ac:dyDescent="0.2">
      <c r="A372" s="262">
        <v>23</v>
      </c>
      <c r="B372" s="277"/>
      <c r="C372" s="277"/>
      <c r="D372" s="281" t="s">
        <v>328</v>
      </c>
      <c r="E372" s="283"/>
      <c r="F372" s="283"/>
      <c r="G372" s="283"/>
      <c r="H372" s="213">
        <f>+'2025 GSLDSU Rate Class E-13c'!J78*1000</f>
        <v>11.51</v>
      </c>
      <c r="I372" s="283"/>
      <c r="J372" s="213">
        <f>+'2025 GSLDSU Rate Class E-13c'!Q78*1000</f>
        <v>11.6251</v>
      </c>
      <c r="K372" s="279">
        <v>20.3</v>
      </c>
      <c r="L372" s="279"/>
      <c r="M372" s="283"/>
      <c r="N372" s="283"/>
      <c r="O372" s="283"/>
      <c r="P372" s="277" t="s">
        <v>1817</v>
      </c>
      <c r="Q372" s="283"/>
      <c r="R372" s="283"/>
      <c r="S372" s="283"/>
      <c r="T372" s="283"/>
      <c r="U372" s="283"/>
    </row>
    <row r="373" spans="1:21" x14ac:dyDescent="0.2">
      <c r="A373" s="262">
        <v>24</v>
      </c>
      <c r="B373" s="283"/>
      <c r="C373" s="283"/>
      <c r="D373" s="277" t="s">
        <v>344</v>
      </c>
      <c r="E373" s="283"/>
      <c r="F373" s="283"/>
      <c r="G373" s="283"/>
      <c r="H373" s="213">
        <f>+'2025 GSLDSU Rate Class E-13c'!J79*1000</f>
        <v>13.860000000000001</v>
      </c>
      <c r="I373" s="283"/>
      <c r="J373" s="213">
        <f>+'2025 GSLDSU Rate Class E-13c'!Q79*1000</f>
        <v>20.927199999999999</v>
      </c>
      <c r="K373" s="279">
        <v>36.880000000000003</v>
      </c>
      <c r="L373" s="279"/>
      <c r="M373" s="283"/>
      <c r="N373" s="283"/>
      <c r="O373" s="283"/>
      <c r="P373" s="277" t="s">
        <v>1828</v>
      </c>
      <c r="Q373" s="283"/>
      <c r="R373" s="283"/>
      <c r="S373" s="283"/>
      <c r="T373" s="283"/>
      <c r="U373" s="283"/>
    </row>
    <row r="374" spans="1:21" x14ac:dyDescent="0.2">
      <c r="A374" s="262">
        <v>25</v>
      </c>
      <c r="B374" s="283"/>
      <c r="C374" s="283"/>
      <c r="D374" s="277" t="s">
        <v>345</v>
      </c>
      <c r="E374" s="283"/>
      <c r="F374" s="283"/>
      <c r="G374" s="283"/>
      <c r="H374" s="213">
        <f>+'2025 GSLDSU Rate Class E-13c'!J80*1000</f>
        <v>10.78</v>
      </c>
      <c r="I374" s="283"/>
      <c r="J374" s="213">
        <f>+'2025 GSLDSU Rate Class E-13c'!Q80*1000</f>
        <v>10.2072</v>
      </c>
      <c r="K374" s="279">
        <v>14.99</v>
      </c>
      <c r="L374" s="279"/>
      <c r="M374" s="283"/>
      <c r="N374" s="283"/>
      <c r="O374" s="283"/>
      <c r="P374" s="277" t="s">
        <v>1828</v>
      </c>
      <c r="Q374" s="283"/>
      <c r="R374" s="283"/>
      <c r="S374" s="283"/>
      <c r="T374" s="283"/>
      <c r="U374" s="283"/>
    </row>
    <row r="375" spans="1:21" x14ac:dyDescent="0.2">
      <c r="A375" s="262">
        <v>26</v>
      </c>
      <c r="B375" s="283"/>
      <c r="C375" s="283"/>
      <c r="D375" s="277" t="s">
        <v>1609</v>
      </c>
      <c r="E375" s="283"/>
      <c r="F375" s="283"/>
      <c r="G375" s="283"/>
      <c r="H375" s="213">
        <f>+'2025 GSLDSU Rate Class E-13c'!J81*1000</f>
        <v>0</v>
      </c>
      <c r="I375" s="283"/>
      <c r="J375" s="213">
        <f>+'2025 GSLDSU Rate Class E-13c'!Q81*1000</f>
        <v>7.1671999999999993</v>
      </c>
      <c r="K375" s="283"/>
      <c r="L375" s="283"/>
      <c r="M375" s="283"/>
      <c r="N375" s="283"/>
      <c r="O375" s="283"/>
      <c r="P375" s="277" t="s">
        <v>1828</v>
      </c>
      <c r="Q375" s="283"/>
      <c r="R375" s="283"/>
      <c r="S375" s="283"/>
      <c r="T375" s="283"/>
      <c r="U375" s="283"/>
    </row>
    <row r="376" spans="1:21" x14ac:dyDescent="0.2">
      <c r="A376" s="262">
        <v>27</v>
      </c>
      <c r="B376" s="283"/>
      <c r="C376" s="283"/>
      <c r="D376" s="277" t="s">
        <v>1808</v>
      </c>
      <c r="E376" s="283"/>
      <c r="F376" s="283"/>
      <c r="G376" s="283"/>
      <c r="H376" s="283"/>
      <c r="I376" s="283"/>
      <c r="J376" s="283"/>
      <c r="K376" s="283"/>
      <c r="L376" s="283"/>
      <c r="M376" s="283"/>
      <c r="N376" s="283"/>
      <c r="O376" s="283"/>
      <c r="P376" s="283"/>
      <c r="Q376" s="277"/>
      <c r="R376" s="283"/>
      <c r="S376" s="283"/>
      <c r="T376" s="283"/>
      <c r="U376" s="283"/>
    </row>
    <row r="377" spans="1:21" x14ac:dyDescent="0.2">
      <c r="A377" s="262">
        <v>28</v>
      </c>
      <c r="B377" s="283"/>
      <c r="C377" s="283"/>
      <c r="D377" s="281" t="s">
        <v>328</v>
      </c>
      <c r="E377" s="283"/>
      <c r="F377" s="283"/>
      <c r="G377" s="283"/>
      <c r="H377" s="213">
        <f>+'2025 GSLDSU Rate Class E-13c'!J85*1000</f>
        <v>8.57</v>
      </c>
      <c r="I377" s="283"/>
      <c r="J377" s="213">
        <f>+'2025 GSLDSU Rate Class E-13c'!Q85*1000</f>
        <v>8.6556999999999995</v>
      </c>
      <c r="K377" s="279">
        <v>9.92</v>
      </c>
      <c r="L377" s="279"/>
      <c r="M377" s="283"/>
      <c r="N377" s="277"/>
      <c r="O377" s="283"/>
      <c r="P377" s="277" t="s">
        <v>1817</v>
      </c>
      <c r="Q377" s="288"/>
      <c r="R377" s="283"/>
      <c r="S377" s="283"/>
      <c r="T377" s="283"/>
      <c r="U377" s="283"/>
    </row>
    <row r="378" spans="1:21" x14ac:dyDescent="0.2">
      <c r="A378" s="262">
        <v>29</v>
      </c>
      <c r="B378" s="283"/>
      <c r="C378" s="283"/>
      <c r="D378" s="277" t="s">
        <v>344</v>
      </c>
      <c r="E378" s="283"/>
      <c r="F378" s="283"/>
      <c r="G378" s="283"/>
      <c r="H378" s="213">
        <f>+'2025 GSLDSU Rate Class E-13c'!J86*1000</f>
        <v>8.57</v>
      </c>
      <c r="I378" s="283"/>
      <c r="J378" s="213">
        <f>+'2025 GSLDSU Rate Class E-13c'!Q86*1000</f>
        <v>8.6556999999999995</v>
      </c>
      <c r="K378" s="279">
        <v>9.92</v>
      </c>
      <c r="L378" s="279"/>
      <c r="M378" s="283"/>
      <c r="N378" s="277"/>
      <c r="O378" s="283"/>
      <c r="P378" s="277" t="s">
        <v>1817</v>
      </c>
      <c r="Q378" s="277"/>
      <c r="R378" s="283"/>
      <c r="S378" s="283"/>
      <c r="T378" s="283"/>
      <c r="U378" s="283"/>
    </row>
    <row r="379" spans="1:21" x14ac:dyDescent="0.2">
      <c r="A379" s="262">
        <v>30</v>
      </c>
      <c r="B379" s="283"/>
      <c r="C379" s="283"/>
      <c r="D379" s="277" t="s">
        <v>345</v>
      </c>
      <c r="E379" s="283"/>
      <c r="F379" s="283"/>
      <c r="G379" s="283"/>
      <c r="H379" s="213">
        <f>+'2025 GSLDSU Rate Class E-13c'!J87*1000</f>
        <v>8.57</v>
      </c>
      <c r="I379" s="283"/>
      <c r="J379" s="213">
        <f>+'2025 GSLDSU Rate Class E-13c'!Q87*1000</f>
        <v>8.6556999999999995</v>
      </c>
      <c r="K379" s="279">
        <v>9.92</v>
      </c>
      <c r="L379" s="279"/>
      <c r="M379" s="283"/>
      <c r="N379" s="277"/>
      <c r="O379" s="283"/>
      <c r="P379" s="277" t="s">
        <v>1817</v>
      </c>
      <c r="Q379" s="277"/>
      <c r="R379" s="277"/>
      <c r="S379" s="277"/>
      <c r="T379" s="283"/>
      <c r="U379" s="283"/>
    </row>
    <row r="380" spans="1:21" x14ac:dyDescent="0.2">
      <c r="A380" s="262">
        <v>31</v>
      </c>
      <c r="B380" s="283"/>
      <c r="C380" s="283"/>
      <c r="D380" s="277" t="s">
        <v>1609</v>
      </c>
      <c r="E380" s="283"/>
      <c r="F380" s="283"/>
      <c r="G380" s="283"/>
      <c r="H380" s="213">
        <f>+'2025 GSLDSU Rate Class E-13c'!J88*1000</f>
        <v>0</v>
      </c>
      <c r="I380" s="283"/>
      <c r="J380" s="213">
        <f>+'2025 GSLDSU Rate Class E-13c'!Q88*1000</f>
        <v>8.6556999999999995</v>
      </c>
      <c r="K380" s="283"/>
      <c r="L380" s="283"/>
      <c r="M380" s="283"/>
      <c r="N380" s="283"/>
      <c r="O380" s="283"/>
      <c r="P380" s="283"/>
      <c r="Q380" s="277"/>
      <c r="R380" s="288"/>
      <c r="S380" s="283"/>
      <c r="T380" s="283"/>
      <c r="U380" s="283"/>
    </row>
    <row r="381" spans="1:21" s="259" customFormat="1" x14ac:dyDescent="0.2">
      <c r="A381" s="262">
        <v>32</v>
      </c>
      <c r="B381" s="283"/>
      <c r="C381" s="283"/>
      <c r="R381" s="277"/>
      <c r="S381" s="283"/>
      <c r="T381" s="283"/>
      <c r="U381" s="283"/>
    </row>
    <row r="382" spans="1:21" s="259" customFormat="1" x14ac:dyDescent="0.2">
      <c r="A382" s="262">
        <v>33</v>
      </c>
      <c r="B382" s="283"/>
      <c r="C382" s="283"/>
      <c r="D382" s="277" t="s">
        <v>1809</v>
      </c>
      <c r="E382" s="283"/>
      <c r="F382" s="283"/>
      <c r="G382" s="283"/>
      <c r="H382" s="283"/>
      <c r="I382" s="283"/>
      <c r="J382" s="283"/>
      <c r="K382" s="283"/>
      <c r="L382" s="283"/>
      <c r="M382" s="283"/>
      <c r="N382" s="283"/>
      <c r="O382" s="283"/>
      <c r="P382" s="283"/>
      <c r="Q382" s="283"/>
      <c r="R382" s="277"/>
      <c r="S382" s="283"/>
      <c r="T382" s="283"/>
      <c r="U382" s="283"/>
    </row>
    <row r="383" spans="1:21" s="259" customFormat="1" x14ac:dyDescent="0.2">
      <c r="A383" s="262">
        <v>34</v>
      </c>
      <c r="B383" s="283"/>
      <c r="C383" s="283"/>
      <c r="D383" s="277" t="s">
        <v>1782</v>
      </c>
      <c r="E383" s="283"/>
      <c r="F383" s="283"/>
      <c r="G383" s="283"/>
      <c r="H383" s="283"/>
      <c r="I383" s="283"/>
      <c r="J383" s="283"/>
      <c r="K383" s="283"/>
      <c r="L383" s="283"/>
      <c r="M383" s="283"/>
      <c r="N383" s="283"/>
      <c r="O383" s="283"/>
      <c r="P383" s="283"/>
      <c r="Q383" s="283"/>
      <c r="R383" s="277"/>
      <c r="S383" s="283"/>
      <c r="T383" s="283"/>
      <c r="U383" s="283"/>
    </row>
    <row r="384" spans="1:21" s="259" customFormat="1" x14ac:dyDescent="0.2">
      <c r="A384" s="262">
        <v>35</v>
      </c>
      <c r="B384" s="283"/>
      <c r="C384" s="283"/>
      <c r="D384" s="281" t="s">
        <v>328</v>
      </c>
      <c r="E384" s="283"/>
      <c r="F384" s="283"/>
      <c r="G384" s="283"/>
      <c r="H384" s="213">
        <f>+'2025 GSLDSU Rate Class E-13c'!J133</f>
        <v>0.68</v>
      </c>
      <c r="I384" s="283"/>
      <c r="J384" s="213">
        <f>+'2025 GSLDSU Rate Class E-13c'!Q133</f>
        <v>1.02</v>
      </c>
      <c r="K384" s="279">
        <v>0.72</v>
      </c>
      <c r="L384" s="280">
        <f>+'Unit Cost Rate Design Input'!D177</f>
        <v>1.02</v>
      </c>
      <c r="M384" s="283"/>
      <c r="N384" s="277" t="s">
        <v>1758</v>
      </c>
      <c r="O384" s="283"/>
      <c r="P384" s="277" t="s">
        <v>1755</v>
      </c>
      <c r="Q384" s="283"/>
      <c r="R384" s="283"/>
      <c r="S384" s="283"/>
      <c r="T384" s="283"/>
      <c r="U384" s="283"/>
    </row>
    <row r="385" spans="1:21" s="259" customFormat="1" x14ac:dyDescent="0.2">
      <c r="A385" s="262">
        <v>36</v>
      </c>
      <c r="B385" s="283"/>
      <c r="C385" s="283"/>
      <c r="D385" s="277" t="s">
        <v>341</v>
      </c>
      <c r="E385" s="283"/>
      <c r="F385" s="283"/>
      <c r="G385" s="283"/>
      <c r="H385" s="213">
        <f>+'2025 GSLDSU Rate Class E-13c'!J134</f>
        <v>0.68</v>
      </c>
      <c r="I385" s="283"/>
      <c r="J385" s="213">
        <f>+'2025 GSLDSU Rate Class E-13c'!Q134</f>
        <v>1.02</v>
      </c>
      <c r="K385" s="279">
        <v>0.72</v>
      </c>
      <c r="L385" s="280">
        <f>+'Unit Cost Rate Design Input'!D178</f>
        <v>1.02</v>
      </c>
      <c r="M385" s="283"/>
      <c r="N385" s="277" t="s">
        <v>1758</v>
      </c>
      <c r="O385" s="283"/>
      <c r="P385" s="277" t="s">
        <v>1755</v>
      </c>
      <c r="Q385" s="283"/>
      <c r="R385" s="283"/>
      <c r="S385" s="283"/>
      <c r="T385" s="283"/>
      <c r="U385" s="283"/>
    </row>
    <row r="386" spans="1:21" s="259" customFormat="1" x14ac:dyDescent="0.2">
      <c r="A386" s="262">
        <v>37</v>
      </c>
      <c r="B386" s="283"/>
      <c r="C386" s="283"/>
      <c r="D386" s="277"/>
      <c r="E386" s="283"/>
      <c r="F386" s="283"/>
      <c r="G386" s="283"/>
      <c r="H386" s="283"/>
      <c r="I386" s="283"/>
      <c r="J386" s="283"/>
      <c r="K386" s="283"/>
      <c r="L386" s="283"/>
      <c r="M386" s="283"/>
      <c r="N386" s="283"/>
      <c r="O386" s="283"/>
      <c r="P386" s="283"/>
      <c r="Q386" s="283"/>
      <c r="R386" s="283"/>
      <c r="S386" s="283"/>
      <c r="T386" s="283"/>
      <c r="U386" s="283"/>
    </row>
    <row r="387" spans="1:21" s="259" customFormat="1" x14ac:dyDescent="0.2">
      <c r="A387" s="262">
        <v>38</v>
      </c>
      <c r="B387" s="283"/>
      <c r="C387" s="283"/>
      <c r="D387" s="283"/>
      <c r="E387" s="283"/>
      <c r="F387" s="283"/>
      <c r="G387" s="283"/>
      <c r="H387" s="283"/>
      <c r="I387" s="283"/>
      <c r="J387" s="283"/>
      <c r="K387" s="283"/>
      <c r="L387" s="283"/>
      <c r="M387" s="283"/>
      <c r="N387" s="283"/>
      <c r="O387" s="283"/>
      <c r="P387" s="283"/>
      <c r="Q387" s="283"/>
      <c r="R387" s="283"/>
      <c r="S387" s="283"/>
      <c r="T387" s="283"/>
      <c r="U387" s="283"/>
    </row>
    <row r="388" spans="1:21" s="259" customFormat="1" x14ac:dyDescent="0.2">
      <c r="A388" s="262">
        <v>39</v>
      </c>
      <c r="B388" s="283"/>
      <c r="C388" s="283"/>
      <c r="D388" s="277" t="s">
        <v>1814</v>
      </c>
      <c r="E388" s="283"/>
      <c r="F388" s="283"/>
      <c r="G388" s="283"/>
      <c r="H388" s="283"/>
      <c r="I388" s="283"/>
      <c r="J388" s="283"/>
      <c r="K388" s="283"/>
      <c r="L388" s="283"/>
      <c r="M388" s="283"/>
      <c r="N388" s="283"/>
      <c r="O388" s="283"/>
      <c r="P388" s="283"/>
      <c r="Q388" s="283"/>
      <c r="R388" s="283"/>
      <c r="S388" s="283"/>
      <c r="T388" s="283"/>
      <c r="U388" s="283"/>
    </row>
    <row r="389" spans="1:21" s="259" customFormat="1" x14ac:dyDescent="0.2">
      <c r="A389" s="262">
        <v>40</v>
      </c>
      <c r="B389" s="283"/>
      <c r="C389" s="283"/>
      <c r="D389" s="281" t="s">
        <v>328</v>
      </c>
      <c r="E389" s="283"/>
      <c r="F389" s="283"/>
      <c r="G389" s="283"/>
      <c r="H389" s="213">
        <f>+'2025 GSLDSU Rate Class E-13c'!J107*1000</f>
        <v>2.0300000000000002</v>
      </c>
      <c r="I389" s="283"/>
      <c r="J389" s="213">
        <f>+'2025 GSLDSU Rate Class E-13c'!Q107*1000</f>
        <v>2.0300000000000002</v>
      </c>
      <c r="K389" s="279">
        <v>2.0099999999999998</v>
      </c>
      <c r="L389" s="279"/>
      <c r="M389" s="283"/>
      <c r="N389" s="283"/>
      <c r="O389" s="283"/>
      <c r="P389" s="277" t="s">
        <v>1722</v>
      </c>
      <c r="Q389" s="283"/>
      <c r="R389" s="283"/>
      <c r="S389" s="283"/>
      <c r="T389" s="283"/>
      <c r="U389" s="283"/>
    </row>
    <row r="390" spans="1:21" s="259" customFormat="1" x14ac:dyDescent="0.2">
      <c r="A390" s="262">
        <v>41</v>
      </c>
      <c r="B390" s="283"/>
      <c r="C390" s="283"/>
      <c r="D390" s="277" t="s">
        <v>341</v>
      </c>
      <c r="E390" s="283"/>
      <c r="F390" s="283"/>
      <c r="G390" s="283"/>
      <c r="H390" s="213">
        <f>+'2025 GSLDSU Rate Class E-13c'!J108*1000</f>
        <v>2.0300000000000002</v>
      </c>
      <c r="I390" s="283"/>
      <c r="J390" s="213">
        <f>+'2025 GSLDSU Rate Class E-13c'!Q108*1000</f>
        <v>2.0300000000000002</v>
      </c>
      <c r="K390" s="279">
        <v>2.0099999999999998</v>
      </c>
      <c r="L390" s="279"/>
      <c r="M390" s="283"/>
      <c r="N390" s="283"/>
      <c r="O390" s="283"/>
      <c r="P390" s="277" t="s">
        <v>1722</v>
      </c>
      <c r="Q390" s="283"/>
      <c r="R390" s="283"/>
      <c r="S390" s="283"/>
      <c r="T390" s="283"/>
      <c r="U390" s="283"/>
    </row>
    <row r="391" spans="1:21" s="259" customFormat="1" x14ac:dyDescent="0.2">
      <c r="A391" s="262">
        <v>42</v>
      </c>
      <c r="B391" s="283"/>
      <c r="C391" s="283"/>
      <c r="D391" s="277"/>
      <c r="E391" s="283"/>
      <c r="F391" s="283"/>
      <c r="G391" s="283"/>
      <c r="H391" s="283"/>
      <c r="I391" s="283"/>
      <c r="J391" s="283"/>
      <c r="K391" s="283"/>
      <c r="L391" s="283"/>
      <c r="M391" s="283"/>
      <c r="N391" s="283"/>
      <c r="O391" s="283"/>
      <c r="P391" s="283"/>
      <c r="Q391" s="283"/>
      <c r="R391" s="283"/>
      <c r="S391" s="283"/>
      <c r="T391" s="283"/>
      <c r="U391" s="283"/>
    </row>
    <row r="392" spans="1:21" s="259" customFormat="1" x14ac:dyDescent="0.2">
      <c r="A392" s="262">
        <v>43</v>
      </c>
      <c r="B392" s="283"/>
      <c r="C392" s="283"/>
      <c r="D392" s="277" t="s">
        <v>1826</v>
      </c>
      <c r="E392" s="283"/>
      <c r="F392" s="283"/>
      <c r="G392" s="283"/>
      <c r="H392" s="283"/>
      <c r="I392" s="283"/>
      <c r="J392" s="283"/>
      <c r="K392" s="283"/>
      <c r="L392" s="283"/>
      <c r="M392" s="283"/>
      <c r="N392" s="283"/>
      <c r="O392" s="283"/>
      <c r="P392" s="283"/>
      <c r="Q392" s="283"/>
      <c r="R392" s="283"/>
      <c r="S392" s="283"/>
      <c r="T392" s="283"/>
      <c r="U392" s="283"/>
    </row>
    <row r="393" spans="1:21" s="259" customFormat="1" x14ac:dyDescent="0.2">
      <c r="A393" s="262">
        <v>44</v>
      </c>
      <c r="B393" s="283"/>
      <c r="C393" s="283"/>
      <c r="D393" s="281" t="s">
        <v>328</v>
      </c>
      <c r="E393" s="283"/>
      <c r="F393" s="283"/>
      <c r="G393" s="283"/>
      <c r="H393" s="213">
        <f>+'2025 GSLDSU Rate Class E-13c'!J128*1000</f>
        <v>-1.02</v>
      </c>
      <c r="I393" s="283"/>
      <c r="J393" s="213">
        <f>+'2025 GSLDSU Rate Class E-13c'!Q128*1000</f>
        <v>-1.02</v>
      </c>
      <c r="K393" s="279">
        <v>-1.01</v>
      </c>
      <c r="L393" s="279"/>
      <c r="M393" s="283"/>
      <c r="N393" s="283"/>
      <c r="O393" s="283"/>
      <c r="P393" s="277" t="s">
        <v>1722</v>
      </c>
      <c r="Q393" s="283"/>
      <c r="R393" s="283"/>
      <c r="S393" s="283"/>
      <c r="T393" s="283"/>
      <c r="U393" s="283"/>
    </row>
    <row r="394" spans="1:21" s="259" customFormat="1" x14ac:dyDescent="0.2">
      <c r="A394" s="262">
        <v>45</v>
      </c>
      <c r="B394" s="283"/>
      <c r="C394" s="283"/>
      <c r="D394" s="277" t="s">
        <v>341</v>
      </c>
      <c r="E394" s="283"/>
      <c r="F394" s="283"/>
      <c r="G394" s="283"/>
      <c r="H394" s="213">
        <f>+'2025 GSLDSU Rate Class E-13c'!J129*1000</f>
        <v>-1.02</v>
      </c>
      <c r="I394" s="283"/>
      <c r="J394" s="213">
        <f>+'2025 GSLDSU Rate Class E-13c'!Q129*1000</f>
        <v>-1.02</v>
      </c>
      <c r="K394" s="279">
        <v>-1.01</v>
      </c>
      <c r="L394" s="279"/>
      <c r="M394" s="283"/>
      <c r="N394" s="283"/>
      <c r="O394" s="283"/>
      <c r="P394" s="277" t="s">
        <v>1722</v>
      </c>
      <c r="Q394" s="283"/>
      <c r="R394" s="283"/>
      <c r="S394" s="283"/>
      <c r="T394" s="283"/>
      <c r="U394" s="283"/>
    </row>
    <row r="395" spans="1:21" s="259" customFormat="1" ht="13.5" thickBot="1" x14ac:dyDescent="0.25">
      <c r="A395" s="257" t="s">
        <v>1699</v>
      </c>
      <c r="B395" s="295"/>
      <c r="C395" s="296"/>
      <c r="D395" s="296"/>
      <c r="E395" s="296"/>
      <c r="F395" s="295"/>
      <c r="G395" s="296"/>
      <c r="H395" s="296"/>
      <c r="I395" s="296"/>
      <c r="J395" s="296"/>
      <c r="K395" s="296"/>
      <c r="L395" s="296"/>
      <c r="M395" s="296"/>
      <c r="N395" s="296"/>
      <c r="O395" s="296"/>
      <c r="P395" s="296"/>
      <c r="Q395" s="296"/>
      <c r="R395" s="296"/>
      <c r="S395" s="296"/>
      <c r="T395" s="296"/>
      <c r="U395" s="296" t="s">
        <v>1818</v>
      </c>
    </row>
    <row r="396" spans="1:21" s="259" customFormat="1" x14ac:dyDescent="0.2">
      <c r="A396" s="260"/>
      <c r="B396" s="277"/>
      <c r="C396" s="277"/>
      <c r="D396" s="277"/>
      <c r="E396" s="277"/>
      <c r="F396" s="277"/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</row>
    <row r="397" spans="1:21" s="259" customFormat="1" x14ac:dyDescent="0.2">
      <c r="A397" s="260"/>
      <c r="B397" s="599" t="s">
        <v>987</v>
      </c>
      <c r="C397" s="599"/>
      <c r="D397" s="277"/>
      <c r="E397" s="277"/>
      <c r="F397" s="283"/>
      <c r="G397" s="283"/>
      <c r="H397" s="281" t="s">
        <v>1702</v>
      </c>
      <c r="I397" s="281"/>
      <c r="J397" s="281" t="s">
        <v>984</v>
      </c>
      <c r="K397" s="281"/>
      <c r="L397" s="281" t="s">
        <v>1703</v>
      </c>
      <c r="M397" s="281"/>
      <c r="N397" s="281"/>
      <c r="O397" s="277"/>
      <c r="P397" s="277"/>
      <c r="Q397" s="277"/>
      <c r="R397" s="277"/>
      <c r="S397" s="277"/>
      <c r="T397" s="277"/>
      <c r="U397" s="277"/>
    </row>
    <row r="398" spans="1:21" s="259" customFormat="1" x14ac:dyDescent="0.2">
      <c r="A398" s="263" t="s">
        <v>1704</v>
      </c>
      <c r="B398" s="598" t="s">
        <v>1705</v>
      </c>
      <c r="C398" s="598"/>
      <c r="D398" s="598" t="s">
        <v>1706</v>
      </c>
      <c r="E398" s="598"/>
      <c r="F398" s="598"/>
      <c r="G398" s="283"/>
      <c r="H398" s="297" t="s">
        <v>987</v>
      </c>
      <c r="I398" s="281"/>
      <c r="J398" s="297" t="s">
        <v>987</v>
      </c>
      <c r="K398" s="281"/>
      <c r="L398" s="297" t="s">
        <v>1707</v>
      </c>
      <c r="M398" s="281"/>
      <c r="N398" s="297" t="s">
        <v>1708</v>
      </c>
      <c r="O398" s="283"/>
      <c r="P398" s="598" t="s">
        <v>1709</v>
      </c>
      <c r="Q398" s="598"/>
      <c r="R398" s="598"/>
      <c r="S398" s="598"/>
      <c r="T398" s="598"/>
      <c r="U398" s="277"/>
    </row>
    <row r="399" spans="1:21" s="259" customFormat="1" x14ac:dyDescent="0.2">
      <c r="A399" s="262">
        <v>1</v>
      </c>
      <c r="B399" s="283"/>
      <c r="C399" s="283"/>
      <c r="D399" s="283"/>
      <c r="E399" s="283"/>
      <c r="F399" s="283"/>
      <c r="G399" s="283"/>
      <c r="H399" s="283"/>
      <c r="I399" s="283"/>
      <c r="J399" s="283"/>
      <c r="K399" s="283"/>
      <c r="L399" s="283"/>
      <c r="M399" s="283"/>
      <c r="N399" s="283"/>
      <c r="O399" s="283"/>
      <c r="P399" s="283"/>
      <c r="Q399" s="283"/>
      <c r="R399" s="283"/>
      <c r="S399" s="277"/>
      <c r="T399" s="283"/>
      <c r="U399" s="283"/>
    </row>
    <row r="400" spans="1:21" s="259" customFormat="1" x14ac:dyDescent="0.2">
      <c r="A400" s="262">
        <v>2</v>
      </c>
      <c r="B400" s="283"/>
      <c r="C400" s="283"/>
      <c r="D400" s="283"/>
      <c r="E400" s="283"/>
      <c r="F400" s="283"/>
      <c r="G400" s="283"/>
      <c r="H400" s="283"/>
      <c r="I400" s="283"/>
      <c r="J400" s="283"/>
      <c r="K400" s="283"/>
      <c r="L400" s="283"/>
      <c r="M400" s="283"/>
      <c r="N400" s="283"/>
      <c r="O400" s="283"/>
      <c r="P400" s="283"/>
      <c r="Q400" s="283"/>
      <c r="R400" s="283"/>
      <c r="S400" s="283"/>
      <c r="T400" s="283"/>
      <c r="U400" s="283"/>
    </row>
    <row r="401" spans="1:21" s="259" customFormat="1" x14ac:dyDescent="0.2">
      <c r="A401" s="262">
        <v>3</v>
      </c>
      <c r="B401" s="283"/>
      <c r="C401" s="283"/>
      <c r="D401" s="283"/>
      <c r="E401" s="283"/>
      <c r="F401" s="283"/>
      <c r="G401" s="283"/>
      <c r="H401" s="283"/>
      <c r="I401" s="283"/>
      <c r="J401" s="283"/>
      <c r="K401" s="283"/>
      <c r="L401" s="283"/>
      <c r="M401" s="283"/>
      <c r="N401" s="283"/>
      <c r="O401" s="283"/>
      <c r="P401" s="283"/>
      <c r="Q401" s="277"/>
      <c r="R401" s="283"/>
      <c r="S401" s="283"/>
      <c r="T401" s="283"/>
      <c r="U401" s="283"/>
    </row>
    <row r="402" spans="1:21" s="259" customFormat="1" x14ac:dyDescent="0.2">
      <c r="A402" s="262">
        <v>4</v>
      </c>
      <c r="B402" s="277" t="s">
        <v>808</v>
      </c>
      <c r="C402" s="277"/>
      <c r="D402" s="277" t="s">
        <v>1725</v>
      </c>
      <c r="E402" s="283"/>
      <c r="F402" s="283"/>
      <c r="G402" s="283"/>
      <c r="H402" s="213">
        <f>+'2025 LS Rate Class E-13c'!J18</f>
        <v>0.71</v>
      </c>
      <c r="I402" s="203"/>
      <c r="J402" s="213">
        <f>+'2025 LS Rate Class E-13c'!Q18</f>
        <v>0.71</v>
      </c>
      <c r="K402" s="303"/>
      <c r="L402" s="277"/>
      <c r="M402" s="277"/>
      <c r="N402" s="277"/>
      <c r="O402" s="277"/>
      <c r="P402" s="277" t="s">
        <v>1722</v>
      </c>
      <c r="Q402" s="283"/>
      <c r="R402" s="283"/>
      <c r="S402" s="283"/>
      <c r="T402" s="283"/>
      <c r="U402" s="283"/>
    </row>
    <row r="403" spans="1:21" s="259" customFormat="1" x14ac:dyDescent="0.2">
      <c r="A403" s="262">
        <v>5</v>
      </c>
      <c r="B403" s="277"/>
      <c r="C403" s="277"/>
      <c r="D403" s="277"/>
      <c r="E403" s="277"/>
      <c r="F403" s="277"/>
      <c r="G403" s="277"/>
      <c r="H403" s="277"/>
      <c r="I403" s="277"/>
      <c r="J403" s="277"/>
      <c r="K403" s="277"/>
      <c r="L403" s="277"/>
      <c r="M403" s="277"/>
      <c r="N403" s="277"/>
      <c r="O403" s="277"/>
      <c r="P403" s="277"/>
      <c r="Q403" s="283"/>
      <c r="R403" s="277"/>
      <c r="S403" s="277"/>
      <c r="T403" s="283"/>
      <c r="U403" s="283"/>
    </row>
    <row r="404" spans="1:21" s="259" customFormat="1" x14ac:dyDescent="0.2">
      <c r="A404" s="262">
        <v>6</v>
      </c>
      <c r="B404" s="277"/>
      <c r="C404" s="277"/>
      <c r="D404" s="277" t="s">
        <v>1819</v>
      </c>
      <c r="E404" s="277"/>
      <c r="F404" s="277"/>
      <c r="G404" s="277"/>
      <c r="H404" s="213">
        <f>+'2025 LS Rate Class E-13c'!J20*1000</f>
        <v>32.599999999999994</v>
      </c>
      <c r="I404" s="203"/>
      <c r="J404" s="213">
        <f>+'2025 LS Rate Class E-13c'!Q20*1000</f>
        <v>32.599999999999994</v>
      </c>
      <c r="K404" s="277"/>
      <c r="L404" s="277"/>
      <c r="M404" s="277"/>
      <c r="N404" s="277"/>
      <c r="O404" s="277"/>
      <c r="P404" s="277" t="s">
        <v>1722</v>
      </c>
      <c r="Q404" s="283"/>
      <c r="R404" s="283"/>
      <c r="S404" s="283"/>
      <c r="T404" s="283"/>
      <c r="U404" s="283"/>
    </row>
    <row r="405" spans="1:21" s="259" customFormat="1" x14ac:dyDescent="0.2">
      <c r="A405" s="262">
        <v>7</v>
      </c>
      <c r="B405" s="277"/>
      <c r="C405" s="277"/>
      <c r="D405" s="277"/>
      <c r="E405" s="277"/>
      <c r="F405" s="277"/>
      <c r="G405" s="277"/>
      <c r="H405" s="67"/>
      <c r="I405" s="67"/>
      <c r="J405" s="211"/>
      <c r="K405" s="277"/>
      <c r="L405" s="277"/>
      <c r="M405" s="277"/>
      <c r="N405" s="277"/>
      <c r="O405" s="277"/>
      <c r="P405" s="277"/>
      <c r="Q405" s="283"/>
      <c r="R405" s="283"/>
      <c r="S405" s="283"/>
      <c r="T405" s="283"/>
      <c r="U405" s="283"/>
    </row>
    <row r="406" spans="1:21" s="259" customFormat="1" x14ac:dyDescent="0.2">
      <c r="A406" s="262">
        <v>8</v>
      </c>
      <c r="B406" s="283"/>
      <c r="C406" s="283"/>
      <c r="D406" s="277" t="s">
        <v>1820</v>
      </c>
      <c r="E406" s="277"/>
      <c r="F406" s="277"/>
      <c r="G406" s="277"/>
      <c r="H406" s="287" t="s">
        <v>1821</v>
      </c>
      <c r="I406" s="287"/>
      <c r="J406" s="287" t="s">
        <v>1821</v>
      </c>
      <c r="K406" s="287"/>
      <c r="L406" s="287" t="s">
        <v>1821</v>
      </c>
      <c r="M406" s="277"/>
      <c r="N406" s="281" t="s">
        <v>1822</v>
      </c>
      <c r="O406" s="277"/>
      <c r="P406" s="288"/>
      <c r="Q406" s="283"/>
      <c r="R406" s="283"/>
      <c r="S406" s="283"/>
      <c r="T406" s="283"/>
      <c r="U406" s="283"/>
    </row>
    <row r="407" spans="1:21" s="259" customFormat="1" x14ac:dyDescent="0.2">
      <c r="A407" s="262">
        <v>9</v>
      </c>
      <c r="B407" s="277"/>
      <c r="C407" s="277"/>
      <c r="D407" s="283"/>
      <c r="E407" s="283"/>
      <c r="F407" s="283"/>
      <c r="G407" s="283"/>
      <c r="H407" s="283"/>
      <c r="I407" s="283"/>
      <c r="J407" s="283"/>
      <c r="K407" s="283"/>
      <c r="L407" s="283"/>
      <c r="M407" s="283"/>
      <c r="N407" s="283"/>
      <c r="O407" s="283"/>
      <c r="P407" s="283"/>
      <c r="Q407" s="283"/>
      <c r="R407" s="283"/>
      <c r="S407" s="283"/>
      <c r="T407" s="283"/>
      <c r="U407" s="283"/>
    </row>
    <row r="408" spans="1:21" s="259" customFormat="1" x14ac:dyDescent="0.2">
      <c r="A408" s="262">
        <v>10</v>
      </c>
      <c r="B408" s="283"/>
      <c r="C408" s="283"/>
      <c r="D408" s="283"/>
      <c r="E408" s="283"/>
      <c r="F408" s="283"/>
      <c r="G408" s="283"/>
      <c r="H408" s="283"/>
      <c r="I408" s="283"/>
      <c r="J408" s="283"/>
      <c r="K408" s="283"/>
      <c r="L408" s="283"/>
      <c r="M408" s="283"/>
      <c r="N408" s="283"/>
      <c r="O408" s="283"/>
      <c r="P408" s="283"/>
      <c r="Q408" s="283"/>
      <c r="R408" s="283"/>
      <c r="S408" s="283"/>
      <c r="T408" s="283"/>
      <c r="U408" s="283"/>
    </row>
    <row r="409" spans="1:21" s="259" customFormat="1" x14ac:dyDescent="0.2">
      <c r="A409" s="262">
        <v>11</v>
      </c>
      <c r="B409" s="283"/>
      <c r="C409" s="283"/>
      <c r="D409" s="283"/>
      <c r="E409" s="283"/>
      <c r="F409" s="283"/>
      <c r="G409" s="283"/>
      <c r="H409" s="283"/>
      <c r="I409" s="283"/>
      <c r="J409" s="283"/>
      <c r="K409" s="283"/>
      <c r="L409" s="283"/>
      <c r="M409" s="283"/>
      <c r="N409" s="283"/>
      <c r="O409" s="283"/>
      <c r="P409" s="283"/>
      <c r="Q409" s="283"/>
      <c r="R409" s="283"/>
      <c r="S409" s="283"/>
      <c r="T409" s="283"/>
      <c r="U409" s="283"/>
    </row>
    <row r="410" spans="1:21" s="259" customFormat="1" x14ac:dyDescent="0.2">
      <c r="A410" s="262">
        <v>12</v>
      </c>
      <c r="B410" s="283"/>
      <c r="C410" s="283"/>
      <c r="D410" s="283"/>
      <c r="E410" s="283"/>
      <c r="F410" s="283"/>
      <c r="G410" s="283"/>
      <c r="H410" s="283"/>
      <c r="I410" s="283"/>
      <c r="J410" s="283"/>
      <c r="K410" s="283"/>
      <c r="L410" s="283"/>
      <c r="M410" s="283"/>
      <c r="N410" s="283"/>
      <c r="O410" s="283"/>
      <c r="P410" s="283"/>
      <c r="Q410" s="283"/>
      <c r="R410" s="283"/>
      <c r="S410" s="283"/>
      <c r="T410" s="283"/>
      <c r="U410" s="283"/>
    </row>
    <row r="411" spans="1:21" s="259" customFormat="1" x14ac:dyDescent="0.2">
      <c r="A411" s="262">
        <v>13</v>
      </c>
      <c r="B411" s="283"/>
      <c r="C411" s="283"/>
      <c r="D411" s="283"/>
      <c r="E411" s="283"/>
      <c r="F411" s="283"/>
      <c r="G411" s="283"/>
      <c r="H411" s="283"/>
      <c r="I411" s="283"/>
      <c r="J411" s="283"/>
      <c r="K411" s="283"/>
      <c r="L411" s="283"/>
      <c r="M411" s="283"/>
      <c r="N411" s="283"/>
      <c r="O411" s="283"/>
      <c r="P411" s="283"/>
      <c r="Q411" s="277"/>
      <c r="R411" s="283"/>
      <c r="S411" s="283"/>
      <c r="T411" s="283"/>
      <c r="U411" s="283"/>
    </row>
    <row r="412" spans="1:21" s="259" customFormat="1" x14ac:dyDescent="0.2">
      <c r="A412" s="262">
        <v>14</v>
      </c>
      <c r="B412" s="283"/>
      <c r="C412" s="283"/>
      <c r="D412" s="283"/>
      <c r="E412" s="283"/>
      <c r="F412" s="283"/>
      <c r="G412" s="283"/>
      <c r="H412" s="283"/>
      <c r="I412" s="283"/>
      <c r="J412" s="283"/>
      <c r="K412" s="283"/>
      <c r="L412" s="283"/>
      <c r="M412" s="283"/>
      <c r="N412" s="283"/>
      <c r="O412" s="283"/>
      <c r="P412" s="283"/>
      <c r="Q412" s="288"/>
      <c r="R412" s="283"/>
      <c r="S412" s="283"/>
      <c r="T412" s="283"/>
      <c r="U412" s="283"/>
    </row>
    <row r="413" spans="1:21" s="259" customFormat="1" x14ac:dyDescent="0.2">
      <c r="A413" s="262">
        <v>15</v>
      </c>
      <c r="B413" s="283"/>
      <c r="C413" s="283"/>
      <c r="D413" s="283"/>
      <c r="E413" s="283"/>
      <c r="F413" s="283"/>
      <c r="G413" s="283"/>
      <c r="H413" s="283"/>
      <c r="I413" s="283"/>
      <c r="J413" s="283"/>
      <c r="K413" s="283"/>
      <c r="L413" s="283"/>
      <c r="M413" s="283"/>
      <c r="N413" s="283"/>
      <c r="O413" s="283"/>
      <c r="P413" s="283"/>
      <c r="Q413" s="277"/>
      <c r="R413" s="283"/>
      <c r="S413" s="283"/>
      <c r="T413" s="283"/>
      <c r="U413" s="283"/>
    </row>
    <row r="414" spans="1:21" s="259" customFormat="1" x14ac:dyDescent="0.2">
      <c r="A414" s="262">
        <v>16</v>
      </c>
      <c r="B414" s="283"/>
      <c r="C414" s="283"/>
      <c r="D414" s="283"/>
      <c r="E414" s="283"/>
      <c r="F414" s="283"/>
      <c r="G414" s="283"/>
      <c r="H414" s="283"/>
      <c r="I414" s="283"/>
      <c r="J414" s="283"/>
      <c r="K414" s="283"/>
      <c r="L414" s="283"/>
      <c r="M414" s="283"/>
      <c r="N414" s="283"/>
      <c r="O414" s="283"/>
      <c r="P414" s="283"/>
      <c r="Q414" s="277"/>
      <c r="R414" s="283"/>
      <c r="S414" s="283"/>
      <c r="T414" s="283"/>
      <c r="U414" s="283"/>
    </row>
    <row r="415" spans="1:21" s="259" customFormat="1" x14ac:dyDescent="0.2">
      <c r="A415" s="262">
        <v>17</v>
      </c>
      <c r="B415" s="283"/>
      <c r="C415" s="283"/>
      <c r="D415" s="283"/>
      <c r="E415" s="283"/>
      <c r="F415" s="283"/>
      <c r="G415" s="283"/>
      <c r="H415" s="283"/>
      <c r="I415" s="283"/>
      <c r="J415" s="283"/>
      <c r="K415" s="283"/>
      <c r="L415" s="283"/>
      <c r="M415" s="283"/>
      <c r="N415" s="283"/>
      <c r="O415" s="283"/>
      <c r="P415" s="283"/>
      <c r="Q415" s="277"/>
      <c r="R415" s="283"/>
      <c r="S415" s="283"/>
      <c r="T415" s="283"/>
      <c r="U415" s="283"/>
    </row>
    <row r="416" spans="1:21" s="259" customFormat="1" x14ac:dyDescent="0.2">
      <c r="A416" s="262">
        <v>18</v>
      </c>
      <c r="B416" s="283"/>
      <c r="C416" s="283"/>
      <c r="D416" s="283"/>
      <c r="E416" s="283"/>
      <c r="F416" s="283"/>
      <c r="G416" s="283"/>
      <c r="H416" s="283"/>
      <c r="I416" s="283"/>
      <c r="J416" s="283"/>
      <c r="K416" s="283"/>
      <c r="L416" s="283"/>
      <c r="M416" s="283"/>
      <c r="N416" s="283"/>
      <c r="O416" s="283"/>
      <c r="P416" s="283"/>
      <c r="Q416" s="283"/>
      <c r="R416" s="283"/>
      <c r="S416" s="283"/>
      <c r="T416" s="283"/>
      <c r="U416" s="283"/>
    </row>
    <row r="417" spans="1:21" s="259" customFormat="1" x14ac:dyDescent="0.2">
      <c r="A417" s="262">
        <v>19</v>
      </c>
      <c r="B417" s="283"/>
      <c r="C417" s="283"/>
      <c r="D417" s="283"/>
      <c r="E417" s="283"/>
      <c r="F417" s="283"/>
      <c r="G417" s="283"/>
      <c r="H417" s="283"/>
      <c r="I417" s="283"/>
      <c r="J417" s="283"/>
      <c r="K417" s="283"/>
      <c r="L417" s="283"/>
      <c r="M417" s="283"/>
      <c r="N417" s="283"/>
      <c r="O417" s="283"/>
      <c r="P417" s="283"/>
      <c r="Q417" s="283"/>
      <c r="R417" s="277"/>
      <c r="S417" s="277"/>
      <c r="T417" s="283"/>
      <c r="U417" s="283"/>
    </row>
    <row r="418" spans="1:21" s="259" customFormat="1" x14ac:dyDescent="0.2">
      <c r="A418" s="262">
        <v>20</v>
      </c>
      <c r="B418" s="283"/>
      <c r="C418" s="283"/>
      <c r="D418" s="28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  <c r="Q418" s="283"/>
      <c r="R418" s="288"/>
      <c r="S418" s="283"/>
      <c r="T418" s="283"/>
      <c r="U418" s="283"/>
    </row>
    <row r="419" spans="1:21" s="259" customFormat="1" x14ac:dyDescent="0.2">
      <c r="A419" s="262">
        <v>21</v>
      </c>
      <c r="B419" s="283"/>
      <c r="C419" s="283"/>
      <c r="D419" s="283"/>
      <c r="E419" s="283"/>
      <c r="F419" s="283"/>
      <c r="G419" s="283"/>
      <c r="H419" s="283"/>
      <c r="I419" s="283"/>
      <c r="J419" s="283"/>
      <c r="K419" s="283"/>
      <c r="L419" s="283"/>
      <c r="M419" s="283"/>
      <c r="N419" s="283"/>
      <c r="O419" s="283"/>
      <c r="P419" s="283"/>
      <c r="Q419" s="283"/>
      <c r="R419" s="277"/>
      <c r="S419" s="283"/>
      <c r="T419" s="283"/>
      <c r="U419" s="283"/>
    </row>
    <row r="420" spans="1:21" s="259" customFormat="1" x14ac:dyDescent="0.2">
      <c r="A420" s="262">
        <v>22</v>
      </c>
      <c r="B420" s="283"/>
      <c r="C420" s="283"/>
      <c r="D420" s="283"/>
      <c r="E420" s="283"/>
      <c r="F420" s="283"/>
      <c r="G420" s="283"/>
      <c r="H420" s="283"/>
      <c r="I420" s="283"/>
      <c r="J420" s="283"/>
      <c r="K420" s="283"/>
      <c r="L420" s="283"/>
      <c r="M420" s="283"/>
      <c r="N420" s="283"/>
      <c r="O420" s="283"/>
      <c r="P420" s="283"/>
      <c r="Q420" s="283"/>
      <c r="R420" s="277"/>
      <c r="S420" s="283"/>
      <c r="T420" s="283"/>
      <c r="U420" s="283"/>
    </row>
    <row r="421" spans="1:21" s="259" customFormat="1" x14ac:dyDescent="0.2">
      <c r="A421" s="262">
        <v>23</v>
      </c>
      <c r="B421" s="283"/>
      <c r="C421" s="283"/>
      <c r="D421" s="283"/>
      <c r="E421" s="283"/>
      <c r="F421" s="283"/>
      <c r="G421" s="283"/>
      <c r="H421" s="283"/>
      <c r="I421" s="283"/>
      <c r="J421" s="283"/>
      <c r="K421" s="283"/>
      <c r="L421" s="283"/>
      <c r="M421" s="283"/>
      <c r="N421" s="283"/>
      <c r="O421" s="283"/>
      <c r="P421" s="283"/>
      <c r="Q421" s="283"/>
      <c r="R421" s="277"/>
      <c r="S421" s="283"/>
      <c r="T421" s="283"/>
      <c r="U421" s="283"/>
    </row>
    <row r="422" spans="1:21" s="259" customFormat="1" x14ac:dyDescent="0.2">
      <c r="A422" s="262">
        <v>24</v>
      </c>
      <c r="B422" s="283"/>
      <c r="C422" s="283"/>
      <c r="D422" s="283"/>
      <c r="E422" s="283"/>
      <c r="F422" s="283"/>
      <c r="G422" s="283"/>
      <c r="H422" s="283"/>
      <c r="I422" s="283"/>
      <c r="J422" s="283"/>
      <c r="K422" s="283"/>
      <c r="L422" s="283"/>
      <c r="M422" s="283"/>
      <c r="N422" s="283"/>
      <c r="O422" s="283"/>
      <c r="P422" s="283"/>
      <c r="Q422" s="283"/>
      <c r="R422" s="283"/>
      <c r="S422" s="283"/>
      <c r="T422" s="283"/>
      <c r="U422" s="283"/>
    </row>
    <row r="423" spans="1:21" s="259" customFormat="1" x14ac:dyDescent="0.2">
      <c r="A423" s="262">
        <v>25</v>
      </c>
      <c r="B423" s="283"/>
      <c r="C423" s="283"/>
      <c r="D423" s="283"/>
      <c r="E423" s="283"/>
      <c r="F423" s="283"/>
      <c r="G423" s="283"/>
      <c r="H423" s="283"/>
      <c r="I423" s="283"/>
      <c r="J423" s="283"/>
      <c r="K423" s="283"/>
      <c r="L423" s="283"/>
      <c r="M423" s="283"/>
      <c r="N423" s="283"/>
      <c r="O423" s="283"/>
      <c r="P423" s="283"/>
      <c r="Q423" s="283"/>
      <c r="R423" s="283"/>
      <c r="S423" s="283"/>
      <c r="T423" s="283"/>
      <c r="U423" s="283"/>
    </row>
    <row r="424" spans="1:21" s="259" customFormat="1" x14ac:dyDescent="0.2">
      <c r="A424" s="262">
        <v>26</v>
      </c>
      <c r="B424" s="283"/>
      <c r="C424" s="283"/>
      <c r="D424" s="283"/>
      <c r="E424" s="283"/>
      <c r="F424" s="283"/>
      <c r="G424" s="283"/>
      <c r="H424" s="283"/>
      <c r="I424" s="283"/>
      <c r="J424" s="283"/>
      <c r="K424" s="283"/>
      <c r="L424" s="283"/>
      <c r="M424" s="283"/>
      <c r="N424" s="283"/>
      <c r="O424" s="283"/>
      <c r="P424" s="283"/>
      <c r="Q424" s="283"/>
      <c r="R424" s="283"/>
      <c r="S424" s="283"/>
      <c r="T424" s="283"/>
      <c r="U424" s="283"/>
    </row>
    <row r="425" spans="1:21" s="259" customFormat="1" x14ac:dyDescent="0.2">
      <c r="A425" s="262">
        <v>27</v>
      </c>
      <c r="B425" s="283"/>
      <c r="C425" s="283"/>
      <c r="D425" s="283"/>
      <c r="E425" s="283"/>
      <c r="F425" s="283"/>
      <c r="G425" s="283"/>
      <c r="H425" s="283"/>
      <c r="I425" s="283"/>
      <c r="J425" s="283"/>
      <c r="K425" s="283"/>
      <c r="L425" s="283"/>
      <c r="M425" s="283"/>
      <c r="N425" s="283"/>
      <c r="O425" s="283"/>
      <c r="P425" s="283"/>
      <c r="Q425" s="283"/>
      <c r="R425" s="283"/>
      <c r="S425" s="283"/>
      <c r="T425" s="283"/>
      <c r="U425" s="283"/>
    </row>
    <row r="426" spans="1:21" s="259" customFormat="1" x14ac:dyDescent="0.2">
      <c r="A426" s="262">
        <v>28</v>
      </c>
      <c r="B426" s="283"/>
      <c r="C426" s="283"/>
      <c r="D426" s="283"/>
      <c r="E426" s="283"/>
      <c r="F426" s="283"/>
      <c r="G426" s="283"/>
      <c r="H426" s="283"/>
      <c r="I426" s="283"/>
      <c r="J426" s="283"/>
      <c r="K426" s="283"/>
      <c r="L426" s="283"/>
      <c r="M426" s="283"/>
      <c r="N426" s="283"/>
      <c r="O426" s="283"/>
      <c r="P426" s="283"/>
      <c r="Q426" s="283"/>
      <c r="R426" s="283"/>
      <c r="S426" s="283"/>
      <c r="T426" s="283"/>
      <c r="U426" s="283"/>
    </row>
    <row r="427" spans="1:21" s="259" customFormat="1" x14ac:dyDescent="0.2">
      <c r="A427" s="262">
        <v>29</v>
      </c>
      <c r="B427" s="283"/>
      <c r="C427" s="283"/>
      <c r="D427" s="283"/>
      <c r="E427" s="283"/>
      <c r="F427" s="283"/>
      <c r="G427" s="283"/>
      <c r="H427" s="283"/>
      <c r="I427" s="283"/>
      <c r="J427" s="283"/>
      <c r="K427" s="283"/>
      <c r="L427" s="283"/>
      <c r="M427" s="283"/>
      <c r="N427" s="283"/>
      <c r="O427" s="283"/>
      <c r="P427" s="283"/>
      <c r="Q427" s="283"/>
      <c r="R427" s="283"/>
      <c r="S427" s="283"/>
      <c r="T427" s="283"/>
      <c r="U427" s="283"/>
    </row>
    <row r="428" spans="1:21" s="259" customFormat="1" x14ac:dyDescent="0.2">
      <c r="A428" s="262">
        <v>30</v>
      </c>
      <c r="B428" s="283"/>
      <c r="C428" s="283"/>
      <c r="D428" s="283"/>
      <c r="E428" s="283"/>
      <c r="F428" s="283"/>
      <c r="G428" s="283"/>
      <c r="H428" s="283"/>
      <c r="I428" s="283"/>
      <c r="J428" s="283"/>
      <c r="K428" s="283"/>
      <c r="L428" s="283"/>
      <c r="M428" s="283"/>
      <c r="N428" s="283"/>
      <c r="O428" s="283"/>
      <c r="P428" s="283"/>
      <c r="Q428" s="283"/>
      <c r="R428" s="283"/>
      <c r="S428" s="283"/>
      <c r="T428" s="283"/>
      <c r="U428" s="283"/>
    </row>
    <row r="429" spans="1:21" s="259" customFormat="1" x14ac:dyDescent="0.2">
      <c r="A429" s="262">
        <v>31</v>
      </c>
      <c r="B429" s="283"/>
      <c r="C429" s="283"/>
      <c r="D429" s="283"/>
      <c r="E429" s="283"/>
      <c r="F429" s="283"/>
      <c r="G429" s="283"/>
      <c r="H429" s="283"/>
      <c r="I429" s="283"/>
      <c r="J429" s="283"/>
      <c r="K429" s="283"/>
      <c r="L429" s="283"/>
      <c r="M429" s="283"/>
      <c r="N429" s="283"/>
      <c r="O429" s="283"/>
      <c r="P429" s="283"/>
      <c r="Q429" s="283"/>
      <c r="R429" s="283"/>
      <c r="S429" s="283"/>
      <c r="T429" s="283"/>
      <c r="U429" s="283"/>
    </row>
    <row r="430" spans="1:21" s="259" customFormat="1" x14ac:dyDescent="0.2">
      <c r="A430" s="262">
        <v>32</v>
      </c>
      <c r="B430" s="283"/>
      <c r="C430" s="277"/>
      <c r="D430" s="277"/>
      <c r="E430" s="277"/>
      <c r="F430" s="283"/>
      <c r="G430" s="277"/>
      <c r="H430" s="277"/>
      <c r="I430" s="277"/>
      <c r="J430" s="277"/>
      <c r="K430" s="277"/>
      <c r="L430" s="277"/>
      <c r="M430" s="277"/>
      <c r="N430" s="277"/>
      <c r="O430" s="277"/>
      <c r="P430" s="277"/>
      <c r="Q430" s="277"/>
      <c r="R430" s="283"/>
      <c r="S430" s="283"/>
      <c r="T430" s="283"/>
      <c r="U430" s="283"/>
    </row>
    <row r="431" spans="1:21" s="259" customFormat="1" x14ac:dyDescent="0.2">
      <c r="A431" s="262">
        <v>33</v>
      </c>
      <c r="B431" s="277"/>
      <c r="C431" s="277"/>
      <c r="D431" s="277"/>
      <c r="E431" s="277"/>
      <c r="F431" s="277"/>
      <c r="G431" s="277"/>
      <c r="H431" s="277"/>
      <c r="I431" s="277"/>
      <c r="J431" s="277"/>
      <c r="K431" s="277"/>
      <c r="L431" s="277"/>
      <c r="M431" s="277"/>
      <c r="N431" s="277"/>
      <c r="O431" s="277"/>
      <c r="P431" s="277"/>
      <c r="Q431" s="277"/>
      <c r="R431" s="283"/>
      <c r="S431" s="283"/>
      <c r="T431" s="283"/>
      <c r="U431" s="283"/>
    </row>
    <row r="432" spans="1:21" s="259" customFormat="1" x14ac:dyDescent="0.2">
      <c r="A432" s="262">
        <v>34</v>
      </c>
      <c r="B432" s="599"/>
      <c r="C432" s="599"/>
      <c r="D432" s="277"/>
      <c r="E432" s="277"/>
      <c r="F432" s="283"/>
      <c r="G432" s="283"/>
      <c r="H432" s="281"/>
      <c r="I432" s="281"/>
      <c r="J432" s="281"/>
      <c r="K432" s="281"/>
      <c r="L432" s="281"/>
      <c r="M432" s="281"/>
      <c r="N432" s="281"/>
      <c r="O432" s="277"/>
      <c r="P432" s="277"/>
      <c r="Q432" s="277"/>
      <c r="R432" s="283"/>
      <c r="S432" s="283"/>
      <c r="T432" s="283"/>
      <c r="U432" s="283"/>
    </row>
    <row r="433" spans="1:21" s="259" customFormat="1" x14ac:dyDescent="0.2">
      <c r="A433" s="262">
        <v>35</v>
      </c>
      <c r="B433" s="599"/>
      <c r="C433" s="599"/>
      <c r="D433" s="599"/>
      <c r="E433" s="599"/>
      <c r="F433" s="599"/>
      <c r="G433" s="283"/>
      <c r="H433" s="281"/>
      <c r="I433" s="281"/>
      <c r="J433" s="281"/>
      <c r="K433" s="281"/>
      <c r="L433" s="281"/>
      <c r="M433" s="281"/>
      <c r="N433" s="281"/>
      <c r="O433" s="283"/>
      <c r="P433" s="281"/>
      <c r="Q433" s="281"/>
      <c r="R433" s="277"/>
      <c r="S433" s="277"/>
      <c r="T433" s="277"/>
      <c r="U433" s="283"/>
    </row>
    <row r="434" spans="1:21" s="259" customFormat="1" x14ac:dyDescent="0.2">
      <c r="A434" s="262">
        <v>36</v>
      </c>
      <c r="B434" s="283"/>
      <c r="C434" s="283"/>
      <c r="D434" s="283"/>
      <c r="E434" s="283"/>
      <c r="F434" s="283"/>
      <c r="G434" s="283"/>
      <c r="H434" s="283"/>
      <c r="I434" s="283"/>
      <c r="J434" s="283"/>
      <c r="K434" s="283"/>
      <c r="L434" s="283"/>
      <c r="M434" s="283"/>
      <c r="N434" s="283"/>
      <c r="O434" s="283"/>
      <c r="P434" s="283"/>
      <c r="Q434" s="283"/>
      <c r="R434" s="277"/>
      <c r="S434" s="277"/>
      <c r="T434" s="277"/>
      <c r="U434" s="283"/>
    </row>
    <row r="435" spans="1:21" s="259" customFormat="1" x14ac:dyDescent="0.2">
      <c r="A435" s="262">
        <v>37</v>
      </c>
      <c r="B435" s="277"/>
      <c r="C435" s="283"/>
      <c r="D435" s="283"/>
      <c r="E435" s="283"/>
      <c r="F435" s="283"/>
      <c r="G435" s="283"/>
      <c r="H435" s="283"/>
      <c r="I435" s="283"/>
      <c r="J435" s="283"/>
      <c r="K435" s="283"/>
      <c r="L435" s="283"/>
      <c r="M435" s="283"/>
      <c r="N435" s="283"/>
      <c r="O435" s="283"/>
      <c r="P435" s="283"/>
      <c r="Q435" s="277"/>
      <c r="R435" s="277"/>
      <c r="S435" s="277"/>
      <c r="T435" s="277"/>
      <c r="U435" s="283"/>
    </row>
    <row r="436" spans="1:21" s="259" customFormat="1" x14ac:dyDescent="0.2">
      <c r="A436" s="262">
        <v>38</v>
      </c>
      <c r="B436" s="283"/>
      <c r="C436" s="283"/>
      <c r="D436" s="283"/>
      <c r="E436" s="283"/>
      <c r="F436" s="283"/>
      <c r="G436" s="283"/>
      <c r="H436" s="283"/>
      <c r="I436" s="283"/>
      <c r="J436" s="283"/>
      <c r="K436" s="283"/>
      <c r="L436" s="283"/>
      <c r="M436" s="283"/>
      <c r="N436" s="283"/>
      <c r="O436" s="283"/>
      <c r="P436" s="283"/>
      <c r="Q436" s="277"/>
      <c r="R436" s="281"/>
      <c r="S436" s="281"/>
      <c r="T436" s="281"/>
      <c r="U436" s="283"/>
    </row>
    <row r="437" spans="1:21" s="259" customFormat="1" x14ac:dyDescent="0.2">
      <c r="A437" s="262">
        <v>39</v>
      </c>
      <c r="B437" s="283"/>
      <c r="C437" s="283"/>
      <c r="D437" s="288"/>
      <c r="E437" s="283"/>
      <c r="F437" s="283"/>
      <c r="G437" s="283"/>
      <c r="H437" s="283"/>
      <c r="I437" s="283"/>
      <c r="J437" s="283"/>
      <c r="K437" s="279"/>
      <c r="L437" s="283"/>
      <c r="M437" s="283"/>
      <c r="N437" s="290"/>
      <c r="O437" s="290"/>
      <c r="P437" s="290"/>
      <c r="Q437" s="277"/>
      <c r="R437" s="283"/>
      <c r="S437" s="277"/>
      <c r="T437" s="283"/>
      <c r="U437" s="283"/>
    </row>
    <row r="438" spans="1:21" s="259" customFormat="1" x14ac:dyDescent="0.2">
      <c r="A438" s="262">
        <v>40</v>
      </c>
      <c r="B438" s="283"/>
      <c r="C438" s="283"/>
      <c r="D438" s="282"/>
      <c r="E438" s="283"/>
      <c r="F438" s="283"/>
      <c r="G438" s="283"/>
      <c r="H438" s="279"/>
      <c r="I438" s="279"/>
      <c r="J438" s="279"/>
      <c r="K438" s="279"/>
      <c r="L438" s="279"/>
      <c r="M438" s="279"/>
      <c r="N438" s="281"/>
      <c r="O438" s="283"/>
      <c r="P438" s="277"/>
      <c r="Q438" s="277"/>
      <c r="R438" s="277"/>
      <c r="S438" s="288"/>
      <c r="T438" s="283"/>
      <c r="U438" s="283"/>
    </row>
    <row r="439" spans="1:21" s="259" customFormat="1" x14ac:dyDescent="0.2">
      <c r="A439" s="262">
        <v>41</v>
      </c>
      <c r="B439" s="283"/>
      <c r="C439" s="283"/>
      <c r="D439" s="283"/>
      <c r="E439" s="283"/>
      <c r="F439" s="283"/>
      <c r="G439" s="283"/>
      <c r="H439" s="283"/>
      <c r="I439" s="283"/>
      <c r="J439" s="283"/>
      <c r="K439" s="283"/>
      <c r="L439" s="283"/>
      <c r="M439" s="283"/>
      <c r="N439" s="283"/>
      <c r="O439" s="283"/>
      <c r="P439" s="283"/>
      <c r="Q439" s="283"/>
      <c r="R439" s="277"/>
      <c r="S439" s="277"/>
      <c r="T439" s="283"/>
      <c r="U439" s="283"/>
    </row>
    <row r="440" spans="1:21" x14ac:dyDescent="0.2">
      <c r="A440" s="262">
        <v>42</v>
      </c>
    </row>
    <row r="441" spans="1:21" x14ac:dyDescent="0.2">
      <c r="A441" s="262">
        <v>43</v>
      </c>
    </row>
    <row r="442" spans="1:21" x14ac:dyDescent="0.2">
      <c r="A442" s="262">
        <v>44</v>
      </c>
    </row>
    <row r="443" spans="1:21" x14ac:dyDescent="0.2">
      <c r="A443" s="262">
        <v>45</v>
      </c>
    </row>
  </sheetData>
  <mergeCells count="40">
    <mergeCell ref="G2:N2"/>
    <mergeCell ref="B4:C4"/>
    <mergeCell ref="B5:C5"/>
    <mergeCell ref="D5:F5"/>
    <mergeCell ref="P5:T5"/>
    <mergeCell ref="B52:C52"/>
    <mergeCell ref="D52:F52"/>
    <mergeCell ref="P52:T52"/>
    <mergeCell ref="B103:C103"/>
    <mergeCell ref="B51:C51"/>
    <mergeCell ref="B104:C104"/>
    <mergeCell ref="D104:F104"/>
    <mergeCell ref="P104:T104"/>
    <mergeCell ref="B300:C300"/>
    <mergeCell ref="D300:F300"/>
    <mergeCell ref="P300:T300"/>
    <mergeCell ref="B152:C152"/>
    <mergeCell ref="B153:C153"/>
    <mergeCell ref="D153:F153"/>
    <mergeCell ref="P153:T153"/>
    <mergeCell ref="B201:C201"/>
    <mergeCell ref="B202:C202"/>
    <mergeCell ref="D202:F202"/>
    <mergeCell ref="P202:T202"/>
    <mergeCell ref="B250:C250"/>
    <mergeCell ref="B251:C251"/>
    <mergeCell ref="D251:F251"/>
    <mergeCell ref="P251:T251"/>
    <mergeCell ref="B299:C299"/>
    <mergeCell ref="P349:T349"/>
    <mergeCell ref="B397:C397"/>
    <mergeCell ref="B348:C348"/>
    <mergeCell ref="B349:C349"/>
    <mergeCell ref="D349:F349"/>
    <mergeCell ref="B398:C398"/>
    <mergeCell ref="D398:F398"/>
    <mergeCell ref="P398:T398"/>
    <mergeCell ref="B432:C432"/>
    <mergeCell ref="B433:C433"/>
    <mergeCell ref="D433:F433"/>
  </mergeCells>
  <phoneticPr fontId="29" type="noConversion"/>
  <pageMargins left="0.7" right="0.7" top="0.75" bottom="0.75" header="0.3" footer="0.3"/>
  <pageSetup scale="73" fitToHeight="0" orientation="landscape" r:id="rId1"/>
  <rowBreaks count="8" manualBreakCount="8">
    <brk id="48" max="20" man="1"/>
    <brk id="100" max="20" man="1"/>
    <brk id="149" max="20" man="1"/>
    <brk id="198" max="20" man="1"/>
    <brk id="247" max="20" man="1"/>
    <brk id="296" max="20" man="1"/>
    <brk id="345" max="20" man="1"/>
    <brk id="394" max="20" man="1"/>
  </rowBreaks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51A9-02A0-4662-8D76-D2676D8EB170}">
  <dimension ref="B1:D181"/>
  <sheetViews>
    <sheetView workbookViewId="0"/>
  </sheetViews>
  <sheetFormatPr defaultRowHeight="15" x14ac:dyDescent="0.25"/>
  <cols>
    <col min="2" max="2" width="55.85546875" bestFit="1" customWidth="1"/>
    <col min="3" max="3" width="10.5703125" style="236" bestFit="1" customWidth="1"/>
    <col min="4" max="4" width="26.42578125" style="236" bestFit="1" customWidth="1"/>
  </cols>
  <sheetData>
    <row r="1" spans="2:4" x14ac:dyDescent="0.25">
      <c r="B1" t="s">
        <v>923</v>
      </c>
      <c r="C1" s="235">
        <v>30.416666666666668</v>
      </c>
    </row>
    <row r="3" spans="2:4" x14ac:dyDescent="0.25">
      <c r="C3" s="237"/>
      <c r="D3" s="237"/>
    </row>
    <row r="4" spans="2:4" ht="15.75" thickBot="1" x14ac:dyDescent="0.3">
      <c r="C4" s="237" t="s">
        <v>924</v>
      </c>
      <c r="D4" s="237" t="s">
        <v>925</v>
      </c>
    </row>
    <row r="5" spans="2:4" x14ac:dyDescent="0.25">
      <c r="B5" s="238" t="s">
        <v>535</v>
      </c>
      <c r="C5" s="239">
        <v>1.0733880610843245</v>
      </c>
      <c r="D5" s="240">
        <v>1.07</v>
      </c>
    </row>
    <row r="6" spans="2:4" ht="15.75" thickBot="1" x14ac:dyDescent="0.3">
      <c r="B6" s="241" t="s">
        <v>536</v>
      </c>
      <c r="C6" s="242">
        <v>1.0733880610843245</v>
      </c>
      <c r="D6" s="243">
        <v>1.07</v>
      </c>
    </row>
    <row r="8" spans="2:4" ht="15.75" thickBot="1" x14ac:dyDescent="0.3"/>
    <row r="9" spans="2:4" x14ac:dyDescent="0.25">
      <c r="B9" s="238" t="s">
        <v>537</v>
      </c>
      <c r="C9" s="239">
        <v>1.2732196115247205</v>
      </c>
      <c r="D9" s="240">
        <v>1.27</v>
      </c>
    </row>
    <row r="10" spans="2:4" x14ac:dyDescent="0.25">
      <c r="B10" s="244" t="s">
        <v>538</v>
      </c>
      <c r="C10" s="245">
        <v>1.0582503666855982</v>
      </c>
      <c r="D10" s="246">
        <v>1.06</v>
      </c>
    </row>
    <row r="11" spans="2:4" x14ac:dyDescent="0.25">
      <c r="B11" s="244" t="s">
        <v>539</v>
      </c>
      <c r="C11" s="245">
        <v>1.2732196115247205</v>
      </c>
      <c r="D11" s="246">
        <v>1.27</v>
      </c>
    </row>
    <row r="12" spans="2:4" x14ac:dyDescent="0.25">
      <c r="B12" s="244" t="s">
        <v>491</v>
      </c>
      <c r="C12" s="247">
        <v>2.5659430181839428E-3</v>
      </c>
      <c r="D12" s="248">
        <v>2.5699999999999998E-3</v>
      </c>
    </row>
    <row r="13" spans="2:4" ht="15.75" thickBot="1" x14ac:dyDescent="0.3">
      <c r="B13" s="241" t="s">
        <v>492</v>
      </c>
      <c r="C13" s="249">
        <v>2.5659430181839428E-3</v>
      </c>
      <c r="D13" s="250">
        <v>2.5699999999999998E-3</v>
      </c>
    </row>
    <row r="15" spans="2:4" ht="15.75" thickBot="1" x14ac:dyDescent="0.3"/>
    <row r="16" spans="2:4" ht="15.75" thickBot="1" x14ac:dyDescent="0.3">
      <c r="B16" s="251" t="s">
        <v>540</v>
      </c>
      <c r="C16" s="252">
        <v>1.2732196115247205</v>
      </c>
      <c r="D16" s="253">
        <v>1.27</v>
      </c>
    </row>
    <row r="18" spans="2:4" ht="15.75" thickBot="1" x14ac:dyDescent="0.3"/>
    <row r="19" spans="2:4" x14ac:dyDescent="0.25">
      <c r="B19" s="238" t="s">
        <v>541</v>
      </c>
      <c r="C19" s="239">
        <v>1.7183758080638134</v>
      </c>
      <c r="D19" s="240">
        <v>1.72</v>
      </c>
    </row>
    <row r="20" spans="2:4" x14ac:dyDescent="0.25">
      <c r="B20" s="244" t="s">
        <v>542</v>
      </c>
      <c r="C20" s="245">
        <v>9.3562910907747501</v>
      </c>
      <c r="D20" s="246">
        <v>9.36</v>
      </c>
    </row>
    <row r="21" spans="2:4" x14ac:dyDescent="0.25">
      <c r="B21" s="244" t="s">
        <v>543</v>
      </c>
      <c r="C21" s="245">
        <v>25.758734727576165</v>
      </c>
      <c r="D21" s="246">
        <v>25.76</v>
      </c>
    </row>
    <row r="22" spans="2:4" x14ac:dyDescent="0.25">
      <c r="B22" s="244" t="s">
        <v>547</v>
      </c>
      <c r="C22" s="245">
        <v>1.7183758080638134</v>
      </c>
      <c r="D22" s="246">
        <v>1.72</v>
      </c>
    </row>
    <row r="23" spans="2:4" x14ac:dyDescent="0.25">
      <c r="B23" s="244" t="s">
        <v>548</v>
      </c>
      <c r="C23" s="245">
        <v>9.3562910907747501</v>
      </c>
      <c r="D23" s="246">
        <v>9.36</v>
      </c>
    </row>
    <row r="24" spans="2:4" x14ac:dyDescent="0.25">
      <c r="B24" s="244" t="s">
        <v>549</v>
      </c>
      <c r="C24" s="245">
        <v>25.758734727576165</v>
      </c>
      <c r="D24" s="246">
        <v>25.76</v>
      </c>
    </row>
    <row r="25" spans="2:4" x14ac:dyDescent="0.25">
      <c r="B25" s="244" t="s">
        <v>513</v>
      </c>
      <c r="C25" s="245">
        <v>19.977823993363106</v>
      </c>
      <c r="D25" s="246">
        <v>19.98</v>
      </c>
    </row>
    <row r="26" spans="2:4" x14ac:dyDescent="0.25">
      <c r="B26" s="244" t="s">
        <v>508</v>
      </c>
      <c r="C26" s="245">
        <v>19.977823993363106</v>
      </c>
      <c r="D26" s="246">
        <v>19.98</v>
      </c>
    </row>
    <row r="27" spans="2:4" x14ac:dyDescent="0.25">
      <c r="B27" s="244" t="s">
        <v>509</v>
      </c>
      <c r="C27" s="245">
        <v>19.977823993363106</v>
      </c>
      <c r="D27" s="246">
        <v>19.98</v>
      </c>
    </row>
    <row r="28" spans="2:4" x14ac:dyDescent="0.25">
      <c r="B28" s="244" t="s">
        <v>822</v>
      </c>
      <c r="C28" s="245">
        <v>5.1391086582637691</v>
      </c>
      <c r="D28" s="246">
        <v>5.14</v>
      </c>
    </row>
    <row r="29" spans="2:4" x14ac:dyDescent="0.25">
      <c r="B29" s="244" t="s">
        <v>823</v>
      </c>
      <c r="C29" s="245">
        <v>5.1391086582637691</v>
      </c>
      <c r="D29" s="246">
        <v>5.14</v>
      </c>
    </row>
    <row r="30" spans="2:4" x14ac:dyDescent="0.25">
      <c r="B30" s="244" t="s">
        <v>824</v>
      </c>
      <c r="C30" s="245">
        <v>5.1391086582637691</v>
      </c>
      <c r="D30" s="246">
        <v>5.14</v>
      </c>
    </row>
    <row r="31" spans="2:4" x14ac:dyDescent="0.25">
      <c r="B31" s="244" t="s">
        <v>825</v>
      </c>
      <c r="C31" s="245">
        <v>14.838715335099339</v>
      </c>
      <c r="D31" s="246">
        <v>14.84</v>
      </c>
    </row>
    <row r="32" spans="2:4" x14ac:dyDescent="0.25">
      <c r="B32" s="244" t="s">
        <v>826</v>
      </c>
      <c r="C32" s="245">
        <v>14.838715335099339</v>
      </c>
      <c r="D32" s="246">
        <v>14.84</v>
      </c>
    </row>
    <row r="33" spans="2:4" x14ac:dyDescent="0.25">
      <c r="B33" s="244" t="s">
        <v>827</v>
      </c>
      <c r="C33" s="245">
        <v>14.838715335099339</v>
      </c>
      <c r="D33" s="246">
        <v>14.84</v>
      </c>
    </row>
    <row r="34" spans="2:4" x14ac:dyDescent="0.25">
      <c r="B34" s="244" t="s">
        <v>525</v>
      </c>
      <c r="C34" s="245">
        <v>-0.53983769095372269</v>
      </c>
      <c r="D34" s="246">
        <v>-0.54</v>
      </c>
    </row>
    <row r="35" spans="2:4" x14ac:dyDescent="0.25">
      <c r="B35" s="244" t="s">
        <v>520</v>
      </c>
      <c r="C35" s="245">
        <v>-3.0885531609124035</v>
      </c>
      <c r="D35" s="246">
        <v>-3.09</v>
      </c>
    </row>
    <row r="36" spans="2:4" x14ac:dyDescent="0.25">
      <c r="B36" s="244" t="s">
        <v>523</v>
      </c>
      <c r="C36" s="245">
        <v>-0.53983769095372269</v>
      </c>
      <c r="D36" s="246">
        <v>-0.54</v>
      </c>
    </row>
    <row r="37" spans="2:4" x14ac:dyDescent="0.25">
      <c r="B37" s="244" t="s">
        <v>524</v>
      </c>
      <c r="C37" s="245">
        <v>-3.0885531609124035</v>
      </c>
      <c r="D37" s="246">
        <v>-3.09</v>
      </c>
    </row>
    <row r="38" spans="2:4" x14ac:dyDescent="0.25">
      <c r="B38" s="244" t="s">
        <v>534</v>
      </c>
      <c r="C38" s="254">
        <v>1.0160350618233231</v>
      </c>
      <c r="D38" s="246">
        <v>1.02</v>
      </c>
    </row>
    <row r="39" spans="2:4" x14ac:dyDescent="0.25">
      <c r="B39" s="244" t="s">
        <v>526</v>
      </c>
      <c r="C39" s="254">
        <v>1.0160350618233231</v>
      </c>
      <c r="D39" s="246">
        <v>1.02</v>
      </c>
    </row>
    <row r="40" spans="2:4" x14ac:dyDescent="0.25">
      <c r="B40" s="244" t="s">
        <v>527</v>
      </c>
      <c r="C40" s="254">
        <v>1.0160350618233231</v>
      </c>
      <c r="D40" s="246">
        <v>1.02</v>
      </c>
    </row>
    <row r="41" spans="2:4" x14ac:dyDescent="0.25">
      <c r="B41" s="244" t="s">
        <v>531</v>
      </c>
      <c r="C41" s="254">
        <v>1.0160350618233231</v>
      </c>
      <c r="D41" s="246">
        <v>1.02</v>
      </c>
    </row>
    <row r="42" spans="2:4" x14ac:dyDescent="0.25">
      <c r="B42" s="244" t="s">
        <v>532</v>
      </c>
      <c r="C42" s="254">
        <v>1.0160350618233231</v>
      </c>
      <c r="D42" s="246">
        <v>1.02</v>
      </c>
    </row>
    <row r="43" spans="2:4" ht="15.75" thickBot="1" x14ac:dyDescent="0.3">
      <c r="B43" s="241" t="s">
        <v>533</v>
      </c>
      <c r="C43" s="255">
        <v>1.0160350618233231</v>
      </c>
      <c r="D43" s="243">
        <v>1.02</v>
      </c>
    </row>
    <row r="45" spans="2:4" ht="15.75" thickBot="1" x14ac:dyDescent="0.3"/>
    <row r="46" spans="2:4" x14ac:dyDescent="0.25">
      <c r="B46" s="238" t="s">
        <v>544</v>
      </c>
      <c r="C46" s="256">
        <v>1.7183758080638134</v>
      </c>
      <c r="D46" s="240">
        <v>1.72</v>
      </c>
    </row>
    <row r="47" spans="2:4" x14ac:dyDescent="0.25">
      <c r="B47" s="244" t="s">
        <v>545</v>
      </c>
      <c r="C47" s="254">
        <v>9.3562910907747501</v>
      </c>
      <c r="D47" s="246">
        <v>9.36</v>
      </c>
    </row>
    <row r="48" spans="2:4" x14ac:dyDescent="0.25">
      <c r="B48" s="244" t="s">
        <v>546</v>
      </c>
      <c r="C48" s="245">
        <v>25.758734727576165</v>
      </c>
      <c r="D48" s="246">
        <v>25.76</v>
      </c>
    </row>
    <row r="49" spans="2:4" x14ac:dyDescent="0.25">
      <c r="B49" s="244" t="s">
        <v>521</v>
      </c>
      <c r="C49" s="247">
        <v>-1.3824130183384658E-3</v>
      </c>
      <c r="D49" s="248">
        <v>-1.3824130183384699E-3</v>
      </c>
    </row>
    <row r="50" spans="2:4" x14ac:dyDescent="0.25">
      <c r="B50" s="244" t="s">
        <v>522</v>
      </c>
      <c r="C50" s="247">
        <v>-7.9145209896204285E-3</v>
      </c>
      <c r="D50" s="248">
        <v>-7.9145209896204303E-3</v>
      </c>
    </row>
    <row r="51" spans="2:4" x14ac:dyDescent="0.25">
      <c r="B51" s="244" t="s">
        <v>528</v>
      </c>
      <c r="C51" s="247">
        <v>2.5659430181839428E-3</v>
      </c>
      <c r="D51" s="248">
        <v>2.5699999999999998E-3</v>
      </c>
    </row>
    <row r="52" spans="2:4" x14ac:dyDescent="0.25">
      <c r="B52" s="244" t="s">
        <v>529</v>
      </c>
      <c r="C52" s="247">
        <v>2.5659430181839428E-3</v>
      </c>
      <c r="D52" s="248">
        <v>2.5699999999999998E-3</v>
      </c>
    </row>
    <row r="53" spans="2:4" ht="15.75" thickBot="1" x14ac:dyDescent="0.3">
      <c r="B53" s="241" t="s">
        <v>530</v>
      </c>
      <c r="C53" s="249">
        <v>2.5659430181839428E-3</v>
      </c>
      <c r="D53" s="250">
        <v>2.5699999999999998E-3</v>
      </c>
    </row>
    <row r="55" spans="2:4" ht="15.75" thickBot="1" x14ac:dyDescent="0.3"/>
    <row r="56" spans="2:4" x14ac:dyDescent="0.25">
      <c r="B56" s="238" t="s">
        <v>554</v>
      </c>
      <c r="C56" s="239">
        <v>1.7183758080638134</v>
      </c>
      <c r="D56" s="240">
        <v>1.72</v>
      </c>
    </row>
    <row r="57" spans="2:4" x14ac:dyDescent="0.25">
      <c r="B57" s="244" t="s">
        <v>555</v>
      </c>
      <c r="C57" s="245">
        <v>9.3562910907747501</v>
      </c>
      <c r="D57" s="246">
        <v>9.36</v>
      </c>
    </row>
    <row r="58" spans="2:4" x14ac:dyDescent="0.25">
      <c r="B58" s="244" t="s">
        <v>556</v>
      </c>
      <c r="C58" s="245">
        <v>25.758734727576165</v>
      </c>
      <c r="D58" s="246">
        <v>25.76</v>
      </c>
    </row>
    <row r="59" spans="2:4" x14ac:dyDescent="0.25">
      <c r="B59" s="244" t="s">
        <v>557</v>
      </c>
      <c r="C59" s="245">
        <v>1.7183758080638134</v>
      </c>
      <c r="D59" s="246">
        <v>1.72</v>
      </c>
    </row>
    <row r="60" spans="2:4" x14ac:dyDescent="0.25">
      <c r="B60" s="244" t="s">
        <v>558</v>
      </c>
      <c r="C60" s="245">
        <v>9.3562910907747501</v>
      </c>
      <c r="D60" s="246">
        <v>9.36</v>
      </c>
    </row>
    <row r="61" spans="2:4" x14ac:dyDescent="0.25">
      <c r="B61" s="244" t="s">
        <v>559</v>
      </c>
      <c r="C61" s="245">
        <v>25.758734727576165</v>
      </c>
      <c r="D61" s="246">
        <v>25.76</v>
      </c>
    </row>
    <row r="62" spans="2:4" x14ac:dyDescent="0.25">
      <c r="B62" s="244" t="s">
        <v>587</v>
      </c>
      <c r="C62" s="245">
        <v>19.977823993363106</v>
      </c>
      <c r="D62" s="246">
        <v>19.98</v>
      </c>
    </row>
    <row r="63" spans="2:4" x14ac:dyDescent="0.25">
      <c r="B63" s="244" t="s">
        <v>586</v>
      </c>
      <c r="C63" s="245">
        <v>19.977823993363106</v>
      </c>
      <c r="D63" s="246">
        <v>19.98</v>
      </c>
    </row>
    <row r="64" spans="2:4" x14ac:dyDescent="0.25">
      <c r="B64" s="244" t="s">
        <v>588</v>
      </c>
      <c r="C64" s="245">
        <v>19.977823993363106</v>
      </c>
      <c r="D64" s="246">
        <v>19.98</v>
      </c>
    </row>
    <row r="65" spans="2:4" x14ac:dyDescent="0.25">
      <c r="B65" s="244" t="s">
        <v>589</v>
      </c>
      <c r="C65" s="245">
        <v>5.1391086582637691</v>
      </c>
      <c r="D65" s="246">
        <v>5.14</v>
      </c>
    </row>
    <row r="66" spans="2:4" x14ac:dyDescent="0.25">
      <c r="B66" s="244" t="s">
        <v>590</v>
      </c>
      <c r="C66" s="245">
        <v>5.1391086582637691</v>
      </c>
      <c r="D66" s="246">
        <v>5.14</v>
      </c>
    </row>
    <row r="67" spans="2:4" x14ac:dyDescent="0.25">
      <c r="B67" s="244" t="s">
        <v>591</v>
      </c>
      <c r="C67" s="245">
        <v>5.1391086582637691</v>
      </c>
      <c r="D67" s="246">
        <v>5.14</v>
      </c>
    </row>
    <row r="68" spans="2:4" x14ac:dyDescent="0.25">
      <c r="B68" s="244" t="s">
        <v>592</v>
      </c>
      <c r="C68" s="245">
        <v>14.838715335099339</v>
      </c>
      <c r="D68" s="246">
        <v>14.84</v>
      </c>
    </row>
    <row r="69" spans="2:4" x14ac:dyDescent="0.25">
      <c r="B69" s="244" t="s">
        <v>593</v>
      </c>
      <c r="C69" s="245">
        <v>14.838715335099339</v>
      </c>
      <c r="D69" s="246">
        <v>14.84</v>
      </c>
    </row>
    <row r="70" spans="2:4" x14ac:dyDescent="0.25">
      <c r="B70" s="244" t="s">
        <v>594</v>
      </c>
      <c r="C70" s="245">
        <v>14.838715335099339</v>
      </c>
      <c r="D70" s="246">
        <v>14.84</v>
      </c>
    </row>
    <row r="71" spans="2:4" x14ac:dyDescent="0.25">
      <c r="B71" s="244" t="s">
        <v>633</v>
      </c>
      <c r="C71" s="245">
        <v>2.5066112378897349</v>
      </c>
      <c r="D71" s="246">
        <v>2.5099999999999998</v>
      </c>
    </row>
    <row r="72" spans="2:4" x14ac:dyDescent="0.25">
      <c r="B72" s="244" t="s">
        <v>634</v>
      </c>
      <c r="C72" s="245">
        <v>2.5066112378897349</v>
      </c>
      <c r="D72" s="246">
        <v>2.5099999999999998</v>
      </c>
    </row>
    <row r="73" spans="2:4" x14ac:dyDescent="0.25">
      <c r="B73" s="244" t="s">
        <v>635</v>
      </c>
      <c r="C73" s="245">
        <v>2.5066112378897349</v>
      </c>
      <c r="D73" s="246">
        <v>2.5099999999999998</v>
      </c>
    </row>
    <row r="74" spans="2:4" x14ac:dyDescent="0.25">
      <c r="B74" s="244" t="s">
        <v>636</v>
      </c>
      <c r="C74" s="245">
        <v>2.3973388792035726</v>
      </c>
      <c r="D74" s="246">
        <v>2.4</v>
      </c>
    </row>
    <row r="75" spans="2:4" x14ac:dyDescent="0.25">
      <c r="B75" s="244" t="s">
        <v>637</v>
      </c>
      <c r="C75" s="245">
        <v>2.3973388792035726</v>
      </c>
      <c r="D75" s="246">
        <v>2.4</v>
      </c>
    </row>
    <row r="76" spans="2:4" x14ac:dyDescent="0.25">
      <c r="B76" s="244" t="s">
        <v>638</v>
      </c>
      <c r="C76" s="245">
        <v>2.3973388792035726</v>
      </c>
      <c r="D76" s="246">
        <v>2.4</v>
      </c>
    </row>
    <row r="77" spans="2:4" x14ac:dyDescent="0.25">
      <c r="B77" s="244" t="s">
        <v>639</v>
      </c>
      <c r="C77" s="245">
        <v>0.95094442208408392</v>
      </c>
      <c r="D77" s="246">
        <v>0.95</v>
      </c>
    </row>
    <row r="78" spans="2:4" x14ac:dyDescent="0.25">
      <c r="B78" s="244" t="s">
        <v>640</v>
      </c>
      <c r="C78" s="245">
        <v>0.95094442208408392</v>
      </c>
      <c r="D78" s="246">
        <v>0.95</v>
      </c>
    </row>
    <row r="79" spans="2:4" x14ac:dyDescent="0.25">
      <c r="B79" s="244" t="s">
        <v>641</v>
      </c>
      <c r="C79" s="245">
        <v>0.95094442208408392</v>
      </c>
      <c r="D79" s="246">
        <v>0.95</v>
      </c>
    </row>
    <row r="80" spans="2:4" x14ac:dyDescent="0.25">
      <c r="B80" s="244" t="s">
        <v>650</v>
      </c>
      <c r="C80" s="245">
        <v>2.5066112378897349</v>
      </c>
      <c r="D80" s="246">
        <v>2.5099999999999998</v>
      </c>
    </row>
    <row r="81" spans="2:4" x14ac:dyDescent="0.25">
      <c r="B81" s="244" t="s">
        <v>642</v>
      </c>
      <c r="C81" s="245">
        <v>2.5066112378897349</v>
      </c>
      <c r="D81" s="246">
        <v>2.5099999999999998</v>
      </c>
    </row>
    <row r="82" spans="2:4" x14ac:dyDescent="0.25">
      <c r="B82" s="244" t="s">
        <v>643</v>
      </c>
      <c r="C82" s="245">
        <v>2.5066112378897349</v>
      </c>
      <c r="D82" s="246">
        <v>2.5099999999999998</v>
      </c>
    </row>
    <row r="83" spans="2:4" x14ac:dyDescent="0.25">
      <c r="B83" s="244" t="s">
        <v>644</v>
      </c>
      <c r="C83" s="245">
        <v>2.3973388792035726</v>
      </c>
      <c r="D83" s="246">
        <v>2.4</v>
      </c>
    </row>
    <row r="84" spans="2:4" x14ac:dyDescent="0.25">
      <c r="B84" s="244" t="s">
        <v>645</v>
      </c>
      <c r="C84" s="245">
        <v>2.3973388792035726</v>
      </c>
      <c r="D84" s="246">
        <v>2.4</v>
      </c>
    </row>
    <row r="85" spans="2:4" x14ac:dyDescent="0.25">
      <c r="B85" s="244" t="s">
        <v>646</v>
      </c>
      <c r="C85" s="245">
        <v>2.3973388792035726</v>
      </c>
      <c r="D85" s="246">
        <v>2.4</v>
      </c>
    </row>
    <row r="86" spans="2:4" x14ac:dyDescent="0.25">
      <c r="B86" s="244" t="s">
        <v>647</v>
      </c>
      <c r="C86" s="245">
        <v>0.95094442208408392</v>
      </c>
      <c r="D86" s="246">
        <v>0.95</v>
      </c>
    </row>
    <row r="87" spans="2:4" x14ac:dyDescent="0.25">
      <c r="B87" s="244" t="s">
        <v>648</v>
      </c>
      <c r="C87" s="245">
        <v>0.95094442208408392</v>
      </c>
      <c r="D87" s="246">
        <v>0.95</v>
      </c>
    </row>
    <row r="88" spans="2:4" x14ac:dyDescent="0.25">
      <c r="B88" s="244" t="s">
        <v>649</v>
      </c>
      <c r="C88" s="245">
        <v>0.95094442208408392</v>
      </c>
      <c r="D88" s="246">
        <v>0.95</v>
      </c>
    </row>
    <row r="89" spans="2:4" x14ac:dyDescent="0.25">
      <c r="B89" s="244" t="s">
        <v>669</v>
      </c>
      <c r="C89" s="245"/>
      <c r="D89" s="248">
        <v>2.0300000000000001E-3</v>
      </c>
    </row>
    <row r="90" spans="2:4" x14ac:dyDescent="0.25">
      <c r="B90" s="244" t="s">
        <v>670</v>
      </c>
      <c r="C90" s="245"/>
      <c r="D90" s="248">
        <v>2.0300000000000001E-3</v>
      </c>
    </row>
    <row r="91" spans="2:4" x14ac:dyDescent="0.25">
      <c r="B91" s="244" t="s">
        <v>671</v>
      </c>
      <c r="C91" s="245"/>
      <c r="D91" s="248">
        <v>2.0300000000000001E-3</v>
      </c>
    </row>
    <row r="92" spans="2:4" x14ac:dyDescent="0.25">
      <c r="B92" s="244" t="s">
        <v>672</v>
      </c>
      <c r="C92" s="245"/>
      <c r="D92" s="248">
        <v>2.0300000000000001E-3</v>
      </c>
    </row>
    <row r="93" spans="2:4" x14ac:dyDescent="0.25">
      <c r="B93" s="244" t="s">
        <v>673</v>
      </c>
      <c r="C93" s="245"/>
      <c r="D93" s="248">
        <v>2.0300000000000001E-3</v>
      </c>
    </row>
    <row r="94" spans="2:4" x14ac:dyDescent="0.25">
      <c r="B94" s="244" t="s">
        <v>674</v>
      </c>
      <c r="C94" s="245"/>
      <c r="D94" s="248">
        <v>2.0300000000000001E-3</v>
      </c>
    </row>
    <row r="95" spans="2:4" x14ac:dyDescent="0.25">
      <c r="B95" s="244" t="s">
        <v>680</v>
      </c>
      <c r="C95" s="245"/>
      <c r="D95" s="248">
        <v>-1.0200000000000001E-3</v>
      </c>
    </row>
    <row r="96" spans="2:4" x14ac:dyDescent="0.25">
      <c r="B96" s="244" t="s">
        <v>675</v>
      </c>
      <c r="C96" s="245"/>
      <c r="D96" s="248">
        <v>-1.0200000000000001E-3</v>
      </c>
    </row>
    <row r="97" spans="2:4" x14ac:dyDescent="0.25">
      <c r="B97" s="244" t="s">
        <v>676</v>
      </c>
      <c r="C97" s="245"/>
      <c r="D97" s="248">
        <v>-1.0200000000000001E-3</v>
      </c>
    </row>
    <row r="98" spans="2:4" x14ac:dyDescent="0.25">
      <c r="B98" s="244" t="s">
        <v>677</v>
      </c>
      <c r="C98" s="245"/>
      <c r="D98" s="248">
        <v>-1.0200000000000001E-3</v>
      </c>
    </row>
    <row r="99" spans="2:4" x14ac:dyDescent="0.25">
      <c r="B99" s="244" t="s">
        <v>678</v>
      </c>
      <c r="C99" s="245"/>
      <c r="D99" s="248">
        <v>-1.0200000000000001E-3</v>
      </c>
    </row>
    <row r="100" spans="2:4" x14ac:dyDescent="0.25">
      <c r="B100" s="244" t="s">
        <v>679</v>
      </c>
      <c r="C100" s="245"/>
      <c r="D100" s="248">
        <v>-1.0200000000000001E-3</v>
      </c>
    </row>
    <row r="101" spans="2:4" x14ac:dyDescent="0.25">
      <c r="B101" s="244" t="s">
        <v>655</v>
      </c>
      <c r="C101" s="245">
        <v>-0.53983769095372269</v>
      </c>
      <c r="D101" s="246">
        <v>-0.54</v>
      </c>
    </row>
    <row r="102" spans="2:4" x14ac:dyDescent="0.25">
      <c r="B102" s="244" t="s">
        <v>656</v>
      </c>
      <c r="C102" s="245">
        <v>-3.0885531609124035</v>
      </c>
      <c r="D102" s="246">
        <v>-3.09</v>
      </c>
    </row>
    <row r="103" spans="2:4" x14ac:dyDescent="0.25">
      <c r="B103" s="244" t="s">
        <v>657</v>
      </c>
      <c r="C103" s="245">
        <v>-0.53983769095372269</v>
      </c>
      <c r="D103" s="246">
        <v>-0.54</v>
      </c>
    </row>
    <row r="104" spans="2:4" x14ac:dyDescent="0.25">
      <c r="B104" s="244" t="s">
        <v>658</v>
      </c>
      <c r="C104" s="245">
        <v>-3.0885531609124035</v>
      </c>
      <c r="D104" s="246">
        <v>-3.09</v>
      </c>
    </row>
    <row r="105" spans="2:4" x14ac:dyDescent="0.25">
      <c r="B105" s="244" t="s">
        <v>662</v>
      </c>
      <c r="C105" s="245">
        <v>-2.0567464954282992</v>
      </c>
      <c r="D105" s="246">
        <v>-2.06</v>
      </c>
    </row>
    <row r="106" spans="2:4" x14ac:dyDescent="0.25">
      <c r="B106" s="244" t="s">
        <v>659</v>
      </c>
      <c r="C106" s="245">
        <v>-2.5066112378897349</v>
      </c>
      <c r="D106" s="246">
        <v>-2.5099999999999998</v>
      </c>
    </row>
    <row r="107" spans="2:4" x14ac:dyDescent="0.25">
      <c r="B107" s="244" t="s">
        <v>660</v>
      </c>
      <c r="C107" s="245">
        <v>-2.0567464954282992</v>
      </c>
      <c r="D107" s="246">
        <v>-2.06</v>
      </c>
    </row>
    <row r="108" spans="2:4" x14ac:dyDescent="0.25">
      <c r="B108" s="244" t="s">
        <v>661</v>
      </c>
      <c r="C108" s="245">
        <v>-2.5066112378897349</v>
      </c>
      <c r="D108" s="246">
        <v>-2.5099999999999998</v>
      </c>
    </row>
    <row r="109" spans="2:4" x14ac:dyDescent="0.25">
      <c r="B109" s="244" t="s">
        <v>663</v>
      </c>
      <c r="C109" s="245">
        <v>1.0160350618233231</v>
      </c>
      <c r="D109" s="246">
        <v>1.02</v>
      </c>
    </row>
    <row r="110" spans="2:4" x14ac:dyDescent="0.25">
      <c r="B110" s="244" t="s">
        <v>664</v>
      </c>
      <c r="C110" s="245">
        <v>1.0160350618233231</v>
      </c>
      <c r="D110" s="246">
        <v>1.02</v>
      </c>
    </row>
    <row r="111" spans="2:4" x14ac:dyDescent="0.25">
      <c r="B111" s="244" t="s">
        <v>665</v>
      </c>
      <c r="C111" s="245">
        <v>1.0160350618233231</v>
      </c>
      <c r="D111" s="246">
        <v>1.02</v>
      </c>
    </row>
    <row r="112" spans="2:4" x14ac:dyDescent="0.25">
      <c r="B112" s="244" t="s">
        <v>666</v>
      </c>
      <c r="C112" s="245">
        <v>1.0160350618233231</v>
      </c>
      <c r="D112" s="246">
        <v>1.02</v>
      </c>
    </row>
    <row r="113" spans="2:4" x14ac:dyDescent="0.25">
      <c r="B113" s="244" t="s">
        <v>667</v>
      </c>
      <c r="C113" s="245">
        <v>1.0160350618233231</v>
      </c>
      <c r="D113" s="246">
        <v>1.02</v>
      </c>
    </row>
    <row r="114" spans="2:4" ht="15.75" thickBot="1" x14ac:dyDescent="0.3">
      <c r="B114" s="241" t="s">
        <v>668</v>
      </c>
      <c r="C114" s="242">
        <v>1.0160350618233231</v>
      </c>
      <c r="D114" s="243">
        <v>1.02</v>
      </c>
    </row>
    <row r="116" spans="2:4" ht="15.75" thickBot="1" x14ac:dyDescent="0.3"/>
    <row r="117" spans="2:4" x14ac:dyDescent="0.25">
      <c r="B117" s="238" t="s">
        <v>681</v>
      </c>
      <c r="C117" s="239">
        <v>21.415884766993059</v>
      </c>
      <c r="D117" s="240">
        <v>21.42</v>
      </c>
    </row>
    <row r="118" spans="2:4" x14ac:dyDescent="0.25">
      <c r="B118" s="244" t="s">
        <v>682</v>
      </c>
      <c r="C118" s="245">
        <v>21.415884766993059</v>
      </c>
      <c r="D118" s="246">
        <v>21.42</v>
      </c>
    </row>
    <row r="119" spans="2:4" x14ac:dyDescent="0.25">
      <c r="B119" s="244" t="s">
        <v>686</v>
      </c>
      <c r="C119" s="245">
        <v>15.676379090095182</v>
      </c>
      <c r="D119" s="246">
        <v>15.68</v>
      </c>
    </row>
    <row r="120" spans="2:4" x14ac:dyDescent="0.25">
      <c r="B120" s="244" t="s">
        <v>687</v>
      </c>
      <c r="C120" s="245">
        <v>3.5264815494336967</v>
      </c>
      <c r="D120" s="246">
        <v>3.53</v>
      </c>
    </row>
    <row r="121" spans="2:4" x14ac:dyDescent="0.25">
      <c r="B121" s="244" t="s">
        <v>688</v>
      </c>
      <c r="C121" s="245">
        <v>12.149897540661485</v>
      </c>
      <c r="D121" s="246">
        <v>12.15</v>
      </c>
    </row>
    <row r="122" spans="2:4" x14ac:dyDescent="0.25">
      <c r="B122" s="244" t="s">
        <v>693</v>
      </c>
      <c r="C122" s="245">
        <v>1.0160350618233231</v>
      </c>
      <c r="D122" s="246">
        <v>1.02</v>
      </c>
    </row>
    <row r="123" spans="2:4" x14ac:dyDescent="0.25">
      <c r="B123" s="244" t="s">
        <v>694</v>
      </c>
      <c r="C123" s="245">
        <v>1.0160350618233231</v>
      </c>
      <c r="D123" s="246">
        <v>1.02</v>
      </c>
    </row>
    <row r="124" spans="2:4" x14ac:dyDescent="0.25">
      <c r="B124" s="244" t="s">
        <v>689</v>
      </c>
      <c r="C124" s="245"/>
      <c r="D124" s="246">
        <v>2.0300000000000001E-3</v>
      </c>
    </row>
    <row r="125" spans="2:4" x14ac:dyDescent="0.25">
      <c r="B125" s="244" t="s">
        <v>690</v>
      </c>
      <c r="C125" s="245"/>
      <c r="D125" s="246">
        <v>2.0300000000000001E-3</v>
      </c>
    </row>
    <row r="126" spans="2:4" x14ac:dyDescent="0.25">
      <c r="B126" s="244" t="s">
        <v>691</v>
      </c>
      <c r="C126" s="245"/>
      <c r="D126" s="246">
        <v>-1.0200000000000001E-3</v>
      </c>
    </row>
    <row r="127" spans="2:4" ht="15.75" thickBot="1" x14ac:dyDescent="0.3">
      <c r="B127" s="241" t="s">
        <v>692</v>
      </c>
      <c r="C127" s="242"/>
      <c r="D127" s="243">
        <v>-1.0200000000000001E-3</v>
      </c>
    </row>
    <row r="129" spans="2:4" ht="15.75" thickBot="1" x14ac:dyDescent="0.3"/>
    <row r="130" spans="2:4" x14ac:dyDescent="0.25">
      <c r="B130" s="238" t="s">
        <v>621</v>
      </c>
      <c r="C130" s="239">
        <v>22.237802575212239</v>
      </c>
      <c r="D130" s="240">
        <v>22.24</v>
      </c>
    </row>
    <row r="131" spans="2:4" x14ac:dyDescent="0.25">
      <c r="B131" s="244" t="s">
        <v>622</v>
      </c>
      <c r="C131" s="245">
        <v>22.237802575212239</v>
      </c>
      <c r="D131" s="246">
        <v>22.24</v>
      </c>
    </row>
    <row r="132" spans="2:4" x14ac:dyDescent="0.25">
      <c r="B132" s="244" t="s">
        <v>614</v>
      </c>
      <c r="C132" s="245">
        <v>15.676379090095182</v>
      </c>
      <c r="D132" s="246">
        <v>15.68</v>
      </c>
    </row>
    <row r="133" spans="2:4" x14ac:dyDescent="0.25">
      <c r="B133" s="244" t="s">
        <v>627</v>
      </c>
      <c r="C133" s="245">
        <v>3.5264815494336967</v>
      </c>
      <c r="D133" s="246">
        <v>3.53</v>
      </c>
    </row>
    <row r="134" spans="2:4" x14ac:dyDescent="0.25">
      <c r="B134" s="244" t="s">
        <v>628</v>
      </c>
      <c r="C134" s="245">
        <v>12.149897540661485</v>
      </c>
      <c r="D134" s="246">
        <v>12.15</v>
      </c>
    </row>
    <row r="135" spans="2:4" x14ac:dyDescent="0.25">
      <c r="B135" s="244" t="s">
        <v>615</v>
      </c>
      <c r="C135" s="245">
        <v>2.0567464954282992</v>
      </c>
      <c r="D135" s="246">
        <v>2.06</v>
      </c>
    </row>
    <row r="136" spans="2:4" x14ac:dyDescent="0.25">
      <c r="B136" s="244" t="s">
        <v>616</v>
      </c>
      <c r="C136" s="245">
        <v>1.8811654908114217</v>
      </c>
      <c r="D136" s="246">
        <v>1.88</v>
      </c>
    </row>
    <row r="137" spans="2:4" x14ac:dyDescent="0.25">
      <c r="B137" s="244" t="s">
        <v>617</v>
      </c>
      <c r="C137" s="245">
        <v>0.74619564468853072</v>
      </c>
      <c r="D137" s="246">
        <v>0.75</v>
      </c>
    </row>
    <row r="138" spans="2:4" x14ac:dyDescent="0.25">
      <c r="B138" s="244" t="s">
        <v>629</v>
      </c>
      <c r="C138" s="245">
        <v>2.0567464954282992</v>
      </c>
      <c r="D138" s="246">
        <v>2.06</v>
      </c>
    </row>
    <row r="139" spans="2:4" x14ac:dyDescent="0.25">
      <c r="B139" s="244" t="s">
        <v>630</v>
      </c>
      <c r="C139" s="245">
        <v>1.8811654908114217</v>
      </c>
      <c r="D139" s="246">
        <v>1.88</v>
      </c>
    </row>
    <row r="140" spans="2:4" x14ac:dyDescent="0.25">
      <c r="B140" s="244" t="s">
        <v>631</v>
      </c>
      <c r="C140" s="245">
        <v>0.74619564468853072</v>
      </c>
      <c r="D140" s="246">
        <v>0.75</v>
      </c>
    </row>
    <row r="141" spans="2:4" x14ac:dyDescent="0.25">
      <c r="B141" s="244" t="s">
        <v>618</v>
      </c>
      <c r="C141" s="245"/>
      <c r="D141" s="248">
        <v>2.0300000000000001E-3</v>
      </c>
    </row>
    <row r="142" spans="2:4" x14ac:dyDescent="0.25">
      <c r="B142" s="244" t="s">
        <v>922</v>
      </c>
      <c r="C142" s="245"/>
      <c r="D142" s="248">
        <v>2.0300000000000001E-3</v>
      </c>
    </row>
    <row r="143" spans="2:4" x14ac:dyDescent="0.25">
      <c r="B143" s="244" t="s">
        <v>619</v>
      </c>
      <c r="C143" s="245"/>
      <c r="D143" s="246">
        <v>-1.0200000000000001E-3</v>
      </c>
    </row>
    <row r="144" spans="2:4" x14ac:dyDescent="0.25">
      <c r="B144" s="244" t="s">
        <v>921</v>
      </c>
      <c r="C144" s="245"/>
      <c r="D144" s="246">
        <v>-1.0200000000000001E-3</v>
      </c>
    </row>
    <row r="145" spans="2:4" x14ac:dyDescent="0.25">
      <c r="B145" s="244" t="s">
        <v>620</v>
      </c>
      <c r="C145" s="245">
        <v>1.0160350618233231</v>
      </c>
      <c r="D145" s="246">
        <v>1.02</v>
      </c>
    </row>
    <row r="146" spans="2:4" ht="15.75" thickBot="1" x14ac:dyDescent="0.3">
      <c r="B146" s="241" t="s">
        <v>632</v>
      </c>
      <c r="C146" s="242">
        <v>1.0160350618233231</v>
      </c>
      <c r="D146" s="243">
        <v>1.02</v>
      </c>
    </row>
    <row r="148" spans="2:4" ht="15.75" thickBot="1" x14ac:dyDescent="0.3"/>
    <row r="149" spans="2:4" x14ac:dyDescent="0.25">
      <c r="B149" s="238" t="s">
        <v>702</v>
      </c>
      <c r="C149" s="239">
        <v>127.62290604253873</v>
      </c>
      <c r="D149" s="240">
        <v>127.62</v>
      </c>
    </row>
    <row r="150" spans="2:4" x14ac:dyDescent="0.25">
      <c r="B150" s="244" t="s">
        <v>703</v>
      </c>
      <c r="C150" s="245">
        <v>127.62290604253873</v>
      </c>
      <c r="D150" s="246">
        <v>127.62</v>
      </c>
    </row>
    <row r="151" spans="2:4" x14ac:dyDescent="0.25">
      <c r="B151" s="244" t="s">
        <v>698</v>
      </c>
      <c r="C151" s="245">
        <v>8.1506441661571234</v>
      </c>
      <c r="D151" s="246">
        <v>8.15</v>
      </c>
    </row>
    <row r="152" spans="2:4" x14ac:dyDescent="0.25">
      <c r="B152" s="244" t="s">
        <v>706</v>
      </c>
      <c r="C152" s="245">
        <v>0.98602235522221171</v>
      </c>
      <c r="D152" s="246">
        <v>0.99</v>
      </c>
    </row>
    <row r="153" spans="2:4" x14ac:dyDescent="0.25">
      <c r="B153" s="244" t="s">
        <v>707</v>
      </c>
      <c r="C153" s="245">
        <v>7.1646218109349116</v>
      </c>
      <c r="D153" s="246">
        <v>7.16</v>
      </c>
    </row>
    <row r="154" spans="2:4" x14ac:dyDescent="0.25">
      <c r="B154" s="244" t="s">
        <v>701</v>
      </c>
      <c r="C154" s="245">
        <v>1.0160350618233231</v>
      </c>
      <c r="D154" s="246">
        <v>1.02</v>
      </c>
    </row>
    <row r="155" spans="2:4" x14ac:dyDescent="0.25">
      <c r="B155" s="244" t="s">
        <v>710</v>
      </c>
      <c r="C155" s="245">
        <v>1.0160350618233231</v>
      </c>
      <c r="D155" s="246">
        <v>1.02</v>
      </c>
    </row>
    <row r="156" spans="2:4" x14ac:dyDescent="0.25">
      <c r="B156" s="244" t="s">
        <v>699</v>
      </c>
      <c r="C156" s="245"/>
      <c r="D156" s="246">
        <v>2.0300000000000001E-3</v>
      </c>
    </row>
    <row r="157" spans="2:4" x14ac:dyDescent="0.25">
      <c r="B157" s="244" t="s">
        <v>708</v>
      </c>
      <c r="C157" s="245"/>
      <c r="D157" s="246">
        <v>2.0300000000000001E-3</v>
      </c>
    </row>
    <row r="158" spans="2:4" x14ac:dyDescent="0.25">
      <c r="B158" s="244" t="s">
        <v>700</v>
      </c>
      <c r="C158" s="245"/>
      <c r="D158" s="246">
        <v>-1.0200000000000001E-3</v>
      </c>
    </row>
    <row r="159" spans="2:4" ht="15.75" thickBot="1" x14ac:dyDescent="0.3">
      <c r="B159" s="241" t="s">
        <v>709</v>
      </c>
      <c r="C159" s="242"/>
      <c r="D159" s="243">
        <v>-1.0200000000000001E-3</v>
      </c>
    </row>
    <row r="161" spans="2:4" ht="15.75" thickBot="1" x14ac:dyDescent="0.3"/>
    <row r="162" spans="2:4" x14ac:dyDescent="0.25">
      <c r="B162" s="238" t="s">
        <v>560</v>
      </c>
      <c r="C162" s="239">
        <v>128.4448238507579</v>
      </c>
      <c r="D162" s="240">
        <v>128.44</v>
      </c>
    </row>
    <row r="163" spans="2:4" x14ac:dyDescent="0.25">
      <c r="B163" s="244" t="s">
        <v>561</v>
      </c>
      <c r="C163" s="245">
        <v>128.4448238507579</v>
      </c>
      <c r="D163" s="246">
        <v>128.44</v>
      </c>
    </row>
    <row r="164" spans="2:4" x14ac:dyDescent="0.25">
      <c r="B164" s="244" t="s">
        <v>595</v>
      </c>
      <c r="C164" s="245">
        <v>8.1506441661571234</v>
      </c>
      <c r="D164" s="246">
        <v>8.15</v>
      </c>
    </row>
    <row r="165" spans="2:4" x14ac:dyDescent="0.25">
      <c r="B165" s="244" t="s">
        <v>598</v>
      </c>
      <c r="C165" s="245">
        <v>0.98602235522221171</v>
      </c>
      <c r="D165" s="246">
        <v>0.99</v>
      </c>
    </row>
    <row r="166" spans="2:4" x14ac:dyDescent="0.25">
      <c r="B166" s="244" t="s">
        <v>599</v>
      </c>
      <c r="C166" s="245">
        <v>7.1646218109349116</v>
      </c>
      <c r="D166" s="246">
        <v>7.16</v>
      </c>
    </row>
    <row r="167" spans="2:4" x14ac:dyDescent="0.25">
      <c r="B167" s="244" t="s">
        <v>596</v>
      </c>
      <c r="C167" s="245"/>
      <c r="D167" s="246">
        <v>0.83</v>
      </c>
    </row>
    <row r="168" spans="2:4" x14ac:dyDescent="0.25">
      <c r="B168" s="244" t="s">
        <v>597</v>
      </c>
      <c r="C168" s="245">
        <v>0.97807729993885473</v>
      </c>
      <c r="D168" s="246">
        <v>0.98</v>
      </c>
    </row>
    <row r="169" spans="2:4" x14ac:dyDescent="0.25">
      <c r="B169" s="244" t="s">
        <v>600</v>
      </c>
      <c r="C169" s="245">
        <v>0.38797066230907912</v>
      </c>
      <c r="D169" s="246">
        <v>0.39</v>
      </c>
    </row>
    <row r="170" spans="2:4" x14ac:dyDescent="0.25">
      <c r="B170" s="244" t="s">
        <v>601</v>
      </c>
      <c r="C170" s="245"/>
      <c r="D170" s="246">
        <v>0.83</v>
      </c>
    </row>
    <row r="171" spans="2:4" x14ac:dyDescent="0.25">
      <c r="B171" s="244" t="s">
        <v>602</v>
      </c>
      <c r="C171" s="245">
        <v>0.97807729993885473</v>
      </c>
      <c r="D171" s="246">
        <v>0.98</v>
      </c>
    </row>
    <row r="172" spans="2:4" x14ac:dyDescent="0.25">
      <c r="B172" s="244" t="s">
        <v>603</v>
      </c>
      <c r="C172" s="245">
        <v>0.38797066230907912</v>
      </c>
      <c r="D172" s="246">
        <v>0.39</v>
      </c>
    </row>
    <row r="173" spans="2:4" x14ac:dyDescent="0.25">
      <c r="B173" s="244" t="s">
        <v>604</v>
      </c>
      <c r="C173" s="245"/>
      <c r="D173" s="246">
        <v>2.0300000000000001E-3</v>
      </c>
    </row>
    <row r="174" spans="2:4" x14ac:dyDescent="0.25">
      <c r="B174" s="244" t="s">
        <v>605</v>
      </c>
      <c r="C174" s="245"/>
      <c r="D174" s="246">
        <v>2.0300000000000001E-3</v>
      </c>
    </row>
    <row r="175" spans="2:4" x14ac:dyDescent="0.25">
      <c r="B175" s="244" t="s">
        <v>606</v>
      </c>
      <c r="C175" s="245"/>
      <c r="D175" s="246">
        <v>-1.0200000000000001E-3</v>
      </c>
    </row>
    <row r="176" spans="2:4" x14ac:dyDescent="0.25">
      <c r="B176" s="244" t="s">
        <v>607</v>
      </c>
      <c r="C176" s="245"/>
      <c r="D176" s="246">
        <v>-1.0200000000000001E-3</v>
      </c>
    </row>
    <row r="177" spans="2:4" x14ac:dyDescent="0.25">
      <c r="B177" s="244" t="s">
        <v>608</v>
      </c>
      <c r="C177" s="245">
        <v>1.0160350618233231</v>
      </c>
      <c r="D177" s="246">
        <v>1.02</v>
      </c>
    </row>
    <row r="178" spans="2:4" ht="15.75" thickBot="1" x14ac:dyDescent="0.3">
      <c r="B178" s="241" t="s">
        <v>609</v>
      </c>
      <c r="C178" s="242">
        <v>1.0160350618233231</v>
      </c>
      <c r="D178" s="243">
        <v>1.02</v>
      </c>
    </row>
    <row r="180" spans="2:4" ht="15.75" thickBot="1" x14ac:dyDescent="0.3"/>
    <row r="181" spans="2:4" ht="15.75" thickBot="1" x14ac:dyDescent="0.3">
      <c r="B181" s="251" t="s">
        <v>550</v>
      </c>
      <c r="C181" s="252">
        <v>1.0733880610843245</v>
      </c>
      <c r="D181" s="253">
        <v>1.07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53E7-E0D2-4AE6-BA4C-87A5022B1F9E}">
  <dimension ref="A1:CX366"/>
  <sheetViews>
    <sheetView workbookViewId="0"/>
  </sheetViews>
  <sheetFormatPr defaultRowHeight="15" x14ac:dyDescent="0.25"/>
  <cols>
    <col min="1" max="1" width="50.140625" bestFit="1" customWidth="1"/>
    <col min="2" max="2" width="17.85546875" bestFit="1" customWidth="1"/>
    <col min="3" max="3" width="13" bestFit="1" customWidth="1"/>
    <col min="4" max="4" width="33.7109375" customWidth="1"/>
    <col min="5" max="5" width="39.5703125" customWidth="1"/>
    <col min="6" max="6" width="39.85546875" customWidth="1"/>
    <col min="7" max="7" width="37.7109375" customWidth="1"/>
    <col min="8" max="8" width="35.7109375" customWidth="1"/>
    <col min="9" max="9" width="30.5703125" customWidth="1"/>
    <col min="10" max="10" width="34.5703125" customWidth="1"/>
    <col min="11" max="11" width="37.28515625" customWidth="1"/>
    <col min="12" max="12" width="43.7109375" customWidth="1"/>
    <col min="13" max="13" width="33.5703125" customWidth="1"/>
    <col min="14" max="14" width="33.140625" customWidth="1"/>
    <col min="15" max="15" width="33.42578125" customWidth="1"/>
    <col min="16" max="16" width="39.85546875" customWidth="1"/>
    <col min="17" max="17" width="34.140625" customWidth="1"/>
    <col min="18" max="18" width="39.42578125" customWidth="1"/>
    <col min="19" max="19" width="30" customWidth="1"/>
    <col min="20" max="20" width="33" customWidth="1"/>
    <col min="21" max="21" width="31.42578125" customWidth="1"/>
    <col min="22" max="22" width="35.5703125" customWidth="1"/>
    <col min="23" max="23" width="35.140625" customWidth="1"/>
    <col min="24" max="24" width="29.5703125" customWidth="1"/>
    <col min="25" max="25" width="33.85546875" customWidth="1"/>
    <col min="26" max="26" width="39.85546875" customWidth="1"/>
    <col min="27" max="27" width="40" customWidth="1"/>
    <col min="28" max="28" width="37.85546875" customWidth="1"/>
    <col min="29" max="29" width="35.85546875" customWidth="1"/>
    <col min="30" max="30" width="30.140625" customWidth="1"/>
    <col min="31" max="31" width="33.140625" customWidth="1"/>
    <col min="32" max="32" width="37.42578125" customWidth="1"/>
    <col min="33" max="33" width="37.7109375" customWidth="1"/>
    <col min="34" max="34" width="35.28515625" customWidth="1"/>
    <col min="35" max="35" width="33.42578125" customWidth="1"/>
    <col min="36" max="36" width="33.5703125" customWidth="1"/>
    <col min="37" max="37" width="31" customWidth="1"/>
    <col min="38" max="38" width="31.7109375" customWidth="1"/>
    <col min="39" max="39" width="40.28515625" customWidth="1"/>
    <col min="40" max="40" width="31.5703125" customWidth="1"/>
    <col min="41" max="41" width="33" customWidth="1"/>
    <col min="42" max="42" width="40.28515625" customWidth="1"/>
    <col min="43" max="43" width="41.28515625" customWidth="1"/>
    <col min="44" max="44" width="19.42578125" customWidth="1"/>
    <col min="45" max="45" width="35" customWidth="1"/>
    <col min="46" max="46" width="30.7109375" customWidth="1"/>
    <col min="47" max="47" width="30.5703125" customWidth="1"/>
    <col min="48" max="48" width="31.28515625" customWidth="1"/>
    <col min="49" max="49" width="17.85546875" customWidth="1"/>
    <col min="50" max="50" width="22.28515625" customWidth="1"/>
    <col min="51" max="51" width="22.140625" customWidth="1"/>
    <col min="52" max="52" width="23.42578125" customWidth="1"/>
    <col min="53" max="53" width="27.85546875" customWidth="1"/>
    <col min="54" max="54" width="27.7109375" customWidth="1"/>
    <col min="55" max="55" width="28.42578125" customWidth="1"/>
    <col min="56" max="56" width="29.42578125" customWidth="1"/>
    <col min="57" max="57" width="31.5703125" customWidth="1"/>
    <col min="58" max="58" width="31.42578125" customWidth="1"/>
    <col min="59" max="59" width="32.28515625" customWidth="1"/>
    <col min="60" max="60" width="29.5703125" customWidth="1"/>
    <col min="61" max="61" width="31.7109375" customWidth="1"/>
    <col min="62" max="62" width="31.5703125" customWidth="1"/>
    <col min="63" max="63" width="32.42578125" customWidth="1"/>
    <col min="64" max="64" width="27.28515625" customWidth="1"/>
    <col min="65" max="65" width="31.7109375" customWidth="1"/>
    <col min="66" max="66" width="31.5703125" customWidth="1"/>
    <col min="67" max="67" width="32.42578125" customWidth="1"/>
    <col min="68" max="68" width="25.5703125" customWidth="1"/>
    <col min="69" max="69" width="30" customWidth="1"/>
    <col min="70" max="70" width="29.85546875" customWidth="1"/>
    <col min="71" max="71" width="30.5703125" customWidth="1"/>
    <col min="72" max="72" width="27.140625" customWidth="1"/>
    <col min="73" max="73" width="31.42578125" customWidth="1"/>
    <col min="74" max="74" width="32.28515625" customWidth="1"/>
    <col min="75" max="75" width="28.5703125" customWidth="1"/>
    <col min="76" max="76" width="33" customWidth="1"/>
    <col min="77" max="77" width="32.85546875" customWidth="1"/>
    <col min="78" max="78" width="33.5703125" customWidth="1"/>
    <col min="79" max="79" width="41.5703125" customWidth="1"/>
    <col min="80" max="80" width="42.28515625" customWidth="1"/>
    <col min="81" max="81" width="6.42578125" customWidth="1"/>
    <col min="82" max="82" width="42" customWidth="1"/>
    <col min="83" max="83" width="37.7109375" customWidth="1"/>
    <col min="84" max="84" width="37.42578125" customWidth="1"/>
    <col min="85" max="85" width="38.140625" customWidth="1"/>
    <col min="86" max="86" width="38" customWidth="1"/>
    <col min="87" max="87" width="34.5703125" customWidth="1"/>
    <col min="88" max="88" width="34.42578125" customWidth="1"/>
    <col min="89" max="89" width="35.140625" customWidth="1"/>
    <col min="90" max="90" width="35.28515625" customWidth="1"/>
    <col min="91" max="91" width="39.5703125" customWidth="1"/>
    <col min="92" max="92" width="40.28515625" customWidth="1"/>
    <col min="93" max="93" width="35.28515625" customWidth="1"/>
    <col min="94" max="94" width="39.85546875" customWidth="1"/>
    <col min="95" max="95" width="39.5703125" customWidth="1"/>
    <col min="96" max="96" width="40.28515625" customWidth="1"/>
    <col min="97" max="97" width="34.28515625" customWidth="1"/>
    <col min="98" max="98" width="38.7109375" customWidth="1"/>
    <col min="99" max="99" width="38.5703125" customWidth="1"/>
    <col min="100" max="100" width="39.28515625" customWidth="1"/>
    <col min="101" max="101" width="48.42578125" customWidth="1"/>
    <col min="102" max="102" width="49.140625" customWidth="1"/>
    <col min="103" max="103" width="10.5703125" customWidth="1"/>
  </cols>
  <sheetData>
    <row r="1" spans="1:2" ht="18.75" x14ac:dyDescent="0.25">
      <c r="A1" s="215" t="s">
        <v>1468</v>
      </c>
      <c r="B1" s="215"/>
    </row>
    <row r="2" spans="1:2" x14ac:dyDescent="0.25">
      <c r="B2" s="216">
        <v>2025</v>
      </c>
    </row>
    <row r="3" spans="1:2" x14ac:dyDescent="0.25">
      <c r="A3" t="s">
        <v>0</v>
      </c>
      <c r="B3" s="1">
        <v>279108556</v>
      </c>
    </row>
    <row r="4" spans="1:2" x14ac:dyDescent="0.25">
      <c r="A4" t="s">
        <v>1</v>
      </c>
      <c r="B4" s="1">
        <v>1616968</v>
      </c>
    </row>
    <row r="5" spans="1:2" x14ac:dyDescent="0.25">
      <c r="A5" t="s">
        <v>2</v>
      </c>
      <c r="B5" s="1">
        <v>10207375126</v>
      </c>
    </row>
    <row r="6" spans="1:2" x14ac:dyDescent="0.25">
      <c r="A6" t="s">
        <v>3</v>
      </c>
      <c r="B6" s="1">
        <v>7076406829.3800001</v>
      </c>
    </row>
    <row r="7" spans="1:2" x14ac:dyDescent="0.25">
      <c r="A7" t="s">
        <v>4</v>
      </c>
      <c r="B7" s="1">
        <v>3130968298.5199995</v>
      </c>
    </row>
    <row r="8" spans="1:2" x14ac:dyDescent="0.25">
      <c r="A8" t="s">
        <v>5</v>
      </c>
      <c r="B8" s="1">
        <v>80393241</v>
      </c>
    </row>
    <row r="9" spans="1:2" x14ac:dyDescent="0.25">
      <c r="B9" s="216">
        <f>+B2</f>
        <v>2025</v>
      </c>
    </row>
    <row r="10" spans="1:2" x14ac:dyDescent="0.25">
      <c r="A10" t="s">
        <v>6</v>
      </c>
      <c r="B10" s="1">
        <v>9365.11</v>
      </c>
    </row>
    <row r="11" spans="1:2" x14ac:dyDescent="0.25">
      <c r="A11" t="s">
        <v>7</v>
      </c>
      <c r="B11" s="1">
        <v>2916277</v>
      </c>
    </row>
    <row r="12" spans="1:2" x14ac:dyDescent="0.25">
      <c r="A12" t="s">
        <v>8</v>
      </c>
      <c r="B12" s="1">
        <v>9502.1</v>
      </c>
    </row>
    <row r="13" spans="1:2" x14ac:dyDescent="0.25">
      <c r="B13" s="216">
        <f>+B9</f>
        <v>2025</v>
      </c>
    </row>
    <row r="14" spans="1:2" x14ac:dyDescent="0.25">
      <c r="A14" t="s">
        <v>9</v>
      </c>
      <c r="B14" s="1">
        <v>1477389</v>
      </c>
    </row>
    <row r="15" spans="1:2" x14ac:dyDescent="0.25">
      <c r="A15" t="s">
        <v>10</v>
      </c>
      <c r="B15" s="1">
        <v>12769319</v>
      </c>
    </row>
    <row r="16" spans="1:2" x14ac:dyDescent="0.25">
      <c r="B16" s="216">
        <f>+B13</f>
        <v>2025</v>
      </c>
    </row>
    <row r="17" spans="1:4" x14ac:dyDescent="0.25">
      <c r="A17" t="s">
        <v>11</v>
      </c>
      <c r="B17" s="1">
        <v>24905826</v>
      </c>
    </row>
    <row r="18" spans="1:4" x14ac:dyDescent="0.25">
      <c r="A18" t="s">
        <v>12</v>
      </c>
      <c r="B18" s="1">
        <v>35156</v>
      </c>
    </row>
    <row r="19" spans="1:4" x14ac:dyDescent="0.25">
      <c r="A19" t="s">
        <v>13</v>
      </c>
      <c r="B19" s="1">
        <v>830343</v>
      </c>
    </row>
    <row r="20" spans="1:4" x14ac:dyDescent="0.25">
      <c r="A20" t="s">
        <v>14</v>
      </c>
      <c r="B20" s="1">
        <v>910340791</v>
      </c>
    </row>
    <row r="21" spans="1:4" x14ac:dyDescent="0.25">
      <c r="A21" t="s">
        <v>15</v>
      </c>
      <c r="B21" s="1">
        <v>1036113</v>
      </c>
    </row>
    <row r="22" spans="1:4" x14ac:dyDescent="0.25">
      <c r="A22" t="s">
        <v>16</v>
      </c>
      <c r="B22" s="1">
        <v>26764650</v>
      </c>
    </row>
    <row r="23" spans="1:4" x14ac:dyDescent="0.25">
      <c r="A23" t="s">
        <v>17</v>
      </c>
      <c r="B23" s="1">
        <v>6385382</v>
      </c>
    </row>
    <row r="24" spans="1:4" x14ac:dyDescent="0.25">
      <c r="A24" t="s">
        <v>18</v>
      </c>
      <c r="B24" s="1">
        <v>11254565</v>
      </c>
    </row>
    <row r="25" spans="1:4" x14ac:dyDescent="0.25">
      <c r="A25" t="s">
        <v>892</v>
      </c>
      <c r="B25" s="1">
        <v>9124705.3400000017</v>
      </c>
    </row>
    <row r="26" spans="1:4" x14ac:dyDescent="0.25">
      <c r="A26" t="s">
        <v>19</v>
      </c>
      <c r="B26" s="1">
        <v>278284.46999999997</v>
      </c>
    </row>
    <row r="27" spans="1:4" x14ac:dyDescent="0.25">
      <c r="A27" t="s">
        <v>20</v>
      </c>
      <c r="B27" s="1">
        <v>0</v>
      </c>
    </row>
    <row r="28" spans="1:4" x14ac:dyDescent="0.25">
      <c r="B28" s="216">
        <f>+B16</f>
        <v>2025</v>
      </c>
    </row>
    <row r="29" spans="1:4" x14ac:dyDescent="0.25">
      <c r="A29" t="s">
        <v>21</v>
      </c>
      <c r="B29" s="1">
        <v>5518650</v>
      </c>
    </row>
    <row r="30" spans="1:4" x14ac:dyDescent="0.25">
      <c r="A30" t="s">
        <v>22</v>
      </c>
      <c r="B30" s="1">
        <v>5498214.3000000007</v>
      </c>
      <c r="D30" s="563"/>
    </row>
    <row r="31" spans="1:4" x14ac:dyDescent="0.25">
      <c r="A31" t="s">
        <v>23</v>
      </c>
      <c r="B31" s="1">
        <v>20436.889999999996</v>
      </c>
    </row>
    <row r="32" spans="1:4" x14ac:dyDescent="0.25">
      <c r="A32" t="s">
        <v>24</v>
      </c>
      <c r="B32" s="1">
        <v>0</v>
      </c>
    </row>
    <row r="33" spans="1:2" x14ac:dyDescent="0.25">
      <c r="A33" t="s">
        <v>25</v>
      </c>
      <c r="B33" s="1">
        <v>4598287552</v>
      </c>
    </row>
    <row r="34" spans="1:2" x14ac:dyDescent="0.25">
      <c r="A34" t="s">
        <v>26</v>
      </c>
      <c r="B34" s="1">
        <v>4525208605</v>
      </c>
    </row>
    <row r="35" spans="1:2" x14ac:dyDescent="0.25">
      <c r="A35" t="s">
        <v>27</v>
      </c>
      <c r="B35" s="1">
        <v>73078949</v>
      </c>
    </row>
    <row r="36" spans="1:2" x14ac:dyDescent="0.25">
      <c r="A36" t="s">
        <v>28</v>
      </c>
      <c r="B36" s="1">
        <v>0</v>
      </c>
    </row>
    <row r="37" spans="1:2" x14ac:dyDescent="0.25">
      <c r="A37" t="s">
        <v>29</v>
      </c>
      <c r="B37" s="1">
        <v>12130966</v>
      </c>
    </row>
    <row r="38" spans="1:2" x14ac:dyDescent="0.25">
      <c r="A38" t="s">
        <v>30</v>
      </c>
      <c r="B38" s="1">
        <v>11944416</v>
      </c>
    </row>
    <row r="39" spans="1:2" x14ac:dyDescent="0.25">
      <c r="A39" s="217" t="s">
        <v>31</v>
      </c>
      <c r="B39" s="1">
        <v>186548</v>
      </c>
    </row>
    <row r="40" spans="1:2" x14ac:dyDescent="0.25">
      <c r="A40" t="s">
        <v>32</v>
      </c>
      <c r="B40" s="1">
        <v>0</v>
      </c>
    </row>
    <row r="41" spans="1:2" x14ac:dyDescent="0.25">
      <c r="A41" t="s">
        <v>33</v>
      </c>
      <c r="B41" s="1">
        <v>128348</v>
      </c>
    </row>
    <row r="42" spans="1:2" x14ac:dyDescent="0.25">
      <c r="A42" t="s">
        <v>34</v>
      </c>
      <c r="B42" s="1">
        <v>128348</v>
      </c>
    </row>
    <row r="43" spans="1:2" x14ac:dyDescent="0.25">
      <c r="A43" t="s">
        <v>35</v>
      </c>
      <c r="B43" s="1">
        <v>0</v>
      </c>
    </row>
    <row r="44" spans="1:2" x14ac:dyDescent="0.25">
      <c r="A44" t="s">
        <v>36</v>
      </c>
      <c r="B44" s="1">
        <v>655781</v>
      </c>
    </row>
    <row r="45" spans="1:2" x14ac:dyDescent="0.25">
      <c r="A45" t="s">
        <v>37</v>
      </c>
      <c r="B45" s="1">
        <v>631816</v>
      </c>
    </row>
    <row r="46" spans="1:2" x14ac:dyDescent="0.25">
      <c r="A46" t="s">
        <v>38</v>
      </c>
      <c r="B46" s="1">
        <v>23964</v>
      </c>
    </row>
    <row r="47" spans="1:2" x14ac:dyDescent="0.25">
      <c r="A47" t="s">
        <v>39</v>
      </c>
      <c r="B47" s="1">
        <v>0</v>
      </c>
    </row>
    <row r="48" spans="1:2" x14ac:dyDescent="0.25">
      <c r="A48" t="s">
        <v>40</v>
      </c>
      <c r="B48" s="1">
        <v>-3140250</v>
      </c>
    </row>
    <row r="49" spans="1:2" x14ac:dyDescent="0.25">
      <c r="A49" t="s">
        <v>41</v>
      </c>
      <c r="B49" s="1">
        <v>0</v>
      </c>
    </row>
    <row r="50" spans="1:2" x14ac:dyDescent="0.25">
      <c r="B50" s="216">
        <f>+B28</f>
        <v>2025</v>
      </c>
    </row>
    <row r="51" spans="1:2" x14ac:dyDescent="0.25">
      <c r="A51" t="s">
        <v>42</v>
      </c>
      <c r="B51" s="1">
        <v>561527</v>
      </c>
    </row>
    <row r="52" spans="1:2" x14ac:dyDescent="0.25">
      <c r="A52" t="s">
        <v>43</v>
      </c>
      <c r="B52" s="1">
        <v>547000.04</v>
      </c>
    </row>
    <row r="53" spans="1:2" x14ac:dyDescent="0.25">
      <c r="A53" s="217" t="s">
        <v>44</v>
      </c>
      <c r="B53" s="1">
        <v>14149.850000000002</v>
      </c>
    </row>
    <row r="54" spans="1:2" x14ac:dyDescent="0.25">
      <c r="A54" t="s">
        <v>45</v>
      </c>
      <c r="B54" s="1">
        <v>753.0200000000001</v>
      </c>
    </row>
    <row r="55" spans="1:2" x14ac:dyDescent="0.25">
      <c r="A55" t="s">
        <v>46</v>
      </c>
      <c r="B55" s="1">
        <v>240</v>
      </c>
    </row>
    <row r="56" spans="1:2" x14ac:dyDescent="0.25">
      <c r="A56" t="s">
        <v>47</v>
      </c>
      <c r="B56" s="1">
        <v>0</v>
      </c>
    </row>
    <row r="57" spans="1:2" x14ac:dyDescent="0.25">
      <c r="A57" t="s">
        <v>48</v>
      </c>
      <c r="B57" s="1">
        <v>240</v>
      </c>
    </row>
    <row r="58" spans="1:2" x14ac:dyDescent="0.25">
      <c r="A58" t="s">
        <v>49</v>
      </c>
      <c r="B58" s="1">
        <v>2132596695</v>
      </c>
    </row>
    <row r="59" spans="1:2" x14ac:dyDescent="0.25">
      <c r="A59" t="s">
        <v>50</v>
      </c>
      <c r="B59" s="1">
        <v>1909448162</v>
      </c>
    </row>
    <row r="60" spans="1:2" x14ac:dyDescent="0.25">
      <c r="A60" t="s">
        <v>51</v>
      </c>
      <c r="B60" s="1">
        <v>221528791</v>
      </c>
    </row>
    <row r="61" spans="1:2" x14ac:dyDescent="0.25">
      <c r="A61" t="s">
        <v>52</v>
      </c>
      <c r="B61" s="1">
        <v>1619743</v>
      </c>
    </row>
    <row r="62" spans="1:2" x14ac:dyDescent="0.25">
      <c r="A62" t="s">
        <v>53</v>
      </c>
      <c r="B62" s="1">
        <v>514834073</v>
      </c>
    </row>
    <row r="63" spans="1:2" x14ac:dyDescent="0.25">
      <c r="A63" t="s">
        <v>54</v>
      </c>
      <c r="B63" s="1">
        <v>461237768</v>
      </c>
    </row>
    <row r="64" spans="1:2" x14ac:dyDescent="0.25">
      <c r="A64" t="s">
        <v>55</v>
      </c>
      <c r="B64" s="1">
        <v>53205403</v>
      </c>
    </row>
    <row r="65" spans="1:2" x14ac:dyDescent="0.25">
      <c r="A65" t="s">
        <v>56</v>
      </c>
      <c r="B65" s="1">
        <v>390902</v>
      </c>
    </row>
    <row r="66" spans="1:2" x14ac:dyDescent="0.25">
      <c r="A66" t="s">
        <v>57</v>
      </c>
      <c r="B66" s="1">
        <v>863781298</v>
      </c>
    </row>
    <row r="67" spans="1:2" x14ac:dyDescent="0.25">
      <c r="A67" t="s">
        <v>58</v>
      </c>
      <c r="B67" s="1">
        <v>773251299</v>
      </c>
    </row>
    <row r="68" spans="1:2" x14ac:dyDescent="0.25">
      <c r="A68" t="s">
        <v>59</v>
      </c>
      <c r="B68" s="1">
        <v>89873873</v>
      </c>
    </row>
    <row r="69" spans="1:2" x14ac:dyDescent="0.25">
      <c r="A69" t="s">
        <v>60</v>
      </c>
      <c r="B69" s="1">
        <v>656124</v>
      </c>
    </row>
    <row r="70" spans="1:2" x14ac:dyDescent="0.25">
      <c r="A70" t="s">
        <v>893</v>
      </c>
      <c r="B70" s="1">
        <v>753981325</v>
      </c>
    </row>
    <row r="71" spans="1:2" x14ac:dyDescent="0.25">
      <c r="A71" t="s">
        <v>894</v>
      </c>
      <c r="B71" s="1">
        <v>674959091</v>
      </c>
    </row>
    <row r="72" spans="1:2" x14ac:dyDescent="0.25">
      <c r="A72" t="s">
        <v>895</v>
      </c>
      <c r="B72" s="1">
        <v>78449513</v>
      </c>
    </row>
    <row r="73" spans="1:2" x14ac:dyDescent="0.25">
      <c r="A73" t="s">
        <v>896</v>
      </c>
      <c r="B73" s="1">
        <v>572721</v>
      </c>
    </row>
    <row r="74" spans="1:2" x14ac:dyDescent="0.25">
      <c r="A74" t="s">
        <v>61</v>
      </c>
      <c r="B74" s="1">
        <v>4001491</v>
      </c>
    </row>
    <row r="75" spans="1:2" x14ac:dyDescent="0.25">
      <c r="A75" t="s">
        <v>62</v>
      </c>
      <c r="B75" s="1">
        <v>3562309</v>
      </c>
    </row>
    <row r="76" spans="1:2" x14ac:dyDescent="0.25">
      <c r="A76" t="s">
        <v>63</v>
      </c>
      <c r="B76" s="1">
        <v>434342</v>
      </c>
    </row>
    <row r="77" spans="1:2" x14ac:dyDescent="0.25">
      <c r="A77" t="s">
        <v>64</v>
      </c>
      <c r="B77" s="1">
        <v>4840</v>
      </c>
    </row>
    <row r="78" spans="1:2" x14ac:dyDescent="0.25">
      <c r="A78" t="s">
        <v>65</v>
      </c>
      <c r="B78" s="1">
        <v>3860969</v>
      </c>
    </row>
    <row r="79" spans="1:2" x14ac:dyDescent="0.25">
      <c r="A79" t="s">
        <v>66</v>
      </c>
      <c r="B79" s="1">
        <v>3435999</v>
      </c>
    </row>
    <row r="80" spans="1:2" x14ac:dyDescent="0.25">
      <c r="A80" t="s">
        <v>67</v>
      </c>
      <c r="B80" s="1">
        <v>420447</v>
      </c>
    </row>
    <row r="81" spans="1:2" x14ac:dyDescent="0.25">
      <c r="A81" t="s">
        <v>68</v>
      </c>
      <c r="B81" s="1">
        <v>4521</v>
      </c>
    </row>
    <row r="82" spans="1:2" x14ac:dyDescent="0.25">
      <c r="A82" t="s">
        <v>69</v>
      </c>
      <c r="B82" s="1">
        <v>71278</v>
      </c>
    </row>
    <row r="83" spans="1:2" x14ac:dyDescent="0.25">
      <c r="A83" t="s">
        <v>70</v>
      </c>
      <c r="B83" s="1">
        <v>68712</v>
      </c>
    </row>
    <row r="84" spans="1:2" x14ac:dyDescent="0.25">
      <c r="A84" t="s">
        <v>71</v>
      </c>
      <c r="B84" s="1">
        <v>2563</v>
      </c>
    </row>
    <row r="85" spans="1:2" x14ac:dyDescent="0.25">
      <c r="A85" t="s">
        <v>72</v>
      </c>
      <c r="B85" s="1">
        <v>760068</v>
      </c>
    </row>
    <row r="86" spans="1:2" x14ac:dyDescent="0.25">
      <c r="A86" t="s">
        <v>73</v>
      </c>
      <c r="B86" s="1">
        <v>713807</v>
      </c>
    </row>
    <row r="87" spans="1:2" x14ac:dyDescent="0.25">
      <c r="A87" t="s">
        <v>74</v>
      </c>
      <c r="B87" s="1">
        <v>46258</v>
      </c>
    </row>
    <row r="88" spans="1:2" x14ac:dyDescent="0.25">
      <c r="A88" t="s">
        <v>75</v>
      </c>
      <c r="B88" s="1">
        <v>0</v>
      </c>
    </row>
    <row r="89" spans="1:2" x14ac:dyDescent="0.25">
      <c r="A89" t="s">
        <v>76</v>
      </c>
      <c r="B89" s="1">
        <v>-7502792</v>
      </c>
    </row>
    <row r="90" spans="1:2" x14ac:dyDescent="0.25">
      <c r="A90" t="s">
        <v>77</v>
      </c>
      <c r="B90" s="1">
        <v>-70608</v>
      </c>
    </row>
    <row r="91" spans="1:2" x14ac:dyDescent="0.25">
      <c r="B91" s="216">
        <f>+B50</f>
        <v>2025</v>
      </c>
    </row>
    <row r="92" spans="1:2" x14ac:dyDescent="0.25">
      <c r="A92" t="s">
        <v>78</v>
      </c>
      <c r="B92" s="1">
        <v>616891</v>
      </c>
    </row>
    <row r="93" spans="1:2" x14ac:dyDescent="0.25">
      <c r="A93" t="s">
        <v>79</v>
      </c>
      <c r="B93" s="1">
        <v>609685.46</v>
      </c>
    </row>
    <row r="94" spans="1:2" x14ac:dyDescent="0.25">
      <c r="A94" t="s">
        <v>80</v>
      </c>
      <c r="B94" s="1">
        <v>7206.31</v>
      </c>
    </row>
    <row r="95" spans="1:2" x14ac:dyDescent="0.25">
      <c r="A95" t="s">
        <v>81</v>
      </c>
      <c r="B95" s="1">
        <v>0</v>
      </c>
    </row>
    <row r="96" spans="1:2" x14ac:dyDescent="0.25">
      <c r="A96" t="s">
        <v>82</v>
      </c>
      <c r="B96" s="1">
        <v>360068368</v>
      </c>
    </row>
    <row r="97" spans="1:2" x14ac:dyDescent="0.25">
      <c r="A97" t="s">
        <v>83</v>
      </c>
      <c r="B97" s="1">
        <v>353811570</v>
      </c>
    </row>
    <row r="98" spans="1:2" x14ac:dyDescent="0.25">
      <c r="A98" t="s">
        <v>84</v>
      </c>
      <c r="B98" s="1">
        <v>6256797</v>
      </c>
    </row>
    <row r="99" spans="1:2" x14ac:dyDescent="0.25">
      <c r="A99" t="s">
        <v>85</v>
      </c>
      <c r="B99" s="1">
        <v>0</v>
      </c>
    </row>
    <row r="100" spans="1:2" x14ac:dyDescent="0.25">
      <c r="A100" t="s">
        <v>86</v>
      </c>
      <c r="B100" s="1">
        <v>2472193</v>
      </c>
    </row>
    <row r="101" spans="1:2" x14ac:dyDescent="0.25">
      <c r="A101" t="s">
        <v>87</v>
      </c>
      <c r="B101" s="1">
        <v>2472193</v>
      </c>
    </row>
    <row r="102" spans="1:2" x14ac:dyDescent="0.25">
      <c r="A102" t="s">
        <v>88</v>
      </c>
      <c r="B102" s="1">
        <v>0</v>
      </c>
    </row>
    <row r="103" spans="1:2" x14ac:dyDescent="0.25">
      <c r="A103" t="s">
        <v>89</v>
      </c>
      <c r="B103" s="1">
        <v>16306939</v>
      </c>
    </row>
    <row r="104" spans="1:2" x14ac:dyDescent="0.25">
      <c r="A104" t="s">
        <v>90</v>
      </c>
      <c r="B104" s="1">
        <v>16306939</v>
      </c>
    </row>
    <row r="105" spans="1:2" x14ac:dyDescent="0.25">
      <c r="A105" t="s">
        <v>91</v>
      </c>
      <c r="B105" s="1">
        <v>0</v>
      </c>
    </row>
    <row r="106" spans="1:2" x14ac:dyDescent="0.25">
      <c r="A106" t="s">
        <v>92</v>
      </c>
      <c r="B106" s="1">
        <v>0</v>
      </c>
    </row>
    <row r="107" spans="1:2" x14ac:dyDescent="0.25">
      <c r="A107" t="s">
        <v>93</v>
      </c>
      <c r="B107" s="1">
        <v>2048571</v>
      </c>
    </row>
    <row r="108" spans="1:2" x14ac:dyDescent="0.25">
      <c r="A108" s="218" t="s">
        <v>94</v>
      </c>
      <c r="B108" s="1">
        <v>1994673</v>
      </c>
    </row>
    <row r="109" spans="1:2" x14ac:dyDescent="0.25">
      <c r="A109" t="s">
        <v>95</v>
      </c>
      <c r="B109" s="1">
        <v>53899</v>
      </c>
    </row>
    <row r="110" spans="1:2" x14ac:dyDescent="0.25">
      <c r="A110" t="s">
        <v>96</v>
      </c>
      <c r="B110" s="1">
        <v>0</v>
      </c>
    </row>
    <row r="111" spans="1:2" x14ac:dyDescent="0.25">
      <c r="A111" t="s">
        <v>97</v>
      </c>
      <c r="B111" s="1">
        <v>-442131</v>
      </c>
    </row>
    <row r="112" spans="1:2" x14ac:dyDescent="0.25">
      <c r="A112" t="s">
        <v>98</v>
      </c>
      <c r="B112" s="1">
        <v>0</v>
      </c>
    </row>
    <row r="113" spans="1:2" x14ac:dyDescent="0.25">
      <c r="B113" s="216">
        <f>+B91</f>
        <v>2025</v>
      </c>
    </row>
    <row r="114" spans="1:2" x14ac:dyDescent="0.25">
      <c r="A114" t="s">
        <v>99</v>
      </c>
      <c r="B114" s="1">
        <v>0</v>
      </c>
    </row>
    <row r="115" spans="1:2" x14ac:dyDescent="0.25">
      <c r="A115" t="s">
        <v>100</v>
      </c>
      <c r="B115" s="1">
        <v>0</v>
      </c>
    </row>
    <row r="116" spans="1:2" x14ac:dyDescent="0.25">
      <c r="A116" t="s">
        <v>101</v>
      </c>
      <c r="B116" s="1">
        <v>0</v>
      </c>
    </row>
    <row r="117" spans="1:2" x14ac:dyDescent="0.25">
      <c r="A117" t="s">
        <v>102</v>
      </c>
      <c r="B117" s="1">
        <v>0</v>
      </c>
    </row>
    <row r="118" spans="1:2" x14ac:dyDescent="0.25">
      <c r="A118" t="s">
        <v>103</v>
      </c>
      <c r="B118" s="1">
        <v>0</v>
      </c>
    </row>
    <row r="119" spans="1:2" x14ac:dyDescent="0.25">
      <c r="A119" t="s">
        <v>104</v>
      </c>
      <c r="B119" s="1">
        <v>0</v>
      </c>
    </row>
    <row r="120" spans="1:2" x14ac:dyDescent="0.25">
      <c r="A120" t="s">
        <v>105</v>
      </c>
      <c r="B120" s="1">
        <v>0</v>
      </c>
    </row>
    <row r="121" spans="1:2" x14ac:dyDescent="0.25">
      <c r="A121" t="s">
        <v>106</v>
      </c>
      <c r="B121" s="1">
        <v>0</v>
      </c>
    </row>
    <row r="122" spans="1:2" x14ac:dyDescent="0.25">
      <c r="A122" t="s">
        <v>107</v>
      </c>
      <c r="B122" s="1">
        <v>0</v>
      </c>
    </row>
    <row r="123" spans="1:2" x14ac:dyDescent="0.25">
      <c r="A123" t="s">
        <v>108</v>
      </c>
      <c r="B123" s="1">
        <v>0</v>
      </c>
    </row>
    <row r="124" spans="1:2" x14ac:dyDescent="0.25">
      <c r="A124" t="s">
        <v>109</v>
      </c>
      <c r="B124" s="1">
        <v>0</v>
      </c>
    </row>
    <row r="125" spans="1:2" x14ac:dyDescent="0.25">
      <c r="B125" s="216">
        <f>+B113</f>
        <v>2025</v>
      </c>
    </row>
    <row r="126" spans="1:2" x14ac:dyDescent="0.25">
      <c r="A126" t="s">
        <v>110</v>
      </c>
      <c r="B126" s="1">
        <v>0</v>
      </c>
    </row>
    <row r="127" spans="1:2" x14ac:dyDescent="0.25">
      <c r="A127" t="s">
        <v>111</v>
      </c>
      <c r="B127" s="1">
        <v>0</v>
      </c>
    </row>
    <row r="128" spans="1:2" x14ac:dyDescent="0.25">
      <c r="A128" t="s">
        <v>112</v>
      </c>
      <c r="B128" s="1">
        <v>0</v>
      </c>
    </row>
    <row r="129" spans="1:2" x14ac:dyDescent="0.25">
      <c r="A129" t="s">
        <v>113</v>
      </c>
      <c r="B129" s="1">
        <v>0</v>
      </c>
    </row>
    <row r="130" spans="1:2" x14ac:dyDescent="0.25">
      <c r="A130" t="s">
        <v>114</v>
      </c>
      <c r="B130" s="1">
        <v>0</v>
      </c>
    </row>
    <row r="131" spans="1:2" x14ac:dyDescent="0.25">
      <c r="A131" t="s">
        <v>115</v>
      </c>
      <c r="B131" s="1">
        <v>0</v>
      </c>
    </row>
    <row r="132" spans="1:2" x14ac:dyDescent="0.25">
      <c r="A132" t="s">
        <v>116</v>
      </c>
      <c r="B132" s="1">
        <v>0</v>
      </c>
    </row>
    <row r="133" spans="1:2" x14ac:dyDescent="0.25">
      <c r="A133" t="s">
        <v>117</v>
      </c>
      <c r="B133" s="1">
        <v>0</v>
      </c>
    </row>
    <row r="134" spans="1:2" x14ac:dyDescent="0.25">
      <c r="A134" t="s">
        <v>118</v>
      </c>
      <c r="B134" s="1">
        <v>0</v>
      </c>
    </row>
    <row r="135" spans="1:2" x14ac:dyDescent="0.25">
      <c r="A135" t="s">
        <v>119</v>
      </c>
      <c r="B135" s="1">
        <v>0</v>
      </c>
    </row>
    <row r="136" spans="1:2" x14ac:dyDescent="0.25">
      <c r="A136" t="s">
        <v>120</v>
      </c>
      <c r="B136" s="1">
        <v>0</v>
      </c>
    </row>
    <row r="137" spans="1:2" x14ac:dyDescent="0.25">
      <c r="B137" s="216">
        <f>+B125</f>
        <v>2025</v>
      </c>
    </row>
    <row r="138" spans="1:2" x14ac:dyDescent="0.25">
      <c r="A138" t="s">
        <v>121</v>
      </c>
      <c r="B138" s="1">
        <v>0</v>
      </c>
    </row>
    <row r="139" spans="1:2" x14ac:dyDescent="0.25">
      <c r="A139" t="s">
        <v>122</v>
      </c>
      <c r="B139" s="1">
        <v>0</v>
      </c>
    </row>
    <row r="140" spans="1:2" x14ac:dyDescent="0.25">
      <c r="A140" t="s">
        <v>123</v>
      </c>
      <c r="B140" s="1">
        <v>0</v>
      </c>
    </row>
    <row r="141" spans="1:2" x14ac:dyDescent="0.25">
      <c r="A141" t="s">
        <v>124</v>
      </c>
      <c r="B141" s="1">
        <v>0</v>
      </c>
    </row>
    <row r="142" spans="1:2" x14ac:dyDescent="0.25">
      <c r="A142" t="s">
        <v>125</v>
      </c>
      <c r="B142" s="1">
        <v>0</v>
      </c>
    </row>
    <row r="143" spans="1:2" x14ac:dyDescent="0.25">
      <c r="A143" t="s">
        <v>126</v>
      </c>
      <c r="B143" s="1">
        <v>0</v>
      </c>
    </row>
    <row r="144" spans="1:2" x14ac:dyDescent="0.25">
      <c r="A144" t="s">
        <v>127</v>
      </c>
      <c r="B144" s="1">
        <v>0</v>
      </c>
    </row>
    <row r="145" spans="1:2" x14ac:dyDescent="0.25">
      <c r="A145" t="s">
        <v>128</v>
      </c>
      <c r="B145" s="1">
        <v>0</v>
      </c>
    </row>
    <row r="146" spans="1:2" x14ac:dyDescent="0.25">
      <c r="A146" t="s">
        <v>129</v>
      </c>
      <c r="B146" s="1">
        <v>0</v>
      </c>
    </row>
    <row r="147" spans="1:2" x14ac:dyDescent="0.25">
      <c r="A147" t="s">
        <v>130</v>
      </c>
      <c r="B147" s="1">
        <v>0</v>
      </c>
    </row>
    <row r="148" spans="1:2" x14ac:dyDescent="0.25">
      <c r="A148" t="s">
        <v>131</v>
      </c>
      <c r="B148" s="1">
        <v>0</v>
      </c>
    </row>
    <row r="149" spans="1:2" x14ac:dyDescent="0.25">
      <c r="A149" t="s">
        <v>132</v>
      </c>
      <c r="B149" s="1">
        <v>0</v>
      </c>
    </row>
    <row r="150" spans="1:2" x14ac:dyDescent="0.25">
      <c r="A150" t="s">
        <v>133</v>
      </c>
      <c r="B150" s="1">
        <v>0</v>
      </c>
    </row>
    <row r="151" spans="1:2" x14ac:dyDescent="0.25">
      <c r="A151" t="s">
        <v>134</v>
      </c>
      <c r="B151" s="1">
        <v>0</v>
      </c>
    </row>
    <row r="152" spans="1:2" x14ac:dyDescent="0.25">
      <c r="A152" t="s">
        <v>135</v>
      </c>
      <c r="B152" s="1">
        <v>0</v>
      </c>
    </row>
    <row r="153" spans="1:2" x14ac:dyDescent="0.25">
      <c r="A153" t="s">
        <v>136</v>
      </c>
      <c r="B153" s="1">
        <v>0</v>
      </c>
    </row>
    <row r="154" spans="1:2" x14ac:dyDescent="0.25">
      <c r="A154" t="s">
        <v>137</v>
      </c>
      <c r="B154" s="1">
        <v>0</v>
      </c>
    </row>
    <row r="155" spans="1:2" x14ac:dyDescent="0.25">
      <c r="A155" t="s">
        <v>138</v>
      </c>
      <c r="B155" s="1">
        <v>0</v>
      </c>
    </row>
    <row r="156" spans="1:2" x14ac:dyDescent="0.25">
      <c r="A156" t="s">
        <v>139</v>
      </c>
      <c r="B156" s="1">
        <v>0</v>
      </c>
    </row>
    <row r="157" spans="1:2" x14ac:dyDescent="0.25">
      <c r="B157" s="216">
        <f>+B137</f>
        <v>2025</v>
      </c>
    </row>
    <row r="158" spans="1:2" x14ac:dyDescent="0.25">
      <c r="A158" t="s">
        <v>140</v>
      </c>
      <c r="B158" s="1">
        <v>0</v>
      </c>
    </row>
    <row r="159" spans="1:2" x14ac:dyDescent="0.25">
      <c r="A159" t="s">
        <v>141</v>
      </c>
      <c r="B159" s="1">
        <v>0</v>
      </c>
    </row>
    <row r="160" spans="1:2" x14ac:dyDescent="0.25">
      <c r="A160" t="s">
        <v>142</v>
      </c>
      <c r="B160" s="1">
        <v>0</v>
      </c>
    </row>
    <row r="161" spans="1:2" x14ac:dyDescent="0.25">
      <c r="A161" t="s">
        <v>143</v>
      </c>
      <c r="B161" s="1">
        <v>0</v>
      </c>
    </row>
    <row r="162" spans="1:2" x14ac:dyDescent="0.25">
      <c r="A162" t="s">
        <v>144</v>
      </c>
      <c r="B162" s="1">
        <v>0</v>
      </c>
    </row>
    <row r="163" spans="1:2" x14ac:dyDescent="0.25">
      <c r="A163" t="s">
        <v>145</v>
      </c>
      <c r="B163" s="1">
        <v>0</v>
      </c>
    </row>
    <row r="164" spans="1:2" x14ac:dyDescent="0.25">
      <c r="A164" t="s">
        <v>146</v>
      </c>
      <c r="B164" s="1">
        <v>0</v>
      </c>
    </row>
    <row r="165" spans="1:2" x14ac:dyDescent="0.25">
      <c r="A165" t="s">
        <v>147</v>
      </c>
      <c r="B165" s="1">
        <v>0</v>
      </c>
    </row>
    <row r="166" spans="1:2" x14ac:dyDescent="0.25">
      <c r="A166" t="s">
        <v>148</v>
      </c>
      <c r="B166" s="1">
        <v>0</v>
      </c>
    </row>
    <row r="167" spans="1:2" x14ac:dyDescent="0.25">
      <c r="A167" t="s">
        <v>149</v>
      </c>
      <c r="B167" s="1">
        <v>0</v>
      </c>
    </row>
    <row r="168" spans="1:2" x14ac:dyDescent="0.25">
      <c r="A168" t="s">
        <v>150</v>
      </c>
      <c r="B168" s="1">
        <v>0</v>
      </c>
    </row>
    <row r="169" spans="1:2" x14ac:dyDescent="0.25">
      <c r="B169" s="216">
        <f>+B157</f>
        <v>2025</v>
      </c>
    </row>
    <row r="170" spans="1:2" x14ac:dyDescent="0.25">
      <c r="A170" t="s">
        <v>151</v>
      </c>
      <c r="B170" s="1">
        <v>0</v>
      </c>
    </row>
    <row r="171" spans="1:2" x14ac:dyDescent="0.25">
      <c r="A171" t="s">
        <v>152</v>
      </c>
      <c r="B171" s="1">
        <v>0</v>
      </c>
    </row>
    <row r="172" spans="1:2" x14ac:dyDescent="0.25">
      <c r="A172" t="s">
        <v>153</v>
      </c>
      <c r="B172" s="1">
        <v>0</v>
      </c>
    </row>
    <row r="173" spans="1:2" x14ac:dyDescent="0.25">
      <c r="A173" t="s">
        <v>154</v>
      </c>
      <c r="B173" s="1">
        <v>0</v>
      </c>
    </row>
    <row r="174" spans="1:2" x14ac:dyDescent="0.25">
      <c r="A174" t="s">
        <v>155</v>
      </c>
      <c r="B174" s="1">
        <v>0</v>
      </c>
    </row>
    <row r="175" spans="1:2" x14ac:dyDescent="0.25">
      <c r="A175" t="s">
        <v>156</v>
      </c>
      <c r="B175" s="1">
        <v>0</v>
      </c>
    </row>
    <row r="176" spans="1:2" x14ac:dyDescent="0.25">
      <c r="A176" t="s">
        <v>157</v>
      </c>
      <c r="B176" s="1">
        <v>0</v>
      </c>
    </row>
    <row r="177" spans="1:2" x14ac:dyDescent="0.25">
      <c r="A177" t="s">
        <v>158</v>
      </c>
      <c r="B177" s="1">
        <v>0</v>
      </c>
    </row>
    <row r="178" spans="1:2" x14ac:dyDescent="0.25">
      <c r="A178" t="s">
        <v>159</v>
      </c>
      <c r="B178" s="1">
        <v>0</v>
      </c>
    </row>
    <row r="179" spans="1:2" x14ac:dyDescent="0.25">
      <c r="A179" t="s">
        <v>160</v>
      </c>
      <c r="B179" s="1">
        <v>0</v>
      </c>
    </row>
    <row r="180" spans="1:2" x14ac:dyDescent="0.25">
      <c r="A180" t="s">
        <v>161</v>
      </c>
      <c r="B180" s="1">
        <v>0</v>
      </c>
    </row>
    <row r="181" spans="1:2" x14ac:dyDescent="0.25">
      <c r="A181" t="s">
        <v>162</v>
      </c>
      <c r="B181" s="1">
        <v>0</v>
      </c>
    </row>
    <row r="182" spans="1:2" x14ac:dyDescent="0.25">
      <c r="A182" t="s">
        <v>897</v>
      </c>
      <c r="B182" s="1">
        <v>0</v>
      </c>
    </row>
    <row r="183" spans="1:2" x14ac:dyDescent="0.25">
      <c r="A183" t="s">
        <v>898</v>
      </c>
      <c r="B183" s="1">
        <v>0</v>
      </c>
    </row>
    <row r="184" spans="1:2" x14ac:dyDescent="0.25">
      <c r="A184" t="s">
        <v>899</v>
      </c>
      <c r="B184" s="1">
        <v>0</v>
      </c>
    </row>
    <row r="185" spans="1:2" x14ac:dyDescent="0.25">
      <c r="A185" t="s">
        <v>900</v>
      </c>
      <c r="B185" s="1">
        <v>0</v>
      </c>
    </row>
    <row r="186" spans="1:2" x14ac:dyDescent="0.25">
      <c r="A186" t="s">
        <v>163</v>
      </c>
      <c r="B186" s="1">
        <v>0</v>
      </c>
    </row>
    <row r="187" spans="1:2" x14ac:dyDescent="0.25">
      <c r="A187" t="s">
        <v>164</v>
      </c>
      <c r="B187" s="1">
        <v>0</v>
      </c>
    </row>
    <row r="188" spans="1:2" x14ac:dyDescent="0.25">
      <c r="A188" t="s">
        <v>165</v>
      </c>
      <c r="B188" s="1">
        <v>0</v>
      </c>
    </row>
    <row r="189" spans="1:2" x14ac:dyDescent="0.25">
      <c r="A189" t="s">
        <v>166</v>
      </c>
      <c r="B189" s="1">
        <v>0</v>
      </c>
    </row>
    <row r="190" spans="1:2" x14ac:dyDescent="0.25">
      <c r="A190" t="s">
        <v>167</v>
      </c>
      <c r="B190" s="1">
        <v>0</v>
      </c>
    </row>
    <row r="191" spans="1:2" x14ac:dyDescent="0.25">
      <c r="A191" t="s">
        <v>168</v>
      </c>
      <c r="B191" s="1">
        <v>0</v>
      </c>
    </row>
    <row r="192" spans="1:2" x14ac:dyDescent="0.25">
      <c r="A192" t="s">
        <v>169</v>
      </c>
      <c r="B192" s="1">
        <v>0</v>
      </c>
    </row>
    <row r="193" spans="1:2" x14ac:dyDescent="0.25">
      <c r="A193" t="s">
        <v>170</v>
      </c>
      <c r="B193" s="1">
        <v>0</v>
      </c>
    </row>
    <row r="194" spans="1:2" x14ac:dyDescent="0.25">
      <c r="A194" t="s">
        <v>171</v>
      </c>
      <c r="B194" s="1">
        <v>0</v>
      </c>
    </row>
    <row r="195" spans="1:2" x14ac:dyDescent="0.25">
      <c r="A195" t="s">
        <v>172</v>
      </c>
      <c r="B195" s="1">
        <v>0</v>
      </c>
    </row>
    <row r="196" spans="1:2" x14ac:dyDescent="0.25">
      <c r="A196" t="s">
        <v>173</v>
      </c>
      <c r="B196" s="1">
        <v>0</v>
      </c>
    </row>
    <row r="197" spans="1:2" x14ac:dyDescent="0.25">
      <c r="B197" s="216">
        <f>+B169</f>
        <v>2025</v>
      </c>
    </row>
    <row r="198" spans="1:2" x14ac:dyDescent="0.25">
      <c r="A198" t="s">
        <v>174</v>
      </c>
      <c r="B198" s="1">
        <v>0</v>
      </c>
    </row>
    <row r="199" spans="1:2" x14ac:dyDescent="0.25">
      <c r="A199" t="s">
        <v>175</v>
      </c>
      <c r="B199" s="1">
        <v>0</v>
      </c>
    </row>
    <row r="200" spans="1:2" x14ac:dyDescent="0.25">
      <c r="A200" t="s">
        <v>176</v>
      </c>
      <c r="B200" s="1">
        <v>0</v>
      </c>
    </row>
    <row r="201" spans="1:2" x14ac:dyDescent="0.25">
      <c r="A201" t="s">
        <v>177</v>
      </c>
      <c r="B201" s="1">
        <v>0</v>
      </c>
    </row>
    <row r="202" spans="1:2" x14ac:dyDescent="0.25">
      <c r="A202" t="s">
        <v>178</v>
      </c>
      <c r="B202" s="1">
        <v>0</v>
      </c>
    </row>
    <row r="203" spans="1:2" x14ac:dyDescent="0.25">
      <c r="A203" t="s">
        <v>179</v>
      </c>
      <c r="B203" s="1">
        <v>0</v>
      </c>
    </row>
    <row r="204" spans="1:2" x14ac:dyDescent="0.25">
      <c r="A204" t="s">
        <v>180</v>
      </c>
      <c r="B204" s="1">
        <v>0</v>
      </c>
    </row>
    <row r="205" spans="1:2" x14ac:dyDescent="0.25">
      <c r="A205" t="s">
        <v>181</v>
      </c>
      <c r="B205" s="1">
        <v>0</v>
      </c>
    </row>
    <row r="206" spans="1:2" x14ac:dyDescent="0.25">
      <c r="A206" t="s">
        <v>182</v>
      </c>
      <c r="B206" s="1">
        <v>0</v>
      </c>
    </row>
    <row r="207" spans="1:2" x14ac:dyDescent="0.25">
      <c r="A207" t="s">
        <v>183</v>
      </c>
      <c r="B207" s="1">
        <v>0</v>
      </c>
    </row>
    <row r="208" spans="1:2" x14ac:dyDescent="0.25">
      <c r="A208" t="s">
        <v>184</v>
      </c>
      <c r="B208" s="1">
        <v>0</v>
      </c>
    </row>
    <row r="209" spans="1:2" x14ac:dyDescent="0.25">
      <c r="A209" t="s">
        <v>185</v>
      </c>
      <c r="B209" s="1">
        <v>0</v>
      </c>
    </row>
    <row r="210" spans="1:2" x14ac:dyDescent="0.25">
      <c r="A210" t="s">
        <v>901</v>
      </c>
      <c r="B210" s="1">
        <v>0</v>
      </c>
    </row>
    <row r="211" spans="1:2" x14ac:dyDescent="0.25">
      <c r="A211" t="s">
        <v>902</v>
      </c>
      <c r="B211" s="1">
        <v>0</v>
      </c>
    </row>
    <row r="212" spans="1:2" x14ac:dyDescent="0.25">
      <c r="A212" t="s">
        <v>903</v>
      </c>
      <c r="B212" s="1">
        <v>0</v>
      </c>
    </row>
    <row r="213" spans="1:2" x14ac:dyDescent="0.25">
      <c r="A213" t="s">
        <v>904</v>
      </c>
      <c r="B213" s="1">
        <v>0</v>
      </c>
    </row>
    <row r="214" spans="1:2" x14ac:dyDescent="0.25">
      <c r="A214" t="s">
        <v>186</v>
      </c>
      <c r="B214" s="1">
        <v>0</v>
      </c>
    </row>
    <row r="215" spans="1:2" x14ac:dyDescent="0.25">
      <c r="A215" t="s">
        <v>187</v>
      </c>
      <c r="B215" s="1">
        <v>0</v>
      </c>
    </row>
    <row r="216" spans="1:2" x14ac:dyDescent="0.25">
      <c r="A216" t="s">
        <v>188</v>
      </c>
      <c r="B216" s="1">
        <v>0</v>
      </c>
    </row>
    <row r="217" spans="1:2" x14ac:dyDescent="0.25">
      <c r="A217" t="s">
        <v>189</v>
      </c>
      <c r="B217" s="1">
        <v>0</v>
      </c>
    </row>
    <row r="218" spans="1:2" x14ac:dyDescent="0.25">
      <c r="A218" t="s">
        <v>190</v>
      </c>
      <c r="B218" s="1">
        <v>0</v>
      </c>
    </row>
    <row r="219" spans="1:2" x14ac:dyDescent="0.25">
      <c r="A219" t="s">
        <v>191</v>
      </c>
      <c r="B219" s="1">
        <v>0</v>
      </c>
    </row>
    <row r="220" spans="1:2" x14ac:dyDescent="0.25">
      <c r="A220" t="s">
        <v>192</v>
      </c>
      <c r="B220" s="1">
        <v>0</v>
      </c>
    </row>
    <row r="221" spans="1:2" x14ac:dyDescent="0.25">
      <c r="A221" t="s">
        <v>193</v>
      </c>
      <c r="B221" s="1">
        <v>0</v>
      </c>
    </row>
    <row r="222" spans="1:2" x14ac:dyDescent="0.25">
      <c r="A222" t="s">
        <v>194</v>
      </c>
      <c r="B222" s="1">
        <v>0</v>
      </c>
    </row>
    <row r="223" spans="1:2" x14ac:dyDescent="0.25">
      <c r="A223" t="s">
        <v>195</v>
      </c>
      <c r="B223" s="1">
        <v>0</v>
      </c>
    </row>
    <row r="224" spans="1:2" x14ac:dyDescent="0.25">
      <c r="A224" t="s">
        <v>196</v>
      </c>
      <c r="B224" s="1">
        <v>0</v>
      </c>
    </row>
    <row r="225" spans="1:102" x14ac:dyDescent="0.25">
      <c r="A225" t="s">
        <v>197</v>
      </c>
      <c r="B225" s="1">
        <v>0</v>
      </c>
    </row>
    <row r="226" spans="1:102" x14ac:dyDescent="0.25">
      <c r="A226" t="s">
        <v>198</v>
      </c>
      <c r="B226" s="1">
        <v>0</v>
      </c>
    </row>
    <row r="227" spans="1:102" x14ac:dyDescent="0.25">
      <c r="A227" t="s">
        <v>199</v>
      </c>
      <c r="B227" s="1">
        <v>0</v>
      </c>
    </row>
    <row r="228" spans="1:102" x14ac:dyDescent="0.25">
      <c r="A228" t="s">
        <v>200</v>
      </c>
      <c r="B228" s="1">
        <v>0</v>
      </c>
    </row>
    <row r="229" spans="1:102" x14ac:dyDescent="0.25">
      <c r="B229" s="216">
        <f>+B197</f>
        <v>2025</v>
      </c>
    </row>
    <row r="230" spans="1:102" x14ac:dyDescent="0.25">
      <c r="A230" t="s">
        <v>201</v>
      </c>
      <c r="B230" s="1">
        <v>8585.9699999999993</v>
      </c>
    </row>
    <row r="231" spans="1:102" x14ac:dyDescent="0.25">
      <c r="A231" t="s">
        <v>202</v>
      </c>
      <c r="B231" s="1">
        <v>258036919.94000003</v>
      </c>
    </row>
    <row r="232" spans="1:102" x14ac:dyDescent="0.25">
      <c r="A232" t="s">
        <v>203</v>
      </c>
      <c r="B232" s="1">
        <v>643420.91999999993</v>
      </c>
    </row>
    <row r="233" spans="1:102" x14ac:dyDescent="0.25">
      <c r="A233" t="s">
        <v>204</v>
      </c>
      <c r="B233" s="1">
        <v>119020.6</v>
      </c>
    </row>
    <row r="234" spans="1:102" x14ac:dyDescent="0.25">
      <c r="A234" t="s">
        <v>205</v>
      </c>
      <c r="B234" s="1">
        <v>0</v>
      </c>
    </row>
    <row r="235" spans="1:102" x14ac:dyDescent="0.25">
      <c r="A235" t="s">
        <v>206</v>
      </c>
      <c r="B235" s="1">
        <v>8648581.2500000019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</row>
    <row r="236" spans="1:102" x14ac:dyDescent="0.25">
      <c r="A236" t="s">
        <v>207</v>
      </c>
      <c r="B236" s="1">
        <v>36522320.990000002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</row>
    <row r="237" spans="1:102" x14ac:dyDescent="0.25">
      <c r="B237" s="216">
        <f>+B229</f>
        <v>2025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</row>
    <row r="238" spans="1:102" x14ac:dyDescent="0.25">
      <c r="A238" t="s">
        <v>208</v>
      </c>
      <c r="B238" s="1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</row>
    <row r="239" spans="1:102" x14ac:dyDescent="0.25">
      <c r="A239" t="s">
        <v>209</v>
      </c>
      <c r="B239" s="1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</row>
    <row r="240" spans="1:102" x14ac:dyDescent="0.25">
      <c r="A240" t="s">
        <v>210</v>
      </c>
      <c r="B240" s="1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</row>
    <row r="241" spans="1:102" x14ac:dyDescent="0.25">
      <c r="A241" t="s">
        <v>211</v>
      </c>
      <c r="B241" s="1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</row>
    <row r="242" spans="1:102" x14ac:dyDescent="0.25">
      <c r="A242" t="s">
        <v>212</v>
      </c>
      <c r="B242" s="1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</row>
    <row r="243" spans="1:102" x14ac:dyDescent="0.25">
      <c r="A243" t="s">
        <v>213</v>
      </c>
      <c r="B243" s="1">
        <v>0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</row>
    <row r="244" spans="1:102" x14ac:dyDescent="0.25">
      <c r="A244" t="s">
        <v>214</v>
      </c>
      <c r="B244" s="1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</row>
    <row r="245" spans="1:102" x14ac:dyDescent="0.25">
      <c r="B245" s="216">
        <f>+B237</f>
        <v>2025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</row>
    <row r="246" spans="1:102" x14ac:dyDescent="0.25">
      <c r="A246" t="s">
        <v>215</v>
      </c>
      <c r="B246" s="1">
        <v>13410.59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</row>
    <row r="247" spans="1:102" x14ac:dyDescent="0.25">
      <c r="A247" t="s">
        <v>216</v>
      </c>
      <c r="B247" s="1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</row>
    <row r="248" spans="1:102" x14ac:dyDescent="0.25">
      <c r="A248" t="s">
        <v>217</v>
      </c>
      <c r="B248" s="1">
        <v>1016612180.4000001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</row>
    <row r="249" spans="1:102" x14ac:dyDescent="0.25">
      <c r="A249" t="s">
        <v>218</v>
      </c>
      <c r="B249" s="1">
        <v>248779523.58000001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</row>
    <row r="250" spans="1:102" x14ac:dyDescent="0.25">
      <c r="A250" t="s">
        <v>219</v>
      </c>
      <c r="B250" s="1">
        <v>415471244.3499999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</row>
    <row r="251" spans="1:102" x14ac:dyDescent="0.25">
      <c r="A251" t="s">
        <v>905</v>
      </c>
      <c r="B251" s="1">
        <v>352361412.5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</row>
    <row r="252" spans="1:102" x14ac:dyDescent="0.25">
      <c r="A252" t="s">
        <v>220</v>
      </c>
      <c r="B252" s="1">
        <v>1889371.7599999998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</row>
    <row r="253" spans="1:102" x14ac:dyDescent="0.25">
      <c r="A253" t="s">
        <v>221</v>
      </c>
      <c r="B253" s="1">
        <v>1782107.3599999999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</row>
    <row r="254" spans="1:102" x14ac:dyDescent="0.25">
      <c r="A254" t="s">
        <v>222</v>
      </c>
      <c r="B254" s="1">
        <v>888508.25000000023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</row>
    <row r="255" spans="1:102" x14ac:dyDescent="0.25">
      <c r="A255" t="s">
        <v>223</v>
      </c>
      <c r="B255" s="1">
        <v>0</v>
      </c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</row>
    <row r="256" spans="1:102" x14ac:dyDescent="0.25">
      <c r="A256" t="s">
        <v>224</v>
      </c>
      <c r="B256" s="1">
        <v>27346246.359999999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</row>
    <row r="257" spans="1:102" x14ac:dyDescent="0.25">
      <c r="A257" t="s">
        <v>225</v>
      </c>
      <c r="B257" s="1">
        <v>109285189.06999999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</row>
    <row r="258" spans="1:102" x14ac:dyDescent="0.25">
      <c r="B258" s="216">
        <f>+B245</f>
        <v>2025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</row>
    <row r="259" spans="1:102" x14ac:dyDescent="0.25">
      <c r="A259" t="s">
        <v>226</v>
      </c>
      <c r="B259" s="1">
        <v>1453.39</v>
      </c>
    </row>
    <row r="260" spans="1:102" x14ac:dyDescent="0.25">
      <c r="A260" t="s">
        <v>227</v>
      </c>
      <c r="B260" s="1">
        <v>206383974.81</v>
      </c>
    </row>
    <row r="261" spans="1:102" x14ac:dyDescent="0.25">
      <c r="A261" t="s">
        <v>228</v>
      </c>
      <c r="B261" s="1">
        <v>48628378.119999997</v>
      </c>
    </row>
    <row r="262" spans="1:102" x14ac:dyDescent="0.25">
      <c r="A262" t="s">
        <v>229</v>
      </c>
      <c r="B262" s="1">
        <v>90293366.529999986</v>
      </c>
    </row>
    <row r="263" spans="1:102" x14ac:dyDescent="0.25">
      <c r="A263" t="s">
        <v>906</v>
      </c>
      <c r="B263" s="1">
        <v>67462230.159999996</v>
      </c>
    </row>
    <row r="264" spans="1:102" x14ac:dyDescent="0.25">
      <c r="A264" t="s">
        <v>230</v>
      </c>
      <c r="B264" s="1">
        <v>592550.41</v>
      </c>
    </row>
    <row r="265" spans="1:102" x14ac:dyDescent="0.25">
      <c r="A265" t="s">
        <v>231</v>
      </c>
      <c r="B265" s="1">
        <v>544911</v>
      </c>
    </row>
    <row r="266" spans="1:102" x14ac:dyDescent="0.25">
      <c r="A266" t="s">
        <v>232</v>
      </c>
      <c r="B266" s="1">
        <v>0</v>
      </c>
    </row>
    <row r="267" spans="1:102" x14ac:dyDescent="0.25">
      <c r="A267" t="s">
        <v>233</v>
      </c>
      <c r="B267" s="1">
        <v>0</v>
      </c>
    </row>
    <row r="268" spans="1:102" x14ac:dyDescent="0.25">
      <c r="A268" t="s">
        <v>234</v>
      </c>
      <c r="B268" s="1">
        <v>21361563.730000004</v>
      </c>
    </row>
    <row r="269" spans="1:102" x14ac:dyDescent="0.25">
      <c r="A269" t="s">
        <v>235</v>
      </c>
      <c r="B269" s="1">
        <v>2681653.2299999995</v>
      </c>
    </row>
    <row r="270" spans="1:102" x14ac:dyDescent="0.25">
      <c r="B270" s="216">
        <f>+B258</f>
        <v>2025</v>
      </c>
    </row>
    <row r="271" spans="1:102" x14ac:dyDescent="0.25">
      <c r="A271" t="s">
        <v>236</v>
      </c>
      <c r="B271" s="1">
        <v>0</v>
      </c>
    </row>
    <row r="272" spans="1:102" x14ac:dyDescent="0.25">
      <c r="A272" t="s">
        <v>237</v>
      </c>
      <c r="B272" s="1">
        <v>0</v>
      </c>
    </row>
    <row r="273" spans="1:2" x14ac:dyDescent="0.25">
      <c r="A273" t="s">
        <v>238</v>
      </c>
      <c r="B273" s="1">
        <v>0</v>
      </c>
    </row>
    <row r="274" spans="1:2" x14ac:dyDescent="0.25">
      <c r="A274" t="s">
        <v>239</v>
      </c>
      <c r="B274" s="1">
        <v>0</v>
      </c>
    </row>
    <row r="275" spans="1:2" x14ac:dyDescent="0.25">
      <c r="A275" t="s">
        <v>240</v>
      </c>
      <c r="B275" s="1">
        <v>0</v>
      </c>
    </row>
    <row r="276" spans="1:2" x14ac:dyDescent="0.25">
      <c r="A276" t="s">
        <v>241</v>
      </c>
      <c r="B276" s="1">
        <v>0</v>
      </c>
    </row>
    <row r="277" spans="1:2" x14ac:dyDescent="0.25">
      <c r="A277" t="s">
        <v>242</v>
      </c>
      <c r="B277" s="1">
        <v>0</v>
      </c>
    </row>
    <row r="278" spans="1:2" x14ac:dyDescent="0.25">
      <c r="A278" t="s">
        <v>243</v>
      </c>
      <c r="B278" s="1">
        <v>0</v>
      </c>
    </row>
    <row r="279" spans="1:2" x14ac:dyDescent="0.25">
      <c r="A279" t="s">
        <v>244</v>
      </c>
      <c r="B279" s="1">
        <v>0</v>
      </c>
    </row>
    <row r="280" spans="1:2" x14ac:dyDescent="0.25">
      <c r="A280" t="s">
        <v>245</v>
      </c>
      <c r="B280" s="1">
        <v>0</v>
      </c>
    </row>
    <row r="281" spans="1:2" x14ac:dyDescent="0.25">
      <c r="A281" t="s">
        <v>246</v>
      </c>
      <c r="B281" s="1">
        <v>0</v>
      </c>
    </row>
    <row r="282" spans="1:2" x14ac:dyDescent="0.25">
      <c r="A282" t="s">
        <v>247</v>
      </c>
      <c r="B282" s="1">
        <v>0</v>
      </c>
    </row>
    <row r="283" spans="1:2" x14ac:dyDescent="0.25">
      <c r="B283" s="216">
        <f>+B270</f>
        <v>2025</v>
      </c>
    </row>
    <row r="284" spans="1:2" x14ac:dyDescent="0.25">
      <c r="A284" t="s">
        <v>248</v>
      </c>
      <c r="B284" s="1">
        <v>0</v>
      </c>
    </row>
    <row r="285" spans="1:2" x14ac:dyDescent="0.25">
      <c r="A285" t="s">
        <v>249</v>
      </c>
      <c r="B285" s="1">
        <v>0</v>
      </c>
    </row>
    <row r="286" spans="1:2" x14ac:dyDescent="0.25">
      <c r="A286" t="s">
        <v>250</v>
      </c>
      <c r="B286" s="1">
        <v>0</v>
      </c>
    </row>
    <row r="287" spans="1:2" x14ac:dyDescent="0.25">
      <c r="A287" t="s">
        <v>251</v>
      </c>
      <c r="B287" s="1">
        <v>0</v>
      </c>
    </row>
    <row r="288" spans="1:2" x14ac:dyDescent="0.25">
      <c r="A288" t="s">
        <v>252</v>
      </c>
      <c r="B288" s="1">
        <v>0</v>
      </c>
    </row>
    <row r="289" spans="1:2" x14ac:dyDescent="0.25">
      <c r="A289" t="s">
        <v>253</v>
      </c>
      <c r="B289" s="1">
        <v>0</v>
      </c>
    </row>
    <row r="290" spans="1:2" x14ac:dyDescent="0.25">
      <c r="A290" t="s">
        <v>254</v>
      </c>
      <c r="B290" s="1">
        <v>0</v>
      </c>
    </row>
    <row r="291" spans="1:2" x14ac:dyDescent="0.25">
      <c r="A291" t="s">
        <v>255</v>
      </c>
      <c r="B291" s="1">
        <v>0</v>
      </c>
    </row>
    <row r="292" spans="1:2" x14ac:dyDescent="0.25">
      <c r="A292" t="s">
        <v>256</v>
      </c>
      <c r="B292" s="1">
        <v>0</v>
      </c>
    </row>
    <row r="293" spans="1:2" x14ac:dyDescent="0.25">
      <c r="A293" t="s">
        <v>257</v>
      </c>
      <c r="B293" s="1">
        <v>0</v>
      </c>
    </row>
    <row r="294" spans="1:2" x14ac:dyDescent="0.25">
      <c r="A294" t="s">
        <v>258</v>
      </c>
      <c r="B294" s="1">
        <v>0</v>
      </c>
    </row>
    <row r="295" spans="1:2" x14ac:dyDescent="0.25">
      <c r="A295" t="s">
        <v>259</v>
      </c>
      <c r="B295" s="1">
        <v>0</v>
      </c>
    </row>
    <row r="296" spans="1:2" x14ac:dyDescent="0.25">
      <c r="B296" s="216">
        <f>+B283</f>
        <v>2025</v>
      </c>
    </row>
    <row r="297" spans="1:2" x14ac:dyDescent="0.25">
      <c r="A297" t="s">
        <v>260</v>
      </c>
      <c r="B297" s="1">
        <v>357</v>
      </c>
    </row>
    <row r="298" spans="1:2" x14ac:dyDescent="0.25">
      <c r="A298" t="s">
        <v>261</v>
      </c>
      <c r="B298" s="1">
        <v>16818796.420000002</v>
      </c>
    </row>
    <row r="299" spans="1:2" x14ac:dyDescent="0.25">
      <c r="A299" t="s">
        <v>262</v>
      </c>
      <c r="B299" s="1">
        <v>0</v>
      </c>
    </row>
    <row r="300" spans="1:2" x14ac:dyDescent="0.25">
      <c r="A300" t="s">
        <v>263</v>
      </c>
      <c r="B300" s="1">
        <v>0</v>
      </c>
    </row>
    <row r="301" spans="1:2" x14ac:dyDescent="0.25">
      <c r="A301" t="s">
        <v>264</v>
      </c>
      <c r="B301" s="1">
        <v>13564899</v>
      </c>
    </row>
    <row r="302" spans="1:2" x14ac:dyDescent="0.25">
      <c r="A302" t="s">
        <v>265</v>
      </c>
      <c r="B302" s="1">
        <v>0</v>
      </c>
    </row>
    <row r="303" spans="1:2" x14ac:dyDescent="0.25">
      <c r="B303" s="216">
        <f>+B296</f>
        <v>2025</v>
      </c>
    </row>
    <row r="304" spans="1:2" x14ac:dyDescent="0.25">
      <c r="A304" t="s">
        <v>266</v>
      </c>
      <c r="B304" s="1">
        <v>11421394</v>
      </c>
    </row>
    <row r="305" spans="1:2" x14ac:dyDescent="0.25">
      <c r="A305" t="s">
        <v>267</v>
      </c>
      <c r="B305" s="1">
        <v>2791389</v>
      </c>
    </row>
    <row r="306" spans="1:2" x14ac:dyDescent="0.25">
      <c r="A306" t="s">
        <v>268</v>
      </c>
      <c r="B306" s="1">
        <v>4737594</v>
      </c>
    </row>
    <row r="307" spans="1:2" x14ac:dyDescent="0.25">
      <c r="A307" t="s">
        <v>908</v>
      </c>
      <c r="B307" s="1">
        <v>3892412</v>
      </c>
    </row>
    <row r="308" spans="1:2" x14ac:dyDescent="0.25">
      <c r="A308" t="s">
        <v>269</v>
      </c>
      <c r="B308" s="1">
        <v>29992</v>
      </c>
    </row>
    <row r="309" spans="1:2" x14ac:dyDescent="0.25">
      <c r="A309" t="s">
        <v>270</v>
      </c>
      <c r="B309" s="1">
        <v>36889</v>
      </c>
    </row>
    <row r="310" spans="1:2" x14ac:dyDescent="0.25">
      <c r="B310" s="216">
        <f>+B303</f>
        <v>2025</v>
      </c>
    </row>
    <row r="311" spans="1:2" x14ac:dyDescent="0.25">
      <c r="A311" t="s">
        <v>271</v>
      </c>
      <c r="B311" s="1">
        <v>5397401</v>
      </c>
    </row>
    <row r="312" spans="1:2" x14ac:dyDescent="0.25">
      <c r="A312" t="s">
        <v>272</v>
      </c>
      <c r="B312" s="1">
        <v>1319125</v>
      </c>
    </row>
    <row r="313" spans="1:2" x14ac:dyDescent="0.25">
      <c r="A313" t="s">
        <v>273</v>
      </c>
      <c r="B313" s="1">
        <v>2238841</v>
      </c>
    </row>
    <row r="314" spans="1:2" x14ac:dyDescent="0.25">
      <c r="A314" t="s">
        <v>907</v>
      </c>
      <c r="B314" s="1">
        <v>1839435</v>
      </c>
    </row>
    <row r="315" spans="1:2" x14ac:dyDescent="0.25">
      <c r="A315" t="s">
        <v>274</v>
      </c>
      <c r="B315" s="1">
        <v>88264.959999999992</v>
      </c>
    </row>
    <row r="316" spans="1:2" x14ac:dyDescent="0.25">
      <c r="A316" t="s">
        <v>275</v>
      </c>
      <c r="B316" s="1">
        <v>38276.910000000003</v>
      </c>
    </row>
    <row r="317" spans="1:2" x14ac:dyDescent="0.25">
      <c r="A317" t="s">
        <v>276</v>
      </c>
      <c r="B317" s="1">
        <v>176054.62</v>
      </c>
    </row>
    <row r="318" spans="1:2" x14ac:dyDescent="0.25">
      <c r="B318" s="216">
        <f>+B310</f>
        <v>2025</v>
      </c>
    </row>
    <row r="319" spans="1:2" x14ac:dyDescent="0.25">
      <c r="A319" t="s">
        <v>277</v>
      </c>
      <c r="B319" s="1">
        <v>2586</v>
      </c>
    </row>
    <row r="320" spans="1:2" x14ac:dyDescent="0.25">
      <c r="A320" t="s">
        <v>278</v>
      </c>
      <c r="B320" s="1">
        <v>527955355.80000001</v>
      </c>
    </row>
    <row r="321" spans="1:2" x14ac:dyDescent="0.25">
      <c r="A321" t="s">
        <v>279</v>
      </c>
      <c r="B321" s="1">
        <v>0</v>
      </c>
    </row>
    <row r="322" spans="1:2" x14ac:dyDescent="0.25">
      <c r="A322" t="s">
        <v>280</v>
      </c>
      <c r="B322" s="1">
        <v>0</v>
      </c>
    </row>
    <row r="323" spans="1:2" x14ac:dyDescent="0.25">
      <c r="A323" t="s">
        <v>281</v>
      </c>
      <c r="B323" s="1">
        <v>32205932</v>
      </c>
    </row>
    <row r="324" spans="1:2" x14ac:dyDescent="0.25">
      <c r="A324" t="s">
        <v>282</v>
      </c>
      <c r="B324" s="1">
        <v>117948</v>
      </c>
    </row>
    <row r="325" spans="1:2" x14ac:dyDescent="0.25">
      <c r="B325" s="216">
        <f>+B318</f>
        <v>2025</v>
      </c>
    </row>
    <row r="326" spans="1:2" x14ac:dyDescent="0.25">
      <c r="A326" t="s">
        <v>283</v>
      </c>
      <c r="B326" s="1">
        <v>320972340</v>
      </c>
    </row>
    <row r="327" spans="1:2" x14ac:dyDescent="0.25">
      <c r="A327" t="s">
        <v>284</v>
      </c>
      <c r="B327" s="1">
        <v>78131088</v>
      </c>
    </row>
    <row r="328" spans="1:2" x14ac:dyDescent="0.25">
      <c r="A328" t="s">
        <v>285</v>
      </c>
      <c r="B328" s="1">
        <v>126482360</v>
      </c>
    </row>
    <row r="329" spans="1:2" x14ac:dyDescent="0.25">
      <c r="A329" t="s">
        <v>909</v>
      </c>
      <c r="B329" s="1">
        <v>116358893</v>
      </c>
    </row>
    <row r="330" spans="1:2" x14ac:dyDescent="0.25">
      <c r="A330" t="s">
        <v>286</v>
      </c>
      <c r="B330" s="1">
        <v>516200</v>
      </c>
    </row>
    <row r="331" spans="1:2" x14ac:dyDescent="0.25">
      <c r="A331" t="s">
        <v>287</v>
      </c>
      <c r="B331" s="1">
        <v>482199</v>
      </c>
    </row>
    <row r="332" spans="1:2" x14ac:dyDescent="0.25">
      <c r="B332" s="216">
        <f>+B325</f>
        <v>2025</v>
      </c>
    </row>
    <row r="333" spans="1:2" x14ac:dyDescent="0.25">
      <c r="A333" t="s">
        <v>288</v>
      </c>
      <c r="B333" s="1">
        <v>206983015</v>
      </c>
    </row>
    <row r="334" spans="1:2" x14ac:dyDescent="0.25">
      <c r="A334" t="s">
        <v>289</v>
      </c>
      <c r="B334" s="1">
        <v>50383806</v>
      </c>
    </row>
    <row r="335" spans="1:2" x14ac:dyDescent="0.25">
      <c r="A335" t="s">
        <v>290</v>
      </c>
      <c r="B335" s="1">
        <v>81563729</v>
      </c>
    </row>
    <row r="336" spans="1:2" x14ac:dyDescent="0.25">
      <c r="A336" t="s">
        <v>910</v>
      </c>
      <c r="B336" s="1">
        <v>75035481</v>
      </c>
    </row>
    <row r="337" spans="1:3" x14ac:dyDescent="0.25">
      <c r="A337" t="s">
        <v>291</v>
      </c>
      <c r="B337" s="1">
        <v>1691238.35</v>
      </c>
    </row>
    <row r="338" spans="1:3" x14ac:dyDescent="0.25">
      <c r="A338" t="s">
        <v>292</v>
      </c>
      <c r="B338" s="1">
        <v>355036.50000000006</v>
      </c>
    </row>
    <row r="339" spans="1:3" x14ac:dyDescent="0.25">
      <c r="A339" t="s">
        <v>293</v>
      </c>
      <c r="B339" s="1">
        <v>8856473.9799999986</v>
      </c>
    </row>
    <row r="340" spans="1:3" x14ac:dyDescent="0.25">
      <c r="B340" s="216">
        <f>+B332</f>
        <v>2025</v>
      </c>
    </row>
    <row r="341" spans="1:3" x14ac:dyDescent="0.25">
      <c r="A341" t="s">
        <v>294</v>
      </c>
      <c r="B341" s="1">
        <v>0</v>
      </c>
    </row>
    <row r="342" spans="1:3" x14ac:dyDescent="0.25">
      <c r="A342" t="s">
        <v>295</v>
      </c>
      <c r="B342" s="1">
        <v>86098</v>
      </c>
    </row>
    <row r="343" spans="1:3" x14ac:dyDescent="0.25">
      <c r="A343" t="s">
        <v>296</v>
      </c>
      <c r="B343" s="1">
        <v>90971810.510035321</v>
      </c>
    </row>
    <row r="344" spans="1:3" x14ac:dyDescent="0.25">
      <c r="A344" t="s">
        <v>297</v>
      </c>
      <c r="B344" s="1">
        <v>16099788</v>
      </c>
      <c r="C344" s="385"/>
    </row>
    <row r="345" spans="1:3" x14ac:dyDescent="0.25">
      <c r="A345" t="s">
        <v>298</v>
      </c>
      <c r="B345" s="1">
        <v>654726.75</v>
      </c>
      <c r="C345" s="385"/>
    </row>
    <row r="346" spans="1:3" x14ac:dyDescent="0.25">
      <c r="A346" t="s">
        <v>299</v>
      </c>
      <c r="B346" s="1">
        <v>1200</v>
      </c>
      <c r="C346" s="385"/>
    </row>
    <row r="347" spans="1:3" x14ac:dyDescent="0.25">
      <c r="B347" s="216">
        <f>+B340</f>
        <v>2025</v>
      </c>
    </row>
    <row r="348" spans="1:3" x14ac:dyDescent="0.25">
      <c r="A348" t="s">
        <v>300</v>
      </c>
      <c r="B348" s="1">
        <v>7490717.6144992188</v>
      </c>
    </row>
    <row r="349" spans="1:3" x14ac:dyDescent="0.25">
      <c r="A349" t="s">
        <v>301</v>
      </c>
      <c r="B349" s="1">
        <v>271425.18464868463</v>
      </c>
    </row>
    <row r="350" spans="1:3" x14ac:dyDescent="0.25">
      <c r="A350" t="s">
        <v>302</v>
      </c>
      <c r="B350" s="1">
        <v>14948840</v>
      </c>
    </row>
    <row r="351" spans="1:3" x14ac:dyDescent="0.25">
      <c r="B351" s="216">
        <f>+B347</f>
        <v>2025</v>
      </c>
    </row>
    <row r="352" spans="1:3" x14ac:dyDescent="0.25">
      <c r="A352" t="s">
        <v>303</v>
      </c>
      <c r="B352" s="1">
        <v>0</v>
      </c>
    </row>
    <row r="353" spans="1:2" x14ac:dyDescent="0.25">
      <c r="B353" s="1"/>
    </row>
    <row r="354" spans="1:2" x14ac:dyDescent="0.25">
      <c r="B354" s="216">
        <f>+B351</f>
        <v>2025</v>
      </c>
    </row>
    <row r="355" spans="1:2" x14ac:dyDescent="0.25">
      <c r="A355" t="s">
        <v>828</v>
      </c>
      <c r="B355" s="1">
        <v>0</v>
      </c>
    </row>
    <row r="356" spans="1:2" x14ac:dyDescent="0.25">
      <c r="A356" t="s">
        <v>829</v>
      </c>
      <c r="B356" s="1">
        <v>0</v>
      </c>
    </row>
    <row r="357" spans="1:2" x14ac:dyDescent="0.25">
      <c r="A357" t="s">
        <v>830</v>
      </c>
      <c r="B357" s="1">
        <v>0</v>
      </c>
    </row>
    <row r="358" spans="1:2" x14ac:dyDescent="0.25">
      <c r="A358" t="s">
        <v>834</v>
      </c>
      <c r="B358" s="1">
        <v>0</v>
      </c>
    </row>
    <row r="359" spans="1:2" x14ac:dyDescent="0.25">
      <c r="A359" t="s">
        <v>835</v>
      </c>
      <c r="B359" s="1">
        <v>0</v>
      </c>
    </row>
    <row r="360" spans="1:2" x14ac:dyDescent="0.25">
      <c r="A360" t="s">
        <v>836</v>
      </c>
      <c r="B360" s="1">
        <v>0</v>
      </c>
    </row>
    <row r="361" spans="1:2" x14ac:dyDescent="0.25">
      <c r="A361" t="s">
        <v>831</v>
      </c>
      <c r="B361" s="1">
        <v>0</v>
      </c>
    </row>
    <row r="362" spans="1:2" x14ac:dyDescent="0.25">
      <c r="A362" t="s">
        <v>832</v>
      </c>
      <c r="B362" s="1">
        <v>0</v>
      </c>
    </row>
    <row r="363" spans="1:2" x14ac:dyDescent="0.25">
      <c r="A363" t="s">
        <v>833</v>
      </c>
      <c r="B363" s="1">
        <v>0</v>
      </c>
    </row>
    <row r="364" spans="1:2" x14ac:dyDescent="0.25">
      <c r="A364" t="s">
        <v>837</v>
      </c>
      <c r="B364" s="1">
        <v>0</v>
      </c>
    </row>
    <row r="365" spans="1:2" x14ac:dyDescent="0.25">
      <c r="A365" t="s">
        <v>838</v>
      </c>
      <c r="B365" s="1">
        <v>0</v>
      </c>
    </row>
    <row r="366" spans="1:2" x14ac:dyDescent="0.25">
      <c r="A366" t="s">
        <v>839</v>
      </c>
      <c r="B366" s="1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960-B43D-4B9F-868D-2B41B6F550E7}">
  <dimension ref="B2:H341"/>
  <sheetViews>
    <sheetView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activeCell="B3" sqref="B3"/>
    </sheetView>
  </sheetViews>
  <sheetFormatPr defaultRowHeight="15" x14ac:dyDescent="0.25"/>
  <cols>
    <col min="2" max="2" width="61.140625" bestFit="1" customWidth="1"/>
    <col min="3" max="3" width="39.85546875" bestFit="1" customWidth="1"/>
    <col min="4" max="4" width="49.42578125" bestFit="1" customWidth="1"/>
    <col min="5" max="5" width="13.42578125" bestFit="1" customWidth="1"/>
    <col min="7" max="7" width="24.28515625" bestFit="1" customWidth="1"/>
    <col min="8" max="8" width="9.5703125" bestFit="1" customWidth="1"/>
  </cols>
  <sheetData>
    <row r="2" spans="2:8" x14ac:dyDescent="0.25">
      <c r="B2" s="219" t="s">
        <v>347</v>
      </c>
      <c r="C2" s="220" t="s">
        <v>490</v>
      </c>
      <c r="D2" s="220" t="s">
        <v>497</v>
      </c>
      <c r="E2" s="219" t="s">
        <v>873</v>
      </c>
      <c r="F2" s="219"/>
      <c r="G2" s="221" t="s">
        <v>911</v>
      </c>
    </row>
    <row r="3" spans="2:8" x14ac:dyDescent="0.25">
      <c r="B3" s="11" t="s">
        <v>349</v>
      </c>
      <c r="C3" s="222"/>
      <c r="D3" s="222"/>
      <c r="E3" s="222"/>
      <c r="F3" s="222"/>
      <c r="G3" s="222"/>
    </row>
    <row r="4" spans="2:8" x14ac:dyDescent="0.25">
      <c r="C4" s="16" t="s">
        <v>350</v>
      </c>
      <c r="D4" s="16" t="s">
        <v>535</v>
      </c>
      <c r="E4" s="223">
        <f>+INDEX('2025 RS Rate Class E-13c'!Q:Q,MATCH('2025 Base Rates'!D4,'2025 RS Rate Class E-13c'!B:B,0))</f>
        <v>1.07</v>
      </c>
      <c r="F4" s="223"/>
      <c r="G4" s="223">
        <f>+ROUND(E4,2)</f>
        <v>1.07</v>
      </c>
      <c r="H4" s="224"/>
    </row>
    <row r="5" spans="2:8" x14ac:dyDescent="0.25">
      <c r="C5" s="16" t="s">
        <v>351</v>
      </c>
      <c r="D5" s="16" t="s">
        <v>536</v>
      </c>
      <c r="E5" s="223">
        <f>+INDEX('2025 RS Rate Class E-13c'!Q:Q,MATCH('2025 Base Rates'!D5,'2025 RS Rate Class E-13c'!B:B,0))</f>
        <v>1.07</v>
      </c>
      <c r="F5" s="223"/>
      <c r="G5" s="223">
        <f>+ROUND(E5,2)</f>
        <v>1.07</v>
      </c>
      <c r="H5" s="224"/>
    </row>
    <row r="6" spans="2:8" x14ac:dyDescent="0.25">
      <c r="C6" s="16"/>
      <c r="D6" s="16"/>
      <c r="E6" s="223"/>
      <c r="F6" s="223"/>
      <c r="G6" s="223"/>
    </row>
    <row r="7" spans="2:8" x14ac:dyDescent="0.25">
      <c r="B7" s="11" t="s">
        <v>333</v>
      </c>
      <c r="C7" s="225"/>
      <c r="D7" s="225"/>
      <c r="E7" s="223"/>
      <c r="F7" s="223"/>
      <c r="G7" s="223"/>
    </row>
    <row r="8" spans="2:8" x14ac:dyDescent="0.25">
      <c r="C8" s="16" t="s">
        <v>350</v>
      </c>
      <c r="D8" s="16"/>
      <c r="E8" s="223"/>
      <c r="F8" s="223"/>
      <c r="G8" s="223"/>
    </row>
    <row r="9" spans="2:8" x14ac:dyDescent="0.25">
      <c r="C9" s="226" t="s">
        <v>352</v>
      </c>
      <c r="D9" s="226" t="s">
        <v>484</v>
      </c>
      <c r="E9" s="227">
        <f>+INDEX('2025 RS Rate Class E-13c'!Q:Q,MATCH('2025 Base Rates'!D9,'2025 RS Rate Class E-13c'!B:B,0))</f>
        <v>7.4914944597099395E-2</v>
      </c>
      <c r="F9" s="223"/>
      <c r="G9" s="227">
        <f>+ROUND(E9,5)</f>
        <v>7.4910000000000004E-2</v>
      </c>
      <c r="H9" s="228"/>
    </row>
    <row r="10" spans="2:8" x14ac:dyDescent="0.25">
      <c r="C10" s="226" t="s">
        <v>353</v>
      </c>
      <c r="D10" s="226" t="s">
        <v>485</v>
      </c>
      <c r="E10" s="227">
        <f>+INDEX('2025 RS Rate Class E-13c'!Q:Q,MATCH('2025 Base Rates'!D10,'2025 RS Rate Class E-13c'!B:B,0))</f>
        <v>8.491494459709939E-2</v>
      </c>
      <c r="F10" s="223"/>
      <c r="G10" s="227">
        <f t="shared" ref="G10:G11" si="0">+ROUND(E10,5)</f>
        <v>8.4909999999999999E-2</v>
      </c>
      <c r="H10" s="228"/>
    </row>
    <row r="11" spans="2:8" x14ac:dyDescent="0.25">
      <c r="C11" s="16" t="s">
        <v>351</v>
      </c>
      <c r="D11" s="16" t="s">
        <v>551</v>
      </c>
      <c r="E11" s="227">
        <f>+INDEX('2025 RS Rate Class E-13c'!Q:Q,MATCH('2025 Base Rates'!D11,'2025 RS Rate Class E-13c'!B:B,0))</f>
        <v>7.8993021280430217E-2</v>
      </c>
      <c r="F11" s="223"/>
      <c r="G11" s="227">
        <f t="shared" si="0"/>
        <v>7.8990000000000005E-2</v>
      </c>
      <c r="H11" s="228"/>
    </row>
    <row r="12" spans="2:8" x14ac:dyDescent="0.25">
      <c r="C12" s="16"/>
      <c r="D12" s="16"/>
      <c r="E12" s="223"/>
      <c r="F12" s="223"/>
      <c r="G12" s="223"/>
    </row>
    <row r="13" spans="2:8" x14ac:dyDescent="0.25">
      <c r="B13" s="219" t="s">
        <v>354</v>
      </c>
      <c r="C13" s="16"/>
      <c r="D13" s="16"/>
      <c r="E13" s="223"/>
      <c r="F13" s="223"/>
      <c r="G13" s="223"/>
    </row>
    <row r="14" spans="2:8" x14ac:dyDescent="0.25">
      <c r="B14" s="11" t="s">
        <v>349</v>
      </c>
      <c r="C14" s="222"/>
      <c r="D14" s="222"/>
      <c r="E14" s="223"/>
      <c r="F14" s="223"/>
      <c r="G14" s="223"/>
    </row>
    <row r="15" spans="2:8" x14ac:dyDescent="0.25">
      <c r="C15" s="16" t="s">
        <v>355</v>
      </c>
      <c r="D15" s="16" t="s">
        <v>537</v>
      </c>
      <c r="E15" s="223">
        <f>+INDEX('2025 GS Rate Class E-13c'!Q:Q,MATCH('2025 Base Rates'!D15,'2025 GS Rate Class E-13c'!B:B,0))</f>
        <v>1.27</v>
      </c>
      <c r="F15" s="223"/>
      <c r="G15" s="223">
        <f t="shared" ref="G15:G17" si="1">+ROUND(E15,2)</f>
        <v>1.27</v>
      </c>
      <c r="H15" s="224"/>
    </row>
    <row r="16" spans="2:8" x14ac:dyDescent="0.25">
      <c r="C16" s="226" t="s">
        <v>356</v>
      </c>
      <c r="D16" s="226" t="s">
        <v>538</v>
      </c>
      <c r="E16" s="223">
        <f>+INDEX('2025 GS Rate Class E-13c'!Q:Q,MATCH('2025 Base Rates'!D16,'2025 GS Rate Class E-13c'!B:B,0))</f>
        <v>1.06</v>
      </c>
      <c r="F16" s="223"/>
      <c r="G16" s="223">
        <f t="shared" si="1"/>
        <v>1.06</v>
      </c>
      <c r="H16" s="224"/>
    </row>
    <row r="17" spans="2:8" x14ac:dyDescent="0.25">
      <c r="C17" s="16" t="s">
        <v>357</v>
      </c>
      <c r="D17" s="16" t="s">
        <v>539</v>
      </c>
      <c r="E17" s="223">
        <f>+INDEX('2025 GS Rate Class E-13c'!Q:Q,MATCH('2025 Base Rates'!D17,'2025 GS Rate Class E-13c'!B:B,0))</f>
        <v>1.27</v>
      </c>
      <c r="F17" s="223"/>
      <c r="G17" s="223">
        <f t="shared" si="1"/>
        <v>1.27</v>
      </c>
      <c r="H17" s="224"/>
    </row>
    <row r="18" spans="2:8" x14ac:dyDescent="0.25">
      <c r="B18" s="11" t="s">
        <v>333</v>
      </c>
      <c r="C18" s="222"/>
      <c r="D18" s="222"/>
      <c r="E18" s="223"/>
      <c r="F18" s="223"/>
      <c r="G18" s="223"/>
    </row>
    <row r="19" spans="2:8" x14ac:dyDescent="0.25">
      <c r="C19" s="16" t="s">
        <v>350</v>
      </c>
      <c r="D19" s="16" t="s">
        <v>486</v>
      </c>
      <c r="E19" s="227">
        <f>+INDEX('2025 GS Rate Class E-13c'!Q:Q,MATCH('2025 Base Rates'!D19,'2025 GS Rate Class E-13c'!B:B,0))</f>
        <v>6.8064590047299992E-2</v>
      </c>
      <c r="F19" s="223"/>
      <c r="G19" s="227">
        <f t="shared" ref="G19:G23" si="2">+ROUND(E19,5)</f>
        <v>6.8059999999999996E-2</v>
      </c>
      <c r="H19" s="228"/>
    </row>
    <row r="20" spans="2:8" x14ac:dyDescent="0.25">
      <c r="C20" s="226" t="s">
        <v>356</v>
      </c>
      <c r="D20" s="226" t="s">
        <v>487</v>
      </c>
      <c r="E20" s="227">
        <f>+INDEX('2025 GS Rate Class E-13c'!Q:Q,MATCH('2025 Base Rates'!D20,'2025 GS Rate Class E-13c'!B:B,0))</f>
        <v>6.8064590047299992E-2</v>
      </c>
      <c r="F20" s="223"/>
      <c r="G20" s="227">
        <f t="shared" si="2"/>
        <v>6.8059999999999996E-2</v>
      </c>
      <c r="H20" s="228"/>
    </row>
    <row r="21" spans="2:8" x14ac:dyDescent="0.25">
      <c r="C21" s="16" t="s">
        <v>358</v>
      </c>
      <c r="D21" s="16" t="s">
        <v>488</v>
      </c>
      <c r="E21" s="227">
        <f>+INDEX('2025 GS Rate Class E-13c'!Q:Q,MATCH('2025 Base Rates'!D21,'2025 GS Rate Class E-13c'!B:B,0))</f>
        <v>9.9118734603349995E-2</v>
      </c>
      <c r="F21" s="223"/>
      <c r="G21" s="227">
        <f t="shared" si="2"/>
        <v>9.912E-2</v>
      </c>
      <c r="H21" s="228"/>
    </row>
    <row r="22" spans="2:8" x14ac:dyDescent="0.25">
      <c r="C22" s="16" t="s">
        <v>359</v>
      </c>
      <c r="D22" s="16" t="s">
        <v>489</v>
      </c>
      <c r="E22" s="227">
        <f>+INDEX('2025 GS Rate Class E-13c'!Q:Q,MATCH('2025 Base Rates'!D22,'2025 GS Rate Class E-13c'!B:B,0))</f>
        <v>5.3738734603349998E-2</v>
      </c>
      <c r="F22" s="223"/>
      <c r="G22" s="227">
        <f t="shared" si="2"/>
        <v>5.3740000000000003E-2</v>
      </c>
      <c r="H22" s="228"/>
    </row>
    <row r="23" spans="2:8" x14ac:dyDescent="0.25">
      <c r="C23" s="16" t="s">
        <v>1495</v>
      </c>
      <c r="D23" s="16" t="s">
        <v>1496</v>
      </c>
      <c r="E23" s="227">
        <f>+INDEX('2025 GS Rate Class E-13c'!Q:Q,MATCH('2025 Base Rates'!D23,'2025 GS Rate Class E-13c'!B:B,0))</f>
        <v>4.9828734603349994E-2</v>
      </c>
      <c r="F23" s="223"/>
      <c r="G23" s="227">
        <f t="shared" si="2"/>
        <v>4.9829999999999999E-2</v>
      </c>
      <c r="H23" s="228"/>
    </row>
    <row r="24" spans="2:8" x14ac:dyDescent="0.25">
      <c r="B24" s="11" t="s">
        <v>346</v>
      </c>
      <c r="C24" s="222"/>
      <c r="D24" s="222"/>
      <c r="E24" s="223"/>
      <c r="F24" s="223"/>
      <c r="G24" s="223"/>
    </row>
    <row r="25" spans="2:8" x14ac:dyDescent="0.25">
      <c r="B25" s="11"/>
      <c r="C25" s="16" t="s">
        <v>350</v>
      </c>
      <c r="D25" s="16" t="s">
        <v>491</v>
      </c>
      <c r="E25" s="227">
        <f>+INDEX('2025 GS Rate Class E-13c'!Q:Q,MATCH('2025 Base Rates'!D25,'2025 GS Rate Class E-13c'!B:B,0))</f>
        <v>2.5699999999999998E-3</v>
      </c>
      <c r="F25" s="223"/>
      <c r="G25" s="227">
        <f t="shared" ref="G25:G26" si="3">+ROUND(E25,5)</f>
        <v>2.5699999999999998E-3</v>
      </c>
      <c r="H25" s="228"/>
    </row>
    <row r="26" spans="2:8" x14ac:dyDescent="0.25">
      <c r="C26" s="16" t="s">
        <v>357</v>
      </c>
      <c r="D26" s="16" t="s">
        <v>492</v>
      </c>
      <c r="E26" s="227">
        <f>+INDEX('2025 GS Rate Class E-13c'!Q:Q,MATCH('2025 Base Rates'!D26,'2025 GS Rate Class E-13c'!B:B,0))</f>
        <v>2.5699999999999998E-3</v>
      </c>
      <c r="F26" s="223"/>
      <c r="G26" s="227">
        <f t="shared" si="3"/>
        <v>2.5699999999999998E-3</v>
      </c>
      <c r="H26" s="228"/>
    </row>
    <row r="27" spans="2:8" x14ac:dyDescent="0.25">
      <c r="B27" s="219" t="s">
        <v>360</v>
      </c>
      <c r="C27" s="222"/>
      <c r="D27" s="222"/>
      <c r="E27" s="223"/>
      <c r="F27" s="223"/>
      <c r="G27" s="223"/>
    </row>
    <row r="28" spans="2:8" x14ac:dyDescent="0.25">
      <c r="B28" s="11" t="s">
        <v>349</v>
      </c>
      <c r="C28" s="222"/>
      <c r="D28" s="222"/>
      <c r="E28" s="223"/>
      <c r="F28" s="223"/>
      <c r="G28" s="223"/>
    </row>
    <row r="29" spans="2:8" x14ac:dyDescent="0.25">
      <c r="C29" s="226" t="s">
        <v>361</v>
      </c>
      <c r="D29" s="226" t="s">
        <v>540</v>
      </c>
      <c r="E29" s="223">
        <f>+INDEX('2025 GS Rate Class E-13c'!Q:Q,MATCH('2025 Base Rates'!D29,'2025 GS Rate Class E-13c'!B:B,0))</f>
        <v>1.27</v>
      </c>
      <c r="F29" s="223"/>
      <c r="G29" s="223">
        <f>+ROUND(E29,2)</f>
        <v>1.27</v>
      </c>
      <c r="H29" s="224"/>
    </row>
    <row r="30" spans="2:8" x14ac:dyDescent="0.25">
      <c r="B30" s="11" t="s">
        <v>333</v>
      </c>
      <c r="C30" s="222"/>
      <c r="D30" s="222"/>
      <c r="E30" s="223"/>
      <c r="F30" s="223"/>
      <c r="G30" s="223"/>
    </row>
    <row r="31" spans="2:8" x14ac:dyDescent="0.25">
      <c r="C31" s="16" t="s">
        <v>362</v>
      </c>
      <c r="D31" s="16" t="s">
        <v>493</v>
      </c>
      <c r="E31" s="227">
        <f>+INDEX('2025 GS Rate Class E-13c'!Q:Q,MATCH('2025 Base Rates'!D31,'2025 GS Rate Class E-13c'!B:B,0))</f>
        <v>6.8064590047299992E-2</v>
      </c>
      <c r="F31" s="223"/>
      <c r="G31" s="227">
        <f>+ROUND(E31,5)</f>
        <v>6.8059999999999996E-2</v>
      </c>
      <c r="H31" s="228"/>
    </row>
    <row r="32" spans="2:8" x14ac:dyDescent="0.25">
      <c r="B32" s="219" t="s">
        <v>363</v>
      </c>
      <c r="C32" s="222"/>
      <c r="D32" s="222"/>
      <c r="E32" s="223"/>
      <c r="F32" s="223"/>
      <c r="G32" s="223"/>
    </row>
    <row r="33" spans="2:8" x14ac:dyDescent="0.25">
      <c r="B33" s="11" t="s">
        <v>349</v>
      </c>
      <c r="C33" s="222"/>
      <c r="D33" s="222"/>
      <c r="E33" s="223"/>
      <c r="F33" s="223"/>
      <c r="G33" s="223"/>
    </row>
    <row r="34" spans="2:8" x14ac:dyDescent="0.25">
      <c r="C34" s="16" t="s">
        <v>364</v>
      </c>
      <c r="D34" s="16" t="s">
        <v>541</v>
      </c>
      <c r="E34" s="223">
        <f>+INDEX('2025 GSD Rate Class E-13c'!R:R,MATCH('2025 Base Rates'!D34,'2025 GSD Rate Class E-13c'!C:C,0))</f>
        <v>1.72</v>
      </c>
      <c r="F34" s="223"/>
      <c r="G34" s="223">
        <f t="shared" ref="G34:G42" si="4">+ROUND(E34,2)</f>
        <v>1.72</v>
      </c>
      <c r="H34" s="224"/>
    </row>
    <row r="35" spans="2:8" x14ac:dyDescent="0.25">
      <c r="C35" s="16" t="s">
        <v>365</v>
      </c>
      <c r="D35" s="16" t="s">
        <v>542</v>
      </c>
      <c r="E35" s="223">
        <f>+INDEX('2025 GSD Rate Class E-13c'!R:R,MATCH('2025 Base Rates'!D35,'2025 GSD Rate Class E-13c'!C:C,0))</f>
        <v>9.36</v>
      </c>
      <c r="F35" s="223"/>
      <c r="G35" s="223">
        <f t="shared" si="4"/>
        <v>9.36</v>
      </c>
      <c r="H35" s="224"/>
    </row>
    <row r="36" spans="2:8" x14ac:dyDescent="0.25">
      <c r="C36" s="16" t="s">
        <v>366</v>
      </c>
      <c r="D36" s="16" t="s">
        <v>543</v>
      </c>
      <c r="E36" s="223">
        <f>+INDEX('2025 GSD Rate Class E-13c'!R:R,MATCH('2025 Base Rates'!D36,'2025 GSD Rate Class E-13c'!C:C,0))</f>
        <v>25.76</v>
      </c>
      <c r="F36" s="223"/>
      <c r="G36" s="223">
        <f t="shared" si="4"/>
        <v>25.76</v>
      </c>
      <c r="H36" s="224"/>
    </row>
    <row r="37" spans="2:8" x14ac:dyDescent="0.25">
      <c r="B37" s="229" t="s">
        <v>367</v>
      </c>
      <c r="C37" s="230" t="s">
        <v>368</v>
      </c>
      <c r="D37" s="16" t="s">
        <v>544</v>
      </c>
      <c r="E37" s="223">
        <f>+INDEX('2025 GSD Rate Class E-13c'!R:R,MATCH('2025 Base Rates'!D37,'2025 GSD Rate Class E-13c'!C:C,0))</f>
        <v>1.72</v>
      </c>
      <c r="F37" s="223"/>
      <c r="G37" s="223">
        <f t="shared" si="4"/>
        <v>1.72</v>
      </c>
      <c r="H37" s="224"/>
    </row>
    <row r="38" spans="2:8" x14ac:dyDescent="0.25">
      <c r="B38" s="229" t="s">
        <v>367</v>
      </c>
      <c r="C38" s="230" t="s">
        <v>369</v>
      </c>
      <c r="D38" s="16" t="s">
        <v>545</v>
      </c>
      <c r="E38" s="223">
        <f>+INDEX('2025 GSD Rate Class E-13c'!R:R,MATCH('2025 Base Rates'!D38,'2025 GSD Rate Class E-13c'!C:C,0))</f>
        <v>9.36</v>
      </c>
      <c r="F38" s="223"/>
      <c r="G38" s="223">
        <f t="shared" si="4"/>
        <v>9.36</v>
      </c>
      <c r="H38" s="224"/>
    </row>
    <row r="39" spans="2:8" x14ac:dyDescent="0.25">
      <c r="B39" s="229" t="s">
        <v>367</v>
      </c>
      <c r="C39" s="230" t="s">
        <v>370</v>
      </c>
      <c r="D39" s="16" t="s">
        <v>546</v>
      </c>
      <c r="E39" s="223">
        <f>+INDEX('2025 GSD Rate Class E-13c'!R:R,MATCH('2025 Base Rates'!D39,'2025 GSD Rate Class E-13c'!C:C,0))</f>
        <v>25.76</v>
      </c>
      <c r="F39" s="223"/>
      <c r="G39" s="223">
        <f t="shared" si="4"/>
        <v>25.76</v>
      </c>
      <c r="H39" s="224"/>
    </row>
    <row r="40" spans="2:8" x14ac:dyDescent="0.25">
      <c r="C40" s="226" t="s">
        <v>371</v>
      </c>
      <c r="D40" s="16" t="s">
        <v>547</v>
      </c>
      <c r="E40" s="223">
        <f>+INDEX('2025 GSD Rate Class E-13c'!R:R,MATCH('2025 Base Rates'!D40,'2025 GSD Rate Class E-13c'!C:C,0))</f>
        <v>1.72</v>
      </c>
      <c r="F40" s="223"/>
      <c r="G40" s="223">
        <f t="shared" si="4"/>
        <v>1.72</v>
      </c>
      <c r="H40" s="224"/>
    </row>
    <row r="41" spans="2:8" x14ac:dyDescent="0.25">
      <c r="C41" s="226" t="s">
        <v>372</v>
      </c>
      <c r="D41" s="16" t="s">
        <v>548</v>
      </c>
      <c r="E41" s="223">
        <f>+INDEX('2025 GSD Rate Class E-13c'!R:R,MATCH('2025 Base Rates'!D41,'2025 GSD Rate Class E-13c'!C:C,0))</f>
        <v>9.36</v>
      </c>
      <c r="F41" s="223"/>
      <c r="G41" s="223">
        <f t="shared" si="4"/>
        <v>9.36</v>
      </c>
      <c r="H41" s="224"/>
    </row>
    <row r="42" spans="2:8" x14ac:dyDescent="0.25">
      <c r="C42" s="226" t="s">
        <v>373</v>
      </c>
      <c r="D42" s="16" t="s">
        <v>549</v>
      </c>
      <c r="E42" s="223">
        <f>+INDEX('2025 GSD Rate Class E-13c'!R:R,MATCH('2025 Base Rates'!D42,'2025 GSD Rate Class E-13c'!C:C,0))</f>
        <v>25.76</v>
      </c>
      <c r="F42" s="223"/>
      <c r="G42" s="223">
        <f t="shared" si="4"/>
        <v>25.76</v>
      </c>
      <c r="H42" s="224"/>
    </row>
    <row r="43" spans="2:8" x14ac:dyDescent="0.25">
      <c r="C43" s="226"/>
      <c r="D43" s="226"/>
      <c r="E43" s="223"/>
      <c r="F43" s="223"/>
      <c r="G43" s="223"/>
    </row>
    <row r="44" spans="2:8" x14ac:dyDescent="0.25">
      <c r="C44" s="226"/>
      <c r="D44" s="226"/>
      <c r="E44" s="223"/>
      <c r="F44" s="223"/>
      <c r="G44" s="223"/>
    </row>
    <row r="45" spans="2:8" x14ac:dyDescent="0.25">
      <c r="C45" s="226"/>
      <c r="D45" s="226"/>
      <c r="E45" s="223"/>
      <c r="F45" s="223"/>
      <c r="G45" s="223"/>
    </row>
    <row r="46" spans="2:8" x14ac:dyDescent="0.25">
      <c r="B46" s="17" t="s">
        <v>333</v>
      </c>
      <c r="C46" s="222"/>
      <c r="D46" s="222"/>
      <c r="E46" s="223"/>
      <c r="F46" s="223"/>
      <c r="G46" s="223"/>
    </row>
    <row r="47" spans="2:8" x14ac:dyDescent="0.25">
      <c r="C47" s="16" t="s">
        <v>364</v>
      </c>
      <c r="D47" s="16" t="s">
        <v>494</v>
      </c>
      <c r="E47" s="227">
        <f>+INDEX('2025 GSD Rate Class E-13c'!R:R,MATCH('2025 Base Rates'!D47,'2025 GSD Rate Class E-13c'!C:C,0))</f>
        <v>7.7280000000000005E-3</v>
      </c>
      <c r="F47" s="223"/>
      <c r="G47" s="227">
        <f t="shared" ref="G47:G58" si="5">+ROUND(E47,5)</f>
        <v>7.7299999999999999E-3</v>
      </c>
      <c r="H47" s="228"/>
    </row>
    <row r="48" spans="2:8" x14ac:dyDescent="0.25">
      <c r="C48" s="16" t="s">
        <v>365</v>
      </c>
      <c r="D48" s="16" t="s">
        <v>495</v>
      </c>
      <c r="E48" s="227">
        <f>+INDEX('2025 GSD Rate Class E-13c'!R:R,MATCH('2025 Base Rates'!D48,'2025 GSD Rate Class E-13c'!C:C,0))</f>
        <v>7.7280000000000005E-3</v>
      </c>
      <c r="F48" s="223"/>
      <c r="G48" s="227">
        <f t="shared" si="5"/>
        <v>7.7299999999999999E-3</v>
      </c>
      <c r="H48" s="228"/>
    </row>
    <row r="49" spans="2:8" x14ac:dyDescent="0.25">
      <c r="C49" s="16" t="s">
        <v>366</v>
      </c>
      <c r="D49" s="16" t="s">
        <v>496</v>
      </c>
      <c r="E49" s="227">
        <f>+INDEX('2025 GSD Rate Class E-13c'!R:R,MATCH('2025 Base Rates'!D49,'2025 GSD Rate Class E-13c'!C:C,0))</f>
        <v>7.7280000000000005E-3</v>
      </c>
      <c r="F49" s="223"/>
      <c r="G49" s="227">
        <f t="shared" si="5"/>
        <v>7.7299999999999999E-3</v>
      </c>
      <c r="H49" s="228"/>
    </row>
    <row r="50" spans="2:8" x14ac:dyDescent="0.25">
      <c r="C50" s="230" t="s">
        <v>368</v>
      </c>
      <c r="D50" s="16" t="s">
        <v>499</v>
      </c>
      <c r="E50" s="227">
        <f>+INDEX('2025 GSD Rate Class E-13c'!R:R,MATCH('2025 Base Rates'!D50,'2025 GSD Rate Class E-13c'!C:C,0))</f>
        <v>8.4026870572544515E-2</v>
      </c>
      <c r="F50" s="223"/>
      <c r="G50" s="227">
        <f t="shared" si="5"/>
        <v>8.4029999999999994E-2</v>
      </c>
      <c r="H50" s="228"/>
    </row>
    <row r="51" spans="2:8" x14ac:dyDescent="0.25">
      <c r="C51" s="230" t="s">
        <v>369</v>
      </c>
      <c r="D51" s="16" t="s">
        <v>500</v>
      </c>
      <c r="E51" s="227">
        <f>+INDEX('2025 GSD Rate Class E-13c'!R:R,MATCH('2025 Base Rates'!D51,'2025 GSD Rate Class E-13c'!C:C,0))</f>
        <v>8.4026870572544515E-2</v>
      </c>
      <c r="F51" s="223"/>
      <c r="G51" s="227">
        <f t="shared" si="5"/>
        <v>8.4029999999999994E-2</v>
      </c>
      <c r="H51" s="228"/>
    </row>
    <row r="52" spans="2:8" x14ac:dyDescent="0.25">
      <c r="C52" s="230" t="s">
        <v>370</v>
      </c>
      <c r="D52" s="16" t="s">
        <v>501</v>
      </c>
      <c r="E52" s="227">
        <f>+INDEX('2025 GSD Rate Class E-13c'!R:R,MATCH('2025 Base Rates'!D52,'2025 GSD Rate Class E-13c'!C:C,0))</f>
        <v>8.4026870572544515E-2</v>
      </c>
      <c r="F52" s="223"/>
      <c r="G52" s="227">
        <f t="shared" si="5"/>
        <v>8.4029999999999994E-2</v>
      </c>
      <c r="H52" s="228"/>
    </row>
    <row r="53" spans="2:8" x14ac:dyDescent="0.25">
      <c r="C53" s="226" t="s">
        <v>374</v>
      </c>
      <c r="D53" s="226" t="s">
        <v>502</v>
      </c>
      <c r="E53" s="227">
        <f>+INDEX('2025 GSD Rate Class E-13c'!R:R,MATCH('2025 Base Rates'!D53,'2025 GSD Rate Class E-13c'!C:C,0))</f>
        <v>1.2432E-2</v>
      </c>
      <c r="F53" s="223"/>
      <c r="G53" s="227">
        <f t="shared" si="5"/>
        <v>1.243E-2</v>
      </c>
      <c r="H53" s="228"/>
    </row>
    <row r="54" spans="2:8" x14ac:dyDescent="0.25">
      <c r="C54" s="226" t="s">
        <v>375</v>
      </c>
      <c r="D54" s="226" t="s">
        <v>503</v>
      </c>
      <c r="E54" s="227">
        <f>+INDEX('2025 GSD Rate Class E-13c'!R:R,MATCH('2025 Base Rates'!D54,'2025 GSD Rate Class E-13c'!C:C,0))</f>
        <v>1.2432E-2</v>
      </c>
      <c r="F54" s="223"/>
      <c r="G54" s="227">
        <f t="shared" si="5"/>
        <v>1.243E-2</v>
      </c>
      <c r="H54" s="228"/>
    </row>
    <row r="55" spans="2:8" x14ac:dyDescent="0.25">
      <c r="C55" s="226" t="s">
        <v>376</v>
      </c>
      <c r="D55" s="226" t="s">
        <v>505</v>
      </c>
      <c r="E55" s="227">
        <f>+INDEX('2025 GSD Rate Class E-13c'!R:R,MATCH('2025 Base Rates'!D55,'2025 GSD Rate Class E-13c'!C:C,0))</f>
        <v>1.2432E-2</v>
      </c>
      <c r="F55" s="223"/>
      <c r="G55" s="227">
        <f t="shared" si="5"/>
        <v>1.243E-2</v>
      </c>
      <c r="H55" s="228"/>
    </row>
    <row r="56" spans="2:8" x14ac:dyDescent="0.25">
      <c r="C56" s="226" t="s">
        <v>377</v>
      </c>
      <c r="D56" s="226" t="s">
        <v>504</v>
      </c>
      <c r="E56" s="227">
        <f>+INDEX('2025 GSD Rate Class E-13c'!R:R,MATCH('2025 Base Rates'!D56,'2025 GSD Rate Class E-13c'!C:C,0))</f>
        <v>8.1720000000000004E-3</v>
      </c>
      <c r="F56" s="223"/>
      <c r="G56" s="227">
        <f t="shared" si="5"/>
        <v>8.1700000000000002E-3</v>
      </c>
      <c r="H56" s="228"/>
    </row>
    <row r="57" spans="2:8" x14ac:dyDescent="0.25">
      <c r="C57" s="226" t="s">
        <v>378</v>
      </c>
      <c r="D57" s="226" t="s">
        <v>506</v>
      </c>
      <c r="E57" s="227">
        <f>+INDEX('2025 GSD Rate Class E-13c'!R:R,MATCH('2025 Base Rates'!D57,'2025 GSD Rate Class E-13c'!C:C,0))</f>
        <v>8.1720000000000004E-3</v>
      </c>
      <c r="F57" s="223"/>
      <c r="G57" s="227">
        <f t="shared" si="5"/>
        <v>8.1700000000000002E-3</v>
      </c>
      <c r="H57" s="228"/>
    </row>
    <row r="58" spans="2:8" x14ac:dyDescent="0.25">
      <c r="C58" s="226" t="s">
        <v>379</v>
      </c>
      <c r="D58" s="226" t="s">
        <v>507</v>
      </c>
      <c r="E58" s="227">
        <f>+INDEX('2025 GSD Rate Class E-13c'!R:R,MATCH('2025 Base Rates'!D58,'2025 GSD Rate Class E-13c'!C:C,0))</f>
        <v>8.1720000000000004E-3</v>
      </c>
      <c r="F58" s="223"/>
      <c r="G58" s="227">
        <f t="shared" si="5"/>
        <v>8.1700000000000002E-3</v>
      </c>
      <c r="H58" s="228"/>
    </row>
    <row r="59" spans="2:8" x14ac:dyDescent="0.25">
      <c r="C59" s="226" t="s">
        <v>1512</v>
      </c>
      <c r="D59" s="226" t="s">
        <v>1497</v>
      </c>
      <c r="E59" s="227">
        <f>+INDEX('2025 GSD Rate Class E-13c'!R:R,MATCH('2025 Base Rates'!D59,'2025 GSD Rate Class E-13c'!C:C,0))</f>
        <v>4.6120000000000006E-3</v>
      </c>
      <c r="F59" s="223"/>
      <c r="G59" s="227">
        <f t="shared" ref="G59:G61" si="6">+ROUND(E59,5)</f>
        <v>4.6100000000000004E-3</v>
      </c>
      <c r="H59" s="228"/>
    </row>
    <row r="60" spans="2:8" x14ac:dyDescent="0.25">
      <c r="C60" s="226" t="s">
        <v>1513</v>
      </c>
      <c r="D60" s="226" t="s">
        <v>1498</v>
      </c>
      <c r="E60" s="227">
        <f>+INDEX('2025 GSD Rate Class E-13c'!R:R,MATCH('2025 Base Rates'!D60,'2025 GSD Rate Class E-13c'!C:C,0))</f>
        <v>4.6120000000000006E-3</v>
      </c>
      <c r="F60" s="223"/>
      <c r="G60" s="227">
        <f t="shared" si="6"/>
        <v>4.6100000000000004E-3</v>
      </c>
      <c r="H60" s="228"/>
    </row>
    <row r="61" spans="2:8" x14ac:dyDescent="0.25">
      <c r="C61" s="226" t="s">
        <v>1514</v>
      </c>
      <c r="D61" s="226" t="s">
        <v>1499</v>
      </c>
      <c r="E61" s="227">
        <f>+INDEX('2025 GSD Rate Class E-13c'!R:R,MATCH('2025 Base Rates'!D61,'2025 GSD Rate Class E-13c'!C:C,0))</f>
        <v>4.6120000000000006E-3</v>
      </c>
      <c r="F61" s="223"/>
      <c r="G61" s="227">
        <f t="shared" si="6"/>
        <v>4.6100000000000004E-3</v>
      </c>
      <c r="H61" s="228"/>
    </row>
    <row r="62" spans="2:8" x14ac:dyDescent="0.25">
      <c r="B62" s="231" t="s">
        <v>380</v>
      </c>
      <c r="C62" s="222"/>
      <c r="D62" s="222"/>
      <c r="E62" s="223"/>
      <c r="F62" s="223"/>
      <c r="G62" s="223"/>
    </row>
    <row r="63" spans="2:8" x14ac:dyDescent="0.25">
      <c r="C63" s="16" t="s">
        <v>364</v>
      </c>
      <c r="D63" s="16" t="s">
        <v>513</v>
      </c>
      <c r="E63" s="223">
        <f>+INDEX('2025 GSD Rate Class E-13c'!R:R,MATCH('2025 Base Rates'!D63,'2025 GSD Rate Class E-13c'!C:C,0))</f>
        <v>19.61970957579716</v>
      </c>
      <c r="F63" s="223"/>
      <c r="G63" s="223">
        <f t="shared" ref="G63:G74" si="7">+ROUND(E63,2)</f>
        <v>19.62</v>
      </c>
      <c r="H63" s="224"/>
    </row>
    <row r="64" spans="2:8" x14ac:dyDescent="0.25">
      <c r="C64" s="16" t="s">
        <v>365</v>
      </c>
      <c r="D64" s="16" t="s">
        <v>508</v>
      </c>
      <c r="E64" s="223">
        <f>+INDEX('2025 GSD Rate Class E-13c'!R:R,MATCH('2025 Base Rates'!D64,'2025 GSD Rate Class E-13c'!C:C,0))</f>
        <v>19.61970957579716</v>
      </c>
      <c r="F64" s="223"/>
      <c r="G64" s="223">
        <f t="shared" si="7"/>
        <v>19.62</v>
      </c>
      <c r="H64" s="224"/>
    </row>
    <row r="65" spans="2:8" x14ac:dyDescent="0.25">
      <c r="C65" s="16" t="s">
        <v>366</v>
      </c>
      <c r="D65" s="16" t="s">
        <v>509</v>
      </c>
      <c r="E65" s="223">
        <f>+INDEX('2025 GSD Rate Class E-13c'!R:R,MATCH('2025 Base Rates'!D65,'2025 GSD Rate Class E-13c'!C:C,0))</f>
        <v>19.61970957579716</v>
      </c>
      <c r="F65" s="223"/>
      <c r="G65" s="223">
        <f t="shared" si="7"/>
        <v>19.62</v>
      </c>
      <c r="H65" s="224"/>
    </row>
    <row r="66" spans="2:8" x14ac:dyDescent="0.25">
      <c r="C66" s="230" t="s">
        <v>368</v>
      </c>
      <c r="D66" s="16" t="s">
        <v>510</v>
      </c>
      <c r="E66" s="223">
        <f>+INDEX('2025 GSD Rate Class E-13c'!R:R,MATCH('2025 Base Rates'!D66,'2025 GSD Rate Class E-13c'!C:C,0))</f>
        <v>0</v>
      </c>
      <c r="F66" s="223"/>
      <c r="G66" s="223">
        <f t="shared" si="7"/>
        <v>0</v>
      </c>
      <c r="H66" s="224"/>
    </row>
    <row r="67" spans="2:8" x14ac:dyDescent="0.25">
      <c r="C67" s="230" t="s">
        <v>369</v>
      </c>
      <c r="D67" s="16" t="s">
        <v>511</v>
      </c>
      <c r="E67" s="223">
        <f>+INDEX('2025 GSD Rate Class E-13c'!R:R,MATCH('2025 Base Rates'!D67,'2025 GSD Rate Class E-13c'!C:C,0))</f>
        <v>0</v>
      </c>
      <c r="F67" s="223"/>
      <c r="G67" s="223">
        <f t="shared" si="7"/>
        <v>0</v>
      </c>
      <c r="H67" s="224"/>
    </row>
    <row r="68" spans="2:8" x14ac:dyDescent="0.25">
      <c r="C68" s="230" t="s">
        <v>370</v>
      </c>
      <c r="D68" s="16" t="s">
        <v>512</v>
      </c>
      <c r="E68" s="223">
        <f>+INDEX('2025 GSD Rate Class E-13c'!R:R,MATCH('2025 Base Rates'!D68,'2025 GSD Rate Class E-13c'!C:C,0))</f>
        <v>0</v>
      </c>
      <c r="F68" s="223"/>
      <c r="G68" s="223">
        <f t="shared" si="7"/>
        <v>0</v>
      </c>
      <c r="H68" s="224"/>
    </row>
    <row r="69" spans="2:8" x14ac:dyDescent="0.25">
      <c r="C69" s="16" t="s">
        <v>381</v>
      </c>
      <c r="D69" s="226" t="s">
        <v>822</v>
      </c>
      <c r="E69" s="223">
        <f>+INDEX('2025 GSD Rate Class E-13c'!R:R,MATCH('2025 Base Rates'!D69,'2025 GSD Rate Class E-13c'!C:C,0))</f>
        <v>5.0398852462260963</v>
      </c>
      <c r="F69" s="223"/>
      <c r="G69" s="223">
        <f t="shared" si="7"/>
        <v>5.04</v>
      </c>
      <c r="H69" s="224"/>
    </row>
    <row r="70" spans="2:8" x14ac:dyDescent="0.25">
      <c r="C70" s="16" t="s">
        <v>382</v>
      </c>
      <c r="D70" s="226" t="s">
        <v>823</v>
      </c>
      <c r="E70" s="223">
        <f>+INDEX('2025 GSD Rate Class E-13c'!R:R,MATCH('2025 Base Rates'!D70,'2025 GSD Rate Class E-13c'!C:C,0))</f>
        <v>5.0398852462260963</v>
      </c>
      <c r="F70" s="223"/>
      <c r="G70" s="223">
        <f t="shared" si="7"/>
        <v>5.04</v>
      </c>
      <c r="H70" s="224"/>
    </row>
    <row r="71" spans="2:8" x14ac:dyDescent="0.25">
      <c r="C71" s="226" t="s">
        <v>383</v>
      </c>
      <c r="D71" s="226" t="s">
        <v>824</v>
      </c>
      <c r="E71" s="223">
        <f>+INDEX('2025 GSD Rate Class E-13c'!R:R,MATCH('2025 Base Rates'!D71,'2025 GSD Rate Class E-13c'!C:C,0))</f>
        <v>5.0398852462260963</v>
      </c>
      <c r="F71" s="223"/>
      <c r="G71" s="223">
        <f t="shared" si="7"/>
        <v>5.04</v>
      </c>
      <c r="H71" s="224"/>
    </row>
    <row r="72" spans="2:8" x14ac:dyDescent="0.25">
      <c r="C72" s="16" t="s">
        <v>384</v>
      </c>
      <c r="D72" s="226" t="s">
        <v>825</v>
      </c>
      <c r="E72" s="223">
        <f>+INDEX('2025 GSD Rate Class E-13c'!R:R,MATCH('2025 Base Rates'!D72,'2025 GSD Rate Class E-13c'!C:C,0))</f>
        <v>14.579824329571064</v>
      </c>
      <c r="F72" s="223"/>
      <c r="G72" s="223">
        <f t="shared" si="7"/>
        <v>14.58</v>
      </c>
      <c r="H72" s="224"/>
    </row>
    <row r="73" spans="2:8" x14ac:dyDescent="0.25">
      <c r="C73" s="16" t="s">
        <v>385</v>
      </c>
      <c r="D73" s="226" t="s">
        <v>826</v>
      </c>
      <c r="E73" s="223">
        <f>+INDEX('2025 GSD Rate Class E-13c'!R:R,MATCH('2025 Base Rates'!D73,'2025 GSD Rate Class E-13c'!C:C,0))</f>
        <v>14.579824329571064</v>
      </c>
      <c r="F73" s="223"/>
      <c r="G73" s="223">
        <f t="shared" si="7"/>
        <v>14.58</v>
      </c>
      <c r="H73" s="224"/>
    </row>
    <row r="74" spans="2:8" x14ac:dyDescent="0.25">
      <c r="C74" s="226" t="s">
        <v>386</v>
      </c>
      <c r="D74" s="226" t="s">
        <v>827</v>
      </c>
      <c r="E74" s="223">
        <f>+INDEX('2025 GSD Rate Class E-13c'!R:R,MATCH('2025 Base Rates'!D74,'2025 GSD Rate Class E-13c'!C:C,0))</f>
        <v>14.579824329571064</v>
      </c>
      <c r="F74" s="223"/>
      <c r="G74" s="223">
        <f t="shared" si="7"/>
        <v>14.58</v>
      </c>
      <c r="H74" s="224"/>
    </row>
    <row r="75" spans="2:8" x14ac:dyDescent="0.25">
      <c r="B75" s="17" t="s">
        <v>387</v>
      </c>
      <c r="C75" s="222"/>
      <c r="D75" s="222"/>
      <c r="E75" s="223"/>
      <c r="F75" s="223"/>
      <c r="G75" s="223"/>
    </row>
    <row r="76" spans="2:8" x14ac:dyDescent="0.25">
      <c r="C76" s="16" t="s">
        <v>388</v>
      </c>
      <c r="D76" s="16" t="s">
        <v>514</v>
      </c>
      <c r="E76" s="32">
        <v>-0.01</v>
      </c>
      <c r="F76" s="32"/>
      <c r="G76" s="32">
        <f>+E76</f>
        <v>-0.01</v>
      </c>
      <c r="H76" s="232"/>
    </row>
    <row r="77" spans="2:8" x14ac:dyDescent="0.25">
      <c r="C77" s="16" t="s">
        <v>366</v>
      </c>
      <c r="D77" s="16" t="s">
        <v>515</v>
      </c>
      <c r="E77" s="32">
        <v>-0.02</v>
      </c>
      <c r="F77" s="32"/>
      <c r="G77" s="32">
        <f t="shared" ref="G77:G81" si="8">+E77</f>
        <v>-0.02</v>
      </c>
      <c r="H77" s="232"/>
    </row>
    <row r="78" spans="2:8" x14ac:dyDescent="0.25">
      <c r="C78" s="33" t="s">
        <v>389</v>
      </c>
      <c r="D78" s="16" t="s">
        <v>516</v>
      </c>
      <c r="E78" s="32">
        <v>-0.01</v>
      </c>
      <c r="F78" s="32"/>
      <c r="G78" s="32">
        <f t="shared" si="8"/>
        <v>-0.01</v>
      </c>
      <c r="H78" s="232"/>
    </row>
    <row r="79" spans="2:8" x14ac:dyDescent="0.25">
      <c r="C79" s="230" t="s">
        <v>370</v>
      </c>
      <c r="D79" s="16" t="s">
        <v>517</v>
      </c>
      <c r="E79" s="32">
        <v>-0.02</v>
      </c>
      <c r="F79" s="32"/>
      <c r="G79" s="32">
        <f t="shared" si="8"/>
        <v>-0.02</v>
      </c>
      <c r="H79" s="232"/>
    </row>
    <row r="80" spans="2:8" x14ac:dyDescent="0.25">
      <c r="C80" s="16" t="s">
        <v>390</v>
      </c>
      <c r="D80" s="16" t="s">
        <v>518</v>
      </c>
      <c r="E80" s="32">
        <v>-0.01</v>
      </c>
      <c r="F80" s="32"/>
      <c r="G80" s="32">
        <f t="shared" si="8"/>
        <v>-0.01</v>
      </c>
      <c r="H80" s="232"/>
    </row>
    <row r="81" spans="2:8" x14ac:dyDescent="0.25">
      <c r="C81" s="226" t="s">
        <v>373</v>
      </c>
      <c r="D81" s="16" t="s">
        <v>519</v>
      </c>
      <c r="E81" s="32">
        <v>-0.02</v>
      </c>
      <c r="F81" s="32"/>
      <c r="G81" s="32">
        <f t="shared" si="8"/>
        <v>-0.02</v>
      </c>
      <c r="H81" s="232"/>
    </row>
    <row r="82" spans="2:8" x14ac:dyDescent="0.25">
      <c r="B82" s="17" t="s">
        <v>391</v>
      </c>
      <c r="C82" s="222"/>
      <c r="D82" s="222"/>
      <c r="E82" s="223"/>
      <c r="F82" s="223"/>
      <c r="G82" s="223"/>
    </row>
    <row r="83" spans="2:8" x14ac:dyDescent="0.25">
      <c r="C83" s="16" t="s">
        <v>388</v>
      </c>
      <c r="D83" s="16" t="s">
        <v>525</v>
      </c>
      <c r="E83" s="223">
        <f>+INDEX('2025 GSD Rate Class E-13c'!R:R,MATCH('2025 Base Rates'!D83,'2025 GSD Rate Class E-13c'!C:C,0))</f>
        <v>-0.54</v>
      </c>
      <c r="F83" s="223"/>
      <c r="G83" s="223">
        <f t="shared" ref="G83:G84" si="9">+ROUND(E83,2)</f>
        <v>-0.54</v>
      </c>
      <c r="H83" s="224"/>
    </row>
    <row r="84" spans="2:8" x14ac:dyDescent="0.25">
      <c r="C84" s="16" t="s">
        <v>366</v>
      </c>
      <c r="D84" s="16" t="s">
        <v>520</v>
      </c>
      <c r="E84" s="223">
        <f>+INDEX('2025 GSD Rate Class E-13c'!R:R,MATCH('2025 Base Rates'!D84,'2025 GSD Rate Class E-13c'!C:C,0))</f>
        <v>-3.09</v>
      </c>
      <c r="F84" s="223"/>
      <c r="G84" s="223">
        <f t="shared" si="9"/>
        <v>-3.09</v>
      </c>
      <c r="H84" s="224"/>
    </row>
    <row r="85" spans="2:8" x14ac:dyDescent="0.25">
      <c r="C85" s="33" t="s">
        <v>392</v>
      </c>
      <c r="D85" s="16" t="s">
        <v>521</v>
      </c>
      <c r="E85" s="227">
        <f>+INDEX('2025 GSD Rate Class E-13c'!R:R,MATCH('2025 Base Rates'!D85,'2025 GSD Rate Class E-13c'!C:C,0))</f>
        <v>-1.3824130183384699E-3</v>
      </c>
      <c r="F85" s="223"/>
      <c r="G85" s="227">
        <f t="shared" ref="G85:G86" si="10">+ROUND(E85,5)</f>
        <v>-1.3799999999999999E-3</v>
      </c>
      <c r="H85" s="228"/>
    </row>
    <row r="86" spans="2:8" x14ac:dyDescent="0.25">
      <c r="C86" s="230" t="s">
        <v>370</v>
      </c>
      <c r="D86" s="16" t="s">
        <v>522</v>
      </c>
      <c r="E86" s="227">
        <f>+INDEX('2025 GSD Rate Class E-13c'!R:R,MATCH('2025 Base Rates'!D86,'2025 GSD Rate Class E-13c'!C:C,0))</f>
        <v>-7.9145209896204303E-3</v>
      </c>
      <c r="F86" s="223"/>
      <c r="G86" s="227">
        <f t="shared" si="10"/>
        <v>-7.9100000000000004E-3</v>
      </c>
      <c r="H86" s="228"/>
    </row>
    <row r="87" spans="2:8" x14ac:dyDescent="0.25">
      <c r="C87" s="16" t="s">
        <v>390</v>
      </c>
      <c r="D87" s="16" t="s">
        <v>523</v>
      </c>
      <c r="E87" s="223">
        <f>+INDEX('2025 GSD Rate Class E-13c'!R:R,MATCH('2025 Base Rates'!D87,'2025 GSD Rate Class E-13c'!C:C,0))</f>
        <v>-0.54</v>
      </c>
      <c r="F87" s="223"/>
      <c r="G87" s="223">
        <f t="shared" ref="G87:G88" si="11">+ROUND(E87,2)</f>
        <v>-0.54</v>
      </c>
      <c r="H87" s="224"/>
    </row>
    <row r="88" spans="2:8" x14ac:dyDescent="0.25">
      <c r="C88" s="226" t="s">
        <v>373</v>
      </c>
      <c r="D88" s="16" t="s">
        <v>524</v>
      </c>
      <c r="E88" s="223">
        <f>+INDEX('2025 GSD Rate Class E-13c'!R:R,MATCH('2025 Base Rates'!D88,'2025 GSD Rate Class E-13c'!C:C,0))</f>
        <v>-3.09</v>
      </c>
      <c r="F88" s="223"/>
      <c r="G88" s="223">
        <f t="shared" si="11"/>
        <v>-3.09</v>
      </c>
      <c r="H88" s="224"/>
    </row>
    <row r="89" spans="2:8" x14ac:dyDescent="0.25">
      <c r="B89" s="17" t="s">
        <v>346</v>
      </c>
      <c r="C89" s="222"/>
      <c r="D89" s="222"/>
      <c r="E89" s="223"/>
      <c r="F89" s="223"/>
      <c r="G89" s="223"/>
    </row>
    <row r="90" spans="2:8" x14ac:dyDescent="0.25">
      <c r="C90" s="16" t="s">
        <v>393</v>
      </c>
      <c r="D90" s="16" t="s">
        <v>534</v>
      </c>
      <c r="E90" s="223">
        <f>+INDEX('2025 GSD Rate Class E-13c'!R:R,MATCH('2025 Base Rates'!D90,'2025 GSD Rate Class E-13c'!C:C,0))</f>
        <v>1.02</v>
      </c>
      <c r="F90" s="223"/>
      <c r="G90" s="223">
        <f t="shared" ref="G90:G92" si="12">+ROUND(E90,2)</f>
        <v>1.02</v>
      </c>
      <c r="H90" s="224"/>
    </row>
    <row r="91" spans="2:8" x14ac:dyDescent="0.25">
      <c r="C91" s="16" t="s">
        <v>388</v>
      </c>
      <c r="D91" s="16" t="s">
        <v>526</v>
      </c>
      <c r="E91" s="223">
        <f>+INDEX('2025 GSD Rate Class E-13c'!R:R,MATCH('2025 Base Rates'!D91,'2025 GSD Rate Class E-13c'!C:C,0))</f>
        <v>1.02</v>
      </c>
      <c r="F91" s="223"/>
      <c r="G91" s="223">
        <f t="shared" si="12"/>
        <v>1.02</v>
      </c>
      <c r="H91" s="224"/>
    </row>
    <row r="92" spans="2:8" x14ac:dyDescent="0.25">
      <c r="C92" s="16" t="s">
        <v>366</v>
      </c>
      <c r="D92" s="16" t="s">
        <v>527</v>
      </c>
      <c r="E92" s="223">
        <f>+INDEX('2025 GSD Rate Class E-13c'!R:R,MATCH('2025 Base Rates'!D92,'2025 GSD Rate Class E-13c'!C:C,0))</f>
        <v>1.02</v>
      </c>
      <c r="F92" s="223"/>
      <c r="G92" s="223">
        <f t="shared" si="12"/>
        <v>1.02</v>
      </c>
      <c r="H92" s="224"/>
    </row>
    <row r="93" spans="2:8" x14ac:dyDescent="0.25">
      <c r="C93" s="33" t="s">
        <v>394</v>
      </c>
      <c r="D93" s="16" t="s">
        <v>528</v>
      </c>
      <c r="E93" s="227">
        <f>+INDEX('2025 GSD Rate Class E-13c'!R:R,MATCH('2025 Base Rates'!D93,'2025 GSD Rate Class E-13c'!C:C,0))</f>
        <v>2.5699999999999998E-3</v>
      </c>
      <c r="F93" s="223"/>
      <c r="G93" s="227">
        <f t="shared" ref="G93:G95" si="13">+ROUND(E93,5)</f>
        <v>2.5699999999999998E-3</v>
      </c>
      <c r="H93" s="228"/>
    </row>
    <row r="94" spans="2:8" x14ac:dyDescent="0.25">
      <c r="C94" s="33" t="s">
        <v>392</v>
      </c>
      <c r="D94" s="16" t="s">
        <v>529</v>
      </c>
      <c r="E94" s="227">
        <f>+INDEX('2025 GSD Rate Class E-13c'!R:R,MATCH('2025 Base Rates'!D94,'2025 GSD Rate Class E-13c'!C:C,0))</f>
        <v>2.5699999999999998E-3</v>
      </c>
      <c r="F94" s="223"/>
      <c r="G94" s="227">
        <f t="shared" si="13"/>
        <v>2.5699999999999998E-3</v>
      </c>
      <c r="H94" s="228"/>
    </row>
    <row r="95" spans="2:8" x14ac:dyDescent="0.25">
      <c r="C95" s="230" t="s">
        <v>370</v>
      </c>
      <c r="D95" s="16" t="s">
        <v>530</v>
      </c>
      <c r="E95" s="227">
        <f>+INDEX('2025 GSD Rate Class E-13c'!R:R,MATCH('2025 Base Rates'!D95,'2025 GSD Rate Class E-13c'!C:C,0))</f>
        <v>2.5699999999999998E-3</v>
      </c>
      <c r="F95" s="223"/>
      <c r="G95" s="227">
        <f t="shared" si="13"/>
        <v>2.5699999999999998E-3</v>
      </c>
      <c r="H95" s="228"/>
    </row>
    <row r="96" spans="2:8" x14ac:dyDescent="0.25">
      <c r="C96" s="16" t="s">
        <v>395</v>
      </c>
      <c r="D96" s="16" t="s">
        <v>531</v>
      </c>
      <c r="E96" s="223">
        <f>+INDEX('2025 GSD Rate Class E-13c'!R:R,MATCH('2025 Base Rates'!D96,'2025 GSD Rate Class E-13c'!C:C,0))</f>
        <v>1.02</v>
      </c>
      <c r="F96" s="223"/>
      <c r="G96" s="223">
        <f t="shared" ref="G96:G98" si="14">+ROUND(E96,2)</f>
        <v>1.02</v>
      </c>
      <c r="H96" s="224"/>
    </row>
    <row r="97" spans="2:8" x14ac:dyDescent="0.25">
      <c r="C97" s="16" t="s">
        <v>390</v>
      </c>
      <c r="D97" s="16" t="s">
        <v>532</v>
      </c>
      <c r="E97" s="223">
        <f>+INDEX('2025 GSD Rate Class E-13c'!R:R,MATCH('2025 Base Rates'!D97,'2025 GSD Rate Class E-13c'!C:C,0))</f>
        <v>1.02</v>
      </c>
      <c r="F97" s="223"/>
      <c r="G97" s="223">
        <f t="shared" si="14"/>
        <v>1.02</v>
      </c>
      <c r="H97" s="224"/>
    </row>
    <row r="98" spans="2:8" x14ac:dyDescent="0.25">
      <c r="C98" s="226" t="s">
        <v>373</v>
      </c>
      <c r="D98" s="16" t="s">
        <v>533</v>
      </c>
      <c r="E98" s="223">
        <f>+INDEX('2025 GSD Rate Class E-13c'!R:R,MATCH('2025 Base Rates'!D98,'2025 GSD Rate Class E-13c'!C:C,0))</f>
        <v>1.02</v>
      </c>
      <c r="F98" s="223"/>
      <c r="G98" s="223">
        <f t="shared" si="14"/>
        <v>1.02</v>
      </c>
      <c r="H98" s="224"/>
    </row>
    <row r="99" spans="2:8" x14ac:dyDescent="0.25">
      <c r="C99" s="226"/>
      <c r="D99" s="226"/>
      <c r="E99" s="223"/>
      <c r="F99" s="223"/>
      <c r="G99" s="223"/>
    </row>
    <row r="100" spans="2:8" x14ac:dyDescent="0.25">
      <c r="C100" s="226"/>
      <c r="D100" s="226"/>
      <c r="E100" s="223"/>
      <c r="F100" s="223"/>
      <c r="G100" s="223"/>
    </row>
    <row r="101" spans="2:8" x14ac:dyDescent="0.25">
      <c r="B101" s="219" t="s">
        <v>396</v>
      </c>
      <c r="C101" s="222"/>
      <c r="D101" s="222"/>
      <c r="E101" s="223"/>
      <c r="F101" s="223"/>
      <c r="G101" s="223"/>
    </row>
    <row r="102" spans="2:8" x14ac:dyDescent="0.25">
      <c r="B102" s="17" t="s">
        <v>349</v>
      </c>
      <c r="C102" s="222"/>
      <c r="D102" s="222"/>
      <c r="E102" s="223"/>
      <c r="F102" s="223"/>
      <c r="G102" s="223"/>
    </row>
    <row r="103" spans="2:8" x14ac:dyDescent="0.25">
      <c r="B103" s="11"/>
      <c r="C103" s="16" t="s">
        <v>364</v>
      </c>
      <c r="D103" s="16" t="s">
        <v>554</v>
      </c>
      <c r="E103" s="223">
        <f>+INDEX('2025 GSD Rate Class E-13c'!R:R,MATCH('2025 Base Rates'!D103,'2025 GSD Rate Class E-13c'!C:C,0))</f>
        <v>1.72</v>
      </c>
      <c r="F103" s="223"/>
      <c r="G103" s="223">
        <f t="shared" ref="G103:G108" si="15">+ROUND(E103,2)</f>
        <v>1.72</v>
      </c>
      <c r="H103" s="224"/>
    </row>
    <row r="104" spans="2:8" x14ac:dyDescent="0.25">
      <c r="B104" s="11"/>
      <c r="C104" s="16" t="s">
        <v>365</v>
      </c>
      <c r="D104" s="16" t="s">
        <v>555</v>
      </c>
      <c r="E104" s="223">
        <f>+INDEX('2025 GSD Rate Class E-13c'!R:R,MATCH('2025 Base Rates'!D104,'2025 GSD Rate Class E-13c'!C:C,0))</f>
        <v>9.36</v>
      </c>
      <c r="F104" s="223"/>
      <c r="G104" s="223">
        <f t="shared" si="15"/>
        <v>9.36</v>
      </c>
      <c r="H104" s="224"/>
    </row>
    <row r="105" spans="2:8" x14ac:dyDescent="0.25">
      <c r="B105" s="11"/>
      <c r="C105" s="16" t="s">
        <v>397</v>
      </c>
      <c r="D105" s="16" t="s">
        <v>556</v>
      </c>
      <c r="E105" s="223">
        <f>+INDEX('2025 GSD Rate Class E-13c'!R:R,MATCH('2025 Base Rates'!D105,'2025 GSD Rate Class E-13c'!C:C,0))</f>
        <v>25.76</v>
      </c>
      <c r="F105" s="223"/>
      <c r="G105" s="223">
        <f t="shared" si="15"/>
        <v>25.76</v>
      </c>
      <c r="H105" s="224"/>
    </row>
    <row r="106" spans="2:8" x14ac:dyDescent="0.25">
      <c r="B106" s="11"/>
      <c r="C106" s="226" t="s">
        <v>398</v>
      </c>
      <c r="D106" s="226" t="s">
        <v>557</v>
      </c>
      <c r="E106" s="223">
        <f>+INDEX('2025 GSD Rate Class E-13c'!R:R,MATCH('2025 Base Rates'!D106,'2025 GSD Rate Class E-13c'!C:C,0))</f>
        <v>1.72</v>
      </c>
      <c r="F106" s="223"/>
      <c r="G106" s="223">
        <f t="shared" si="15"/>
        <v>1.72</v>
      </c>
      <c r="H106" s="224"/>
    </row>
    <row r="107" spans="2:8" x14ac:dyDescent="0.25">
      <c r="C107" s="226" t="s">
        <v>399</v>
      </c>
      <c r="D107" s="226" t="s">
        <v>558</v>
      </c>
      <c r="E107" s="223">
        <f>+INDEX('2025 GSD Rate Class E-13c'!R:R,MATCH('2025 Base Rates'!D107,'2025 GSD Rate Class E-13c'!C:C,0))</f>
        <v>9.36</v>
      </c>
      <c r="F107" s="223"/>
      <c r="G107" s="223">
        <f t="shared" si="15"/>
        <v>9.36</v>
      </c>
      <c r="H107" s="224"/>
    </row>
    <row r="108" spans="2:8" x14ac:dyDescent="0.25">
      <c r="C108" s="226" t="s">
        <v>400</v>
      </c>
      <c r="D108" s="226" t="s">
        <v>559</v>
      </c>
      <c r="E108" s="223">
        <f>+INDEX('2025 GSD Rate Class E-13c'!R:R,MATCH('2025 Base Rates'!D108,'2025 GSD Rate Class E-13c'!C:C,0))</f>
        <v>25.76</v>
      </c>
      <c r="F108" s="223"/>
      <c r="G108" s="223">
        <f t="shared" si="15"/>
        <v>25.76</v>
      </c>
      <c r="H108" s="224"/>
    </row>
    <row r="109" spans="2:8" x14ac:dyDescent="0.25">
      <c r="B109" s="17" t="s">
        <v>401</v>
      </c>
      <c r="C109" s="222"/>
      <c r="D109" s="222"/>
      <c r="E109" s="223"/>
      <c r="F109" s="223"/>
      <c r="G109" s="223"/>
    </row>
    <row r="110" spans="2:8" x14ac:dyDescent="0.25">
      <c r="B110" s="11"/>
      <c r="C110" s="16" t="s">
        <v>364</v>
      </c>
      <c r="D110" s="16" t="s">
        <v>568</v>
      </c>
      <c r="E110" s="227">
        <f>+INDEX('2025 GSD Rate Class E-13c'!R:R,MATCH('2025 Base Rates'!D110,'2025 GSD Rate Class E-13c'!C:C,0))</f>
        <v>7.7280000000000005E-3</v>
      </c>
      <c r="F110" s="223"/>
      <c r="G110" s="227">
        <f t="shared" ref="G110:G118" si="16">+ROUND(E110,5)</f>
        <v>7.7299999999999999E-3</v>
      </c>
      <c r="H110" s="228"/>
    </row>
    <row r="111" spans="2:8" x14ac:dyDescent="0.25">
      <c r="B111" s="11"/>
      <c r="C111" s="16" t="s">
        <v>365</v>
      </c>
      <c r="D111" s="16" t="s">
        <v>569</v>
      </c>
      <c r="E111" s="227">
        <f>+INDEX('2025 GSD Rate Class E-13c'!R:R,MATCH('2025 Base Rates'!D111,'2025 GSD Rate Class E-13c'!C:C,0))</f>
        <v>7.7280000000000005E-3</v>
      </c>
      <c r="F111" s="223"/>
      <c r="G111" s="227">
        <f t="shared" si="16"/>
        <v>7.7299999999999999E-3</v>
      </c>
      <c r="H111" s="228"/>
    </row>
    <row r="112" spans="2:8" x14ac:dyDescent="0.25">
      <c r="B112" s="11"/>
      <c r="C112" s="16" t="s">
        <v>397</v>
      </c>
      <c r="D112" s="16" t="s">
        <v>570</v>
      </c>
      <c r="E112" s="227">
        <f>+INDEX('2025 GSD Rate Class E-13c'!R:R,MATCH('2025 Base Rates'!D112,'2025 GSD Rate Class E-13c'!C:C,0))</f>
        <v>7.7280000000000005E-3</v>
      </c>
      <c r="F112" s="223"/>
      <c r="G112" s="227">
        <f t="shared" si="16"/>
        <v>7.7299999999999999E-3</v>
      </c>
      <c r="H112" s="228"/>
    </row>
    <row r="113" spans="2:8" x14ac:dyDescent="0.25">
      <c r="B113" s="11"/>
      <c r="C113" s="226" t="s">
        <v>402</v>
      </c>
      <c r="D113" s="226" t="s">
        <v>571</v>
      </c>
      <c r="E113" s="227">
        <f>+INDEX('2025 GSD Rate Class E-13c'!R:R,MATCH('2025 Base Rates'!D113,'2025 GSD Rate Class E-13c'!C:C,0))</f>
        <v>1.2432E-2</v>
      </c>
      <c r="F113" s="223"/>
      <c r="G113" s="227">
        <f t="shared" si="16"/>
        <v>1.243E-2</v>
      </c>
      <c r="H113" s="228"/>
    </row>
    <row r="114" spans="2:8" x14ac:dyDescent="0.25">
      <c r="C114" s="226" t="s">
        <v>403</v>
      </c>
      <c r="D114" s="226" t="s">
        <v>572</v>
      </c>
      <c r="E114" s="227">
        <f>+INDEX('2025 GSD Rate Class E-13c'!R:R,MATCH('2025 Base Rates'!D114,'2025 GSD Rate Class E-13c'!C:C,0))</f>
        <v>1.2432E-2</v>
      </c>
      <c r="F114" s="223"/>
      <c r="G114" s="227">
        <f t="shared" si="16"/>
        <v>1.243E-2</v>
      </c>
      <c r="H114" s="228"/>
    </row>
    <row r="115" spans="2:8" x14ac:dyDescent="0.25">
      <c r="C115" s="226" t="s">
        <v>404</v>
      </c>
      <c r="D115" s="226" t="s">
        <v>573</v>
      </c>
      <c r="E115" s="227">
        <f>+INDEX('2025 GSD Rate Class E-13c'!R:R,MATCH('2025 Base Rates'!D115,'2025 GSD Rate Class E-13c'!C:C,0))</f>
        <v>1.2432E-2</v>
      </c>
      <c r="F115" s="223"/>
      <c r="G115" s="227">
        <f t="shared" si="16"/>
        <v>1.243E-2</v>
      </c>
      <c r="H115" s="228"/>
    </row>
    <row r="116" spans="2:8" x14ac:dyDescent="0.25">
      <c r="C116" s="226" t="s">
        <v>405</v>
      </c>
      <c r="D116" s="226" t="s">
        <v>576</v>
      </c>
      <c r="E116" s="227">
        <f>+INDEX('2025 GSD Rate Class E-13c'!R:R,MATCH('2025 Base Rates'!D116,'2025 GSD Rate Class E-13c'!C:C,0))</f>
        <v>8.1720000000000004E-3</v>
      </c>
      <c r="F116" s="223"/>
      <c r="G116" s="227">
        <f t="shared" si="16"/>
        <v>8.1700000000000002E-3</v>
      </c>
      <c r="H116" s="228"/>
    </row>
    <row r="117" spans="2:8" x14ac:dyDescent="0.25">
      <c r="C117" s="226" t="s">
        <v>406</v>
      </c>
      <c r="D117" s="226" t="s">
        <v>574</v>
      </c>
      <c r="E117" s="227">
        <f>+INDEX('2025 GSD Rate Class E-13c'!R:R,MATCH('2025 Base Rates'!D117,'2025 GSD Rate Class E-13c'!C:C,0))</f>
        <v>8.1720000000000004E-3</v>
      </c>
      <c r="F117" s="223"/>
      <c r="G117" s="227">
        <f t="shared" si="16"/>
        <v>8.1700000000000002E-3</v>
      </c>
      <c r="H117" s="228"/>
    </row>
    <row r="118" spans="2:8" x14ac:dyDescent="0.25">
      <c r="C118" s="226" t="s">
        <v>407</v>
      </c>
      <c r="D118" s="226" t="s">
        <v>575</v>
      </c>
      <c r="E118" s="227">
        <f>+INDEX('2025 GSD Rate Class E-13c'!R:R,MATCH('2025 Base Rates'!D118,'2025 GSD Rate Class E-13c'!C:C,0))</f>
        <v>8.1720000000000004E-3</v>
      </c>
      <c r="F118" s="223"/>
      <c r="G118" s="227">
        <f t="shared" si="16"/>
        <v>8.1700000000000002E-3</v>
      </c>
      <c r="H118" s="228"/>
    </row>
    <row r="119" spans="2:8" x14ac:dyDescent="0.25">
      <c r="C119" s="226" t="s">
        <v>1515</v>
      </c>
      <c r="D119" s="226" t="s">
        <v>1500</v>
      </c>
      <c r="E119" s="227">
        <f>+INDEX('2025 GSD Rate Class E-13c'!R:R,MATCH('2025 Base Rates'!D119,'2025 GSD Rate Class E-13c'!C:C,0))</f>
        <v>4.6120000000000006E-3</v>
      </c>
      <c r="F119" s="223"/>
      <c r="G119" s="227">
        <f t="shared" ref="G119:G121" si="17">+ROUND(E119,5)</f>
        <v>4.6100000000000004E-3</v>
      </c>
      <c r="H119" s="228"/>
    </row>
    <row r="120" spans="2:8" x14ac:dyDescent="0.25">
      <c r="C120" s="226" t="s">
        <v>1516</v>
      </c>
      <c r="D120" s="226" t="s">
        <v>1501</v>
      </c>
      <c r="E120" s="227">
        <f>+INDEX('2025 GSD Rate Class E-13c'!R:R,MATCH('2025 Base Rates'!D120,'2025 GSD Rate Class E-13c'!C:C,0))</f>
        <v>4.6120000000000006E-3</v>
      </c>
      <c r="F120" s="223"/>
      <c r="G120" s="227">
        <f t="shared" si="17"/>
        <v>4.6100000000000004E-3</v>
      </c>
      <c r="H120" s="228"/>
    </row>
    <row r="121" spans="2:8" x14ac:dyDescent="0.25">
      <c r="C121" s="226" t="s">
        <v>1517</v>
      </c>
      <c r="D121" s="226" t="s">
        <v>1502</v>
      </c>
      <c r="E121" s="227">
        <f>+INDEX('2025 GSD Rate Class E-13c'!R:R,MATCH('2025 Base Rates'!D121,'2025 GSD Rate Class E-13c'!C:C,0))</f>
        <v>4.6120000000000006E-3</v>
      </c>
      <c r="F121" s="223"/>
      <c r="G121" s="227">
        <f t="shared" si="17"/>
        <v>4.6100000000000004E-3</v>
      </c>
      <c r="H121" s="228"/>
    </row>
    <row r="122" spans="2:8" x14ac:dyDescent="0.25">
      <c r="B122" s="17" t="s">
        <v>408</v>
      </c>
      <c r="C122" s="222"/>
      <c r="D122" s="222"/>
      <c r="E122" s="223"/>
      <c r="F122" s="223"/>
      <c r="G122" s="223"/>
    </row>
    <row r="123" spans="2:8" x14ac:dyDescent="0.25">
      <c r="B123" s="17"/>
      <c r="C123" s="226" t="s">
        <v>409</v>
      </c>
      <c r="D123" s="16" t="s">
        <v>585</v>
      </c>
      <c r="E123" s="227">
        <f>+INDEX('2025 GSD Rate Class E-13c'!R:R,MATCH('2025 Base Rates'!D123,'2025 GSD Rate Class E-13c'!C:C,0))</f>
        <v>8.9984999999999996E-3</v>
      </c>
      <c r="F123" s="223"/>
      <c r="G123" s="227">
        <f t="shared" ref="G123:G131" si="18">+ROUND(E123,5)</f>
        <v>8.9999999999999993E-3</v>
      </c>
      <c r="H123" s="228"/>
    </row>
    <row r="124" spans="2:8" x14ac:dyDescent="0.25">
      <c r="B124" s="17"/>
      <c r="C124" s="226" t="s">
        <v>410</v>
      </c>
      <c r="D124" s="16" t="s">
        <v>577</v>
      </c>
      <c r="E124" s="227">
        <f>+INDEX('2025 GSD Rate Class E-13c'!R:R,MATCH('2025 Base Rates'!D124,'2025 GSD Rate Class E-13c'!C:C,0))</f>
        <v>8.9984999999999996E-3</v>
      </c>
      <c r="F124" s="223"/>
      <c r="G124" s="227">
        <f t="shared" si="18"/>
        <v>8.9999999999999993E-3</v>
      </c>
      <c r="H124" s="228"/>
    </row>
    <row r="125" spans="2:8" x14ac:dyDescent="0.25">
      <c r="B125" s="17"/>
      <c r="C125" s="226" t="s">
        <v>411</v>
      </c>
      <c r="D125" s="16" t="s">
        <v>578</v>
      </c>
      <c r="E125" s="227">
        <f>+INDEX('2025 GSD Rate Class E-13c'!R:R,MATCH('2025 Base Rates'!D125,'2025 GSD Rate Class E-13c'!C:C,0))</f>
        <v>8.9984999999999996E-3</v>
      </c>
      <c r="F125" s="223"/>
      <c r="G125" s="227">
        <f t="shared" si="18"/>
        <v>8.9999999999999993E-3</v>
      </c>
      <c r="H125" s="228"/>
    </row>
    <row r="126" spans="2:8" x14ac:dyDescent="0.25">
      <c r="B126" s="11"/>
      <c r="C126" s="226" t="s">
        <v>402</v>
      </c>
      <c r="D126" s="226" t="s">
        <v>579</v>
      </c>
      <c r="E126" s="227">
        <f>+INDEX('2025 GSD Rate Class E-13c'!R:R,MATCH('2025 Base Rates'!D126,'2025 GSD Rate Class E-13c'!C:C,0))</f>
        <v>8.9984999999999996E-3</v>
      </c>
      <c r="F126" s="223"/>
      <c r="G126" s="227">
        <f t="shared" si="18"/>
        <v>8.9999999999999993E-3</v>
      </c>
      <c r="H126" s="228"/>
    </row>
    <row r="127" spans="2:8" x14ac:dyDescent="0.25">
      <c r="C127" s="226" t="s">
        <v>403</v>
      </c>
      <c r="D127" s="226" t="s">
        <v>580</v>
      </c>
      <c r="E127" s="227">
        <f>+INDEX('2025 GSD Rate Class E-13c'!R:R,MATCH('2025 Base Rates'!D127,'2025 GSD Rate Class E-13c'!C:C,0))</f>
        <v>8.9984999999999996E-3</v>
      </c>
      <c r="F127" s="223"/>
      <c r="G127" s="227">
        <f t="shared" si="18"/>
        <v>8.9999999999999993E-3</v>
      </c>
      <c r="H127" s="228"/>
    </row>
    <row r="128" spans="2:8" x14ac:dyDescent="0.25">
      <c r="C128" s="226" t="s">
        <v>404</v>
      </c>
      <c r="D128" s="226" t="s">
        <v>581</v>
      </c>
      <c r="E128" s="227">
        <f>+INDEX('2025 GSD Rate Class E-13c'!R:R,MATCH('2025 Base Rates'!D128,'2025 GSD Rate Class E-13c'!C:C,0))</f>
        <v>8.9984999999999996E-3</v>
      </c>
      <c r="F128" s="223"/>
      <c r="G128" s="227">
        <f t="shared" si="18"/>
        <v>8.9999999999999993E-3</v>
      </c>
      <c r="H128" s="228"/>
    </row>
    <row r="129" spans="2:8" x14ac:dyDescent="0.25">
      <c r="C129" s="226" t="s">
        <v>405</v>
      </c>
      <c r="D129" s="226" t="s">
        <v>582</v>
      </c>
      <c r="E129" s="227">
        <f>+INDEX('2025 GSD Rate Class E-13c'!R:R,MATCH('2025 Base Rates'!D129,'2025 GSD Rate Class E-13c'!C:C,0))</f>
        <v>8.9984999999999996E-3</v>
      </c>
      <c r="F129" s="223"/>
      <c r="G129" s="227">
        <f t="shared" si="18"/>
        <v>8.9999999999999993E-3</v>
      </c>
      <c r="H129" s="228"/>
    </row>
    <row r="130" spans="2:8" x14ac:dyDescent="0.25">
      <c r="C130" s="226" t="s">
        <v>406</v>
      </c>
      <c r="D130" s="226" t="s">
        <v>583</v>
      </c>
      <c r="E130" s="227">
        <f>+INDEX('2025 GSD Rate Class E-13c'!R:R,MATCH('2025 Base Rates'!D130,'2025 GSD Rate Class E-13c'!C:C,0))</f>
        <v>8.9984999999999996E-3</v>
      </c>
      <c r="F130" s="223"/>
      <c r="G130" s="227">
        <f t="shared" si="18"/>
        <v>8.9999999999999993E-3</v>
      </c>
      <c r="H130" s="228"/>
    </row>
    <row r="131" spans="2:8" x14ac:dyDescent="0.25">
      <c r="C131" s="226" t="s">
        <v>407</v>
      </c>
      <c r="D131" s="226" t="s">
        <v>584</v>
      </c>
      <c r="E131" s="227">
        <f>+INDEX('2025 GSD Rate Class E-13c'!R:R,MATCH('2025 Base Rates'!D131,'2025 GSD Rate Class E-13c'!C:C,0))</f>
        <v>8.9984999999999996E-3</v>
      </c>
      <c r="F131" s="223"/>
      <c r="G131" s="227">
        <f t="shared" si="18"/>
        <v>8.9999999999999993E-3</v>
      </c>
      <c r="H131" s="228"/>
    </row>
    <row r="132" spans="2:8" x14ac:dyDescent="0.25">
      <c r="C132" s="226" t="s">
        <v>1515</v>
      </c>
      <c r="D132" s="226" t="s">
        <v>1503</v>
      </c>
      <c r="E132" s="227">
        <f>+INDEX('2025 GSD Rate Class E-13c'!R:R,MATCH('2025 Base Rates'!D132,'2025 GSD Rate Class E-13c'!C:C,0))</f>
        <v>8.9984999999999996E-3</v>
      </c>
      <c r="F132" s="223"/>
      <c r="G132" s="227">
        <f t="shared" ref="G132:G134" si="19">+ROUND(E132,5)</f>
        <v>8.9999999999999993E-3</v>
      </c>
      <c r="H132" s="228"/>
    </row>
    <row r="133" spans="2:8" x14ac:dyDescent="0.25">
      <c r="C133" s="226" t="s">
        <v>1516</v>
      </c>
      <c r="D133" s="226" t="s">
        <v>1504</v>
      </c>
      <c r="E133" s="227">
        <f>+INDEX('2025 GSD Rate Class E-13c'!R:R,MATCH('2025 Base Rates'!D133,'2025 GSD Rate Class E-13c'!C:C,0))</f>
        <v>8.9984999999999996E-3</v>
      </c>
      <c r="F133" s="223"/>
      <c r="G133" s="227">
        <f t="shared" si="19"/>
        <v>8.9999999999999993E-3</v>
      </c>
      <c r="H133" s="228"/>
    </row>
    <row r="134" spans="2:8" x14ac:dyDescent="0.25">
      <c r="C134" s="226" t="s">
        <v>1517</v>
      </c>
      <c r="D134" s="226" t="s">
        <v>1505</v>
      </c>
      <c r="E134" s="227">
        <f>+INDEX('2025 GSD Rate Class E-13c'!R:R,MATCH('2025 Base Rates'!D134,'2025 GSD Rate Class E-13c'!C:C,0))</f>
        <v>8.9984999999999996E-3</v>
      </c>
      <c r="F134" s="223"/>
      <c r="G134" s="227">
        <f t="shared" si="19"/>
        <v>8.9999999999999993E-3</v>
      </c>
      <c r="H134" s="228"/>
    </row>
    <row r="135" spans="2:8" x14ac:dyDescent="0.25">
      <c r="B135" s="17" t="s">
        <v>412</v>
      </c>
      <c r="C135" s="222"/>
      <c r="D135" s="222"/>
      <c r="E135" s="223"/>
      <c r="F135" s="223"/>
      <c r="G135" s="223"/>
    </row>
    <row r="136" spans="2:8" x14ac:dyDescent="0.25">
      <c r="B136" s="11"/>
      <c r="C136" s="16" t="s">
        <v>364</v>
      </c>
      <c r="D136" s="16" t="s">
        <v>587</v>
      </c>
      <c r="E136" s="223">
        <f>+INDEX('2025 GSD Rate Class E-13c'!R:R,MATCH('2025 Base Rates'!D136,'2025 GSD Rate Class E-13c'!C:C,0))</f>
        <v>19.61970957579716</v>
      </c>
      <c r="F136" s="223"/>
      <c r="G136" s="223">
        <f t="shared" ref="G136:G144" si="20">+ROUND(E136,2)</f>
        <v>19.62</v>
      </c>
      <c r="H136" s="224"/>
    </row>
    <row r="137" spans="2:8" x14ac:dyDescent="0.25">
      <c r="B137" s="11"/>
      <c r="C137" s="16" t="s">
        <v>365</v>
      </c>
      <c r="D137" s="16" t="s">
        <v>586</v>
      </c>
      <c r="E137" s="223">
        <f>+INDEX('2025 GSD Rate Class E-13c'!R:R,MATCH('2025 Base Rates'!D137,'2025 GSD Rate Class E-13c'!C:C,0))</f>
        <v>19.61970957579716</v>
      </c>
      <c r="F137" s="223"/>
      <c r="G137" s="223">
        <f t="shared" si="20"/>
        <v>19.62</v>
      </c>
      <c r="H137" s="224"/>
    </row>
    <row r="138" spans="2:8" x14ac:dyDescent="0.25">
      <c r="B138" s="11"/>
      <c r="C138" s="16" t="s">
        <v>397</v>
      </c>
      <c r="D138" s="16" t="s">
        <v>588</v>
      </c>
      <c r="E138" s="223">
        <f>+INDEX('2025 GSD Rate Class E-13c'!R:R,MATCH('2025 Base Rates'!D138,'2025 GSD Rate Class E-13c'!C:C,0))</f>
        <v>19.61970957579716</v>
      </c>
      <c r="F138" s="223"/>
      <c r="G138" s="223">
        <f t="shared" si="20"/>
        <v>19.62</v>
      </c>
      <c r="H138" s="224"/>
    </row>
    <row r="139" spans="2:8" x14ac:dyDescent="0.25">
      <c r="B139" s="11"/>
      <c r="C139" s="226" t="s">
        <v>413</v>
      </c>
      <c r="D139" s="226" t="s">
        <v>589</v>
      </c>
      <c r="E139" s="223">
        <f>+INDEX('2025 GSD Rate Class E-13c'!R:R,MATCH('2025 Base Rates'!D139,'2025 GSD Rate Class E-13c'!C:C,0))</f>
        <v>5.0398852462260963</v>
      </c>
      <c r="F139" s="223"/>
      <c r="G139" s="223">
        <f t="shared" si="20"/>
        <v>5.04</v>
      </c>
      <c r="H139" s="224"/>
    </row>
    <row r="140" spans="2:8" x14ac:dyDescent="0.25">
      <c r="C140" s="226" t="s">
        <v>414</v>
      </c>
      <c r="D140" s="226" t="s">
        <v>590</v>
      </c>
      <c r="E140" s="223">
        <f>+INDEX('2025 GSD Rate Class E-13c'!R:R,MATCH('2025 Base Rates'!D140,'2025 GSD Rate Class E-13c'!C:C,0))</f>
        <v>5.0398852462260963</v>
      </c>
      <c r="F140" s="223"/>
      <c r="G140" s="223">
        <f t="shared" si="20"/>
        <v>5.04</v>
      </c>
      <c r="H140" s="224"/>
    </row>
    <row r="141" spans="2:8" x14ac:dyDescent="0.25">
      <c r="C141" s="226" t="s">
        <v>415</v>
      </c>
      <c r="D141" s="226" t="s">
        <v>591</v>
      </c>
      <c r="E141" s="223">
        <f>+INDEX('2025 GSD Rate Class E-13c'!R:R,MATCH('2025 Base Rates'!D141,'2025 GSD Rate Class E-13c'!C:C,0))</f>
        <v>5.0398852462260963</v>
      </c>
      <c r="F141" s="223"/>
      <c r="G141" s="223">
        <f t="shared" si="20"/>
        <v>5.04</v>
      </c>
      <c r="H141" s="224"/>
    </row>
    <row r="142" spans="2:8" x14ac:dyDescent="0.25">
      <c r="C142" s="226" t="s">
        <v>416</v>
      </c>
      <c r="D142" s="226" t="s">
        <v>592</v>
      </c>
      <c r="E142" s="223">
        <f>+INDEX('2025 GSD Rate Class E-13c'!R:R,MATCH('2025 Base Rates'!D142,'2025 GSD Rate Class E-13c'!C:C,0))</f>
        <v>14.579824329571064</v>
      </c>
      <c r="F142" s="223"/>
      <c r="G142" s="223">
        <f t="shared" si="20"/>
        <v>14.58</v>
      </c>
      <c r="H142" s="224"/>
    </row>
    <row r="143" spans="2:8" x14ac:dyDescent="0.25">
      <c r="C143" s="226" t="s">
        <v>417</v>
      </c>
      <c r="D143" s="226" t="s">
        <v>593</v>
      </c>
      <c r="E143" s="223">
        <f>+INDEX('2025 GSD Rate Class E-13c'!R:R,MATCH('2025 Base Rates'!D143,'2025 GSD Rate Class E-13c'!C:C,0))</f>
        <v>14.579824329571064</v>
      </c>
      <c r="F143" s="223"/>
      <c r="G143" s="223">
        <f t="shared" si="20"/>
        <v>14.58</v>
      </c>
      <c r="H143" s="224"/>
    </row>
    <row r="144" spans="2:8" x14ac:dyDescent="0.25">
      <c r="C144" s="226" t="s">
        <v>418</v>
      </c>
      <c r="D144" s="226" t="s">
        <v>594</v>
      </c>
      <c r="E144" s="223">
        <f>+INDEX('2025 GSD Rate Class E-13c'!R:R,MATCH('2025 Base Rates'!D144,'2025 GSD Rate Class E-13c'!C:C,0))</f>
        <v>14.579824329571064</v>
      </c>
      <c r="F144" s="223"/>
      <c r="G144" s="223">
        <f t="shared" si="20"/>
        <v>14.58</v>
      </c>
      <c r="H144" s="224"/>
    </row>
    <row r="145" spans="2:8" x14ac:dyDescent="0.25">
      <c r="B145" s="17" t="s">
        <v>419</v>
      </c>
      <c r="C145" s="222"/>
      <c r="D145" s="222"/>
      <c r="E145" s="223"/>
      <c r="F145" s="223"/>
      <c r="G145" s="223"/>
    </row>
    <row r="146" spans="2:8" x14ac:dyDescent="0.25">
      <c r="B146" s="17"/>
      <c r="C146" s="226" t="s">
        <v>420</v>
      </c>
      <c r="D146" s="226" t="s">
        <v>633</v>
      </c>
      <c r="E146" s="223">
        <f>+INDEX('2025 GSD Rate Class E-13c'!R:R,MATCH('2025 Base Rates'!D146,'2025 GSD Rate Class E-13c'!C:C,0))</f>
        <v>2.4659945463088522</v>
      </c>
      <c r="F146" s="223"/>
      <c r="G146" s="223">
        <f t="shared" ref="G146:G163" si="21">+ROUND(E146,2)</f>
        <v>2.4700000000000002</v>
      </c>
      <c r="H146" s="224"/>
    </row>
    <row r="147" spans="2:8" x14ac:dyDescent="0.25">
      <c r="B147" s="17"/>
      <c r="C147" s="226" t="s">
        <v>421</v>
      </c>
      <c r="D147" s="226" t="s">
        <v>634</v>
      </c>
      <c r="E147" s="223">
        <f>+INDEX('2025 GSD Rate Class E-13c'!R:R,MATCH('2025 Base Rates'!D147,'2025 GSD Rate Class E-13c'!C:C,0))</f>
        <v>2.4659945463088522</v>
      </c>
      <c r="F147" s="223"/>
      <c r="G147" s="223">
        <f t="shared" si="21"/>
        <v>2.4700000000000002</v>
      </c>
      <c r="H147" s="224"/>
    </row>
    <row r="148" spans="2:8" x14ac:dyDescent="0.25">
      <c r="B148" s="17"/>
      <c r="C148" s="226" t="s">
        <v>422</v>
      </c>
      <c r="D148" s="226" t="s">
        <v>635</v>
      </c>
      <c r="E148" s="223">
        <f>+INDEX('2025 GSD Rate Class E-13c'!R:R,MATCH('2025 Base Rates'!D148,'2025 GSD Rate Class E-13c'!C:C,0))</f>
        <v>2.4659945463088522</v>
      </c>
      <c r="F148" s="223"/>
      <c r="G148" s="223">
        <f t="shared" si="21"/>
        <v>2.4700000000000002</v>
      </c>
      <c r="H148" s="224"/>
    </row>
    <row r="149" spans="2:8" x14ac:dyDescent="0.25">
      <c r="B149" s="17"/>
      <c r="C149" s="226" t="s">
        <v>423</v>
      </c>
      <c r="D149" s="226" t="s">
        <v>636</v>
      </c>
      <c r="E149" s="223">
        <f>+INDEX('2025 GSD Rate Class E-13c'!R:R,MATCH('2025 Base Rates'!D149,'2025 GSD Rate Class E-13c'!C:C,0))</f>
        <v>2.3579230721678273</v>
      </c>
      <c r="F149" s="223"/>
      <c r="G149" s="223">
        <f t="shared" si="21"/>
        <v>2.36</v>
      </c>
      <c r="H149" s="224"/>
    </row>
    <row r="150" spans="2:8" x14ac:dyDescent="0.25">
      <c r="B150" s="17"/>
      <c r="C150" s="226" t="s">
        <v>424</v>
      </c>
      <c r="D150" s="226" t="s">
        <v>637</v>
      </c>
      <c r="E150" s="223">
        <f>+INDEX('2025 GSD Rate Class E-13c'!R:R,MATCH('2025 Base Rates'!D150,'2025 GSD Rate Class E-13c'!C:C,0))</f>
        <v>2.3579230721678273</v>
      </c>
      <c r="F150" s="223"/>
      <c r="G150" s="223">
        <f t="shared" si="21"/>
        <v>2.36</v>
      </c>
      <c r="H150" s="224"/>
    </row>
    <row r="151" spans="2:8" x14ac:dyDescent="0.25">
      <c r="B151" s="17"/>
      <c r="C151" s="226" t="s">
        <v>425</v>
      </c>
      <c r="D151" s="226" t="s">
        <v>638</v>
      </c>
      <c r="E151" s="223">
        <f>+INDEX('2025 GSD Rate Class E-13c'!R:R,MATCH('2025 Base Rates'!D151,'2025 GSD Rate Class E-13c'!C:C,0))</f>
        <v>2.3579230721678273</v>
      </c>
      <c r="F151" s="223"/>
      <c r="G151" s="223">
        <f t="shared" si="21"/>
        <v>2.36</v>
      </c>
      <c r="H151" s="224"/>
    </row>
    <row r="152" spans="2:8" x14ac:dyDescent="0.25">
      <c r="B152" s="17"/>
      <c r="C152" s="226" t="s">
        <v>426</v>
      </c>
      <c r="D152" s="226" t="s">
        <v>639</v>
      </c>
      <c r="E152" s="223">
        <f>+INDEX('2025 GSD Rate Class E-13c'!R:R,MATCH('2025 Base Rates'!D152,'2025 GSD Rate Class E-13c'!C:C,0))</f>
        <v>0.93334454939976486</v>
      </c>
      <c r="F152" s="223"/>
      <c r="G152" s="223">
        <f t="shared" si="21"/>
        <v>0.93</v>
      </c>
      <c r="H152" s="224"/>
    </row>
    <row r="153" spans="2:8" x14ac:dyDescent="0.25">
      <c r="B153" s="17"/>
      <c r="C153" s="226" t="s">
        <v>427</v>
      </c>
      <c r="D153" s="226" t="s">
        <v>640</v>
      </c>
      <c r="E153" s="223">
        <f>+INDEX('2025 GSD Rate Class E-13c'!R:R,MATCH('2025 Base Rates'!D153,'2025 GSD Rate Class E-13c'!C:C,0))</f>
        <v>0.93334454939976486</v>
      </c>
      <c r="F153" s="223"/>
      <c r="G153" s="223">
        <f t="shared" si="21"/>
        <v>0.93</v>
      </c>
      <c r="H153" s="224"/>
    </row>
    <row r="154" spans="2:8" x14ac:dyDescent="0.25">
      <c r="B154" s="17"/>
      <c r="C154" s="226" t="s">
        <v>428</v>
      </c>
      <c r="D154" s="226" t="s">
        <v>641</v>
      </c>
      <c r="E154" s="223">
        <f>+INDEX('2025 GSD Rate Class E-13c'!R:R,MATCH('2025 Base Rates'!D154,'2025 GSD Rate Class E-13c'!C:C,0))</f>
        <v>0.93334454939976486</v>
      </c>
      <c r="F154" s="223"/>
      <c r="G154" s="223">
        <f t="shared" si="21"/>
        <v>0.93</v>
      </c>
      <c r="H154" s="224"/>
    </row>
    <row r="155" spans="2:8" x14ac:dyDescent="0.25">
      <c r="C155" s="226" t="s">
        <v>429</v>
      </c>
      <c r="D155" s="226" t="s">
        <v>650</v>
      </c>
      <c r="E155" s="223">
        <f>+INDEX('2025 GSD Rate Class E-13c'!R:R,MATCH('2025 Base Rates'!D155,'2025 GSD Rate Class E-13c'!C:C,0))</f>
        <v>2.4659945463088522</v>
      </c>
      <c r="F155" s="223"/>
      <c r="G155" s="223">
        <f t="shared" si="21"/>
        <v>2.4700000000000002</v>
      </c>
      <c r="H155" s="224"/>
    </row>
    <row r="156" spans="2:8" x14ac:dyDescent="0.25">
      <c r="C156" s="226" t="s">
        <v>430</v>
      </c>
      <c r="D156" s="226" t="s">
        <v>642</v>
      </c>
      <c r="E156" s="223">
        <f>+INDEX('2025 GSD Rate Class E-13c'!R:R,MATCH('2025 Base Rates'!D156,'2025 GSD Rate Class E-13c'!C:C,0))</f>
        <v>2.4659945463088522</v>
      </c>
      <c r="F156" s="223"/>
      <c r="G156" s="223">
        <f t="shared" si="21"/>
        <v>2.4700000000000002</v>
      </c>
      <c r="H156" s="224"/>
    </row>
    <row r="157" spans="2:8" x14ac:dyDescent="0.25">
      <c r="C157" s="226" t="s">
        <v>431</v>
      </c>
      <c r="D157" s="226" t="s">
        <v>643</v>
      </c>
      <c r="E157" s="223">
        <f>+INDEX('2025 GSD Rate Class E-13c'!R:R,MATCH('2025 Base Rates'!D157,'2025 GSD Rate Class E-13c'!C:C,0))</f>
        <v>2.4659945463088522</v>
      </c>
      <c r="F157" s="223"/>
      <c r="G157" s="223">
        <f t="shared" si="21"/>
        <v>2.4700000000000002</v>
      </c>
      <c r="H157" s="224"/>
    </row>
    <row r="158" spans="2:8" x14ac:dyDescent="0.25">
      <c r="C158" s="226" t="s">
        <v>432</v>
      </c>
      <c r="D158" s="226" t="s">
        <v>644</v>
      </c>
      <c r="E158" s="223">
        <f>+INDEX('2025 GSD Rate Class E-13c'!R:R,MATCH('2025 Base Rates'!D158,'2025 GSD Rate Class E-13c'!C:C,0))</f>
        <v>2.3579230721678273</v>
      </c>
      <c r="F158" s="223"/>
      <c r="G158" s="223">
        <f t="shared" si="21"/>
        <v>2.36</v>
      </c>
      <c r="H158" s="224"/>
    </row>
    <row r="159" spans="2:8" x14ac:dyDescent="0.25">
      <c r="C159" s="226" t="s">
        <v>433</v>
      </c>
      <c r="D159" s="226" t="s">
        <v>645</v>
      </c>
      <c r="E159" s="223">
        <f>+INDEX('2025 GSD Rate Class E-13c'!R:R,MATCH('2025 Base Rates'!D159,'2025 GSD Rate Class E-13c'!C:C,0))</f>
        <v>2.3579230721678273</v>
      </c>
      <c r="F159" s="223"/>
      <c r="G159" s="223">
        <f t="shared" si="21"/>
        <v>2.36</v>
      </c>
      <c r="H159" s="224"/>
    </row>
    <row r="160" spans="2:8" x14ac:dyDescent="0.25">
      <c r="C160" s="226" t="s">
        <v>434</v>
      </c>
      <c r="D160" s="226" t="s">
        <v>646</v>
      </c>
      <c r="E160" s="223">
        <f>+INDEX('2025 GSD Rate Class E-13c'!R:R,MATCH('2025 Base Rates'!D160,'2025 GSD Rate Class E-13c'!C:C,0))</f>
        <v>2.3579230721678273</v>
      </c>
      <c r="F160" s="223"/>
      <c r="G160" s="223">
        <f t="shared" si="21"/>
        <v>2.36</v>
      </c>
      <c r="H160" s="224"/>
    </row>
    <row r="161" spans="2:8" x14ac:dyDescent="0.25">
      <c r="C161" s="226" t="s">
        <v>435</v>
      </c>
      <c r="D161" s="226" t="s">
        <v>647</v>
      </c>
      <c r="E161" s="223">
        <f>+INDEX('2025 GSD Rate Class E-13c'!R:R,MATCH('2025 Base Rates'!D161,'2025 GSD Rate Class E-13c'!C:C,0))</f>
        <v>0.93334454939976486</v>
      </c>
      <c r="F161" s="223"/>
      <c r="G161" s="223">
        <f t="shared" si="21"/>
        <v>0.93</v>
      </c>
      <c r="H161" s="224"/>
    </row>
    <row r="162" spans="2:8" x14ac:dyDescent="0.25">
      <c r="C162" s="226" t="s">
        <v>436</v>
      </c>
      <c r="D162" s="226" t="s">
        <v>648</v>
      </c>
      <c r="E162" s="223">
        <f>+INDEX('2025 GSD Rate Class E-13c'!R:R,MATCH('2025 Base Rates'!D162,'2025 GSD Rate Class E-13c'!C:C,0))</f>
        <v>0.93334454939976486</v>
      </c>
      <c r="F162" s="223"/>
      <c r="G162" s="223">
        <f t="shared" si="21"/>
        <v>0.93</v>
      </c>
      <c r="H162" s="224"/>
    </row>
    <row r="163" spans="2:8" x14ac:dyDescent="0.25">
      <c r="C163" s="226" t="s">
        <v>437</v>
      </c>
      <c r="D163" s="226" t="s">
        <v>649</v>
      </c>
      <c r="E163" s="223">
        <f>+INDEX('2025 GSD Rate Class E-13c'!R:R,MATCH('2025 Base Rates'!D163,'2025 GSD Rate Class E-13c'!C:C,0))</f>
        <v>0.93334454939976486</v>
      </c>
      <c r="F163" s="223"/>
      <c r="G163" s="223">
        <f t="shared" si="21"/>
        <v>0.93</v>
      </c>
      <c r="H163" s="224"/>
    </row>
    <row r="164" spans="2:8" x14ac:dyDescent="0.25">
      <c r="C164" s="226"/>
      <c r="D164" s="226"/>
      <c r="E164" s="223"/>
      <c r="F164" s="223"/>
      <c r="G164" s="223"/>
    </row>
    <row r="165" spans="2:8" x14ac:dyDescent="0.25">
      <c r="B165" s="17" t="s">
        <v>438</v>
      </c>
      <c r="C165" s="222"/>
      <c r="D165" s="222"/>
      <c r="E165" s="223"/>
      <c r="F165" s="223"/>
      <c r="G165" s="223"/>
    </row>
    <row r="166" spans="2:8" x14ac:dyDescent="0.25">
      <c r="B166" s="11"/>
      <c r="C166" s="16" t="s">
        <v>365</v>
      </c>
      <c r="D166" s="16" t="s">
        <v>651</v>
      </c>
      <c r="E166" s="32">
        <v>-0.01</v>
      </c>
      <c r="F166" s="32"/>
      <c r="G166" s="32">
        <f>+E166</f>
        <v>-0.01</v>
      </c>
      <c r="H166" s="232"/>
    </row>
    <row r="167" spans="2:8" x14ac:dyDescent="0.25">
      <c r="B167" s="11"/>
      <c r="C167" s="16" t="s">
        <v>397</v>
      </c>
      <c r="D167" s="16" t="s">
        <v>652</v>
      </c>
      <c r="E167" s="32">
        <v>-0.02</v>
      </c>
      <c r="F167" s="32"/>
      <c r="G167" s="32">
        <f t="shared" ref="G167:G169" si="22">+E167</f>
        <v>-0.02</v>
      </c>
      <c r="H167" s="232"/>
    </row>
    <row r="168" spans="2:8" x14ac:dyDescent="0.25">
      <c r="C168" s="16" t="s">
        <v>390</v>
      </c>
      <c r="D168" s="16" t="s">
        <v>653</v>
      </c>
      <c r="E168" s="32">
        <v>-0.01</v>
      </c>
      <c r="F168" s="32"/>
      <c r="G168" s="32">
        <f t="shared" si="22"/>
        <v>-0.01</v>
      </c>
      <c r="H168" s="232"/>
    </row>
    <row r="169" spans="2:8" x14ac:dyDescent="0.25">
      <c r="C169" s="16" t="s">
        <v>439</v>
      </c>
      <c r="D169" s="16" t="s">
        <v>654</v>
      </c>
      <c r="E169" s="32">
        <v>-0.02</v>
      </c>
      <c r="F169" s="32"/>
      <c r="G169" s="32">
        <f t="shared" si="22"/>
        <v>-0.02</v>
      </c>
      <c r="H169" s="232"/>
    </row>
    <row r="170" spans="2:8" x14ac:dyDescent="0.25">
      <c r="B170" s="11"/>
      <c r="C170" s="222"/>
      <c r="D170" s="222"/>
      <c r="E170" s="223"/>
      <c r="F170" s="223"/>
      <c r="G170" s="223"/>
    </row>
    <row r="171" spans="2:8" x14ac:dyDescent="0.25">
      <c r="C171" s="16"/>
      <c r="D171" s="16"/>
      <c r="E171" s="223"/>
      <c r="F171" s="223"/>
      <c r="G171" s="223"/>
    </row>
    <row r="172" spans="2:8" x14ac:dyDescent="0.25">
      <c r="C172" s="16"/>
      <c r="D172" s="16"/>
      <c r="E172" s="223"/>
      <c r="F172" s="223"/>
      <c r="G172" s="223"/>
    </row>
    <row r="173" spans="2:8" x14ac:dyDescent="0.25">
      <c r="B173" s="231" t="s">
        <v>440</v>
      </c>
      <c r="C173" s="222"/>
      <c r="D173" s="222"/>
      <c r="E173" s="223"/>
      <c r="F173" s="223"/>
      <c r="G173" s="223"/>
    </row>
    <row r="174" spans="2:8" x14ac:dyDescent="0.25">
      <c r="B174" s="233"/>
      <c r="C174" s="16" t="s">
        <v>365</v>
      </c>
      <c r="D174" s="16" t="s">
        <v>655</v>
      </c>
      <c r="E174" s="223">
        <f>+INDEX('2025 GSD Rate Class E-13c'!R:R,MATCH('2025 Base Rates'!D174,'2025 GSD Rate Class E-13c'!C:C,0))</f>
        <v>-0.54</v>
      </c>
      <c r="F174" s="223"/>
      <c r="G174" s="223">
        <f t="shared" ref="G174:G177" si="23">+ROUND(E174,2)</f>
        <v>-0.54</v>
      </c>
      <c r="H174" s="224"/>
    </row>
    <row r="175" spans="2:8" x14ac:dyDescent="0.25">
      <c r="B175" s="233"/>
      <c r="C175" s="16" t="s">
        <v>397</v>
      </c>
      <c r="D175" s="16" t="s">
        <v>656</v>
      </c>
      <c r="E175" s="223">
        <f>+INDEX('2025 GSD Rate Class E-13c'!R:R,MATCH('2025 Base Rates'!D175,'2025 GSD Rate Class E-13c'!C:C,0))</f>
        <v>-3.09</v>
      </c>
      <c r="F175" s="223"/>
      <c r="G175" s="223">
        <f t="shared" si="23"/>
        <v>-3.09</v>
      </c>
      <c r="H175" s="224"/>
    </row>
    <row r="176" spans="2:8" x14ac:dyDescent="0.25">
      <c r="C176" s="16" t="s">
        <v>390</v>
      </c>
      <c r="D176" s="16" t="s">
        <v>657</v>
      </c>
      <c r="E176" s="223">
        <f>+INDEX('2025 GSD Rate Class E-13c'!R:R,MATCH('2025 Base Rates'!D176,'2025 GSD Rate Class E-13c'!C:C,0))</f>
        <v>-0.54</v>
      </c>
      <c r="F176" s="223"/>
      <c r="G176" s="223">
        <f t="shared" si="23"/>
        <v>-0.54</v>
      </c>
      <c r="H176" s="224"/>
    </row>
    <row r="177" spans="2:8" x14ac:dyDescent="0.25">
      <c r="C177" s="16" t="s">
        <v>439</v>
      </c>
      <c r="D177" s="16" t="s">
        <v>658</v>
      </c>
      <c r="E177" s="223">
        <f>+INDEX('2025 GSD Rate Class E-13c'!R:R,MATCH('2025 Base Rates'!D177,'2025 GSD Rate Class E-13c'!C:C,0))</f>
        <v>-3.09</v>
      </c>
      <c r="F177" s="223"/>
      <c r="G177" s="223">
        <f t="shared" si="23"/>
        <v>-3.09</v>
      </c>
      <c r="H177" s="224"/>
    </row>
    <row r="178" spans="2:8" x14ac:dyDescent="0.25">
      <c r="B178" s="231" t="s">
        <v>441</v>
      </c>
      <c r="C178" s="222"/>
      <c r="D178" s="222"/>
      <c r="E178" s="223"/>
      <c r="F178" s="223"/>
      <c r="G178" s="223"/>
    </row>
    <row r="179" spans="2:8" x14ac:dyDescent="0.25">
      <c r="B179" s="231"/>
      <c r="C179" s="16" t="s">
        <v>442</v>
      </c>
      <c r="D179" s="16" t="s">
        <v>662</v>
      </c>
      <c r="E179" s="223">
        <f>+INDEX('2025 GSD Rate Class E-13c'!R:R,MATCH('2025 Base Rates'!D179,'2025 GSD Rate Class E-13c'!C:C,0))</f>
        <v>-2.06</v>
      </c>
      <c r="F179" s="223"/>
      <c r="G179" s="223">
        <f t="shared" ref="G179:G182" si="24">+ROUND(E179,2)</f>
        <v>-2.06</v>
      </c>
      <c r="H179" s="224"/>
    </row>
    <row r="180" spans="2:8" x14ac:dyDescent="0.25">
      <c r="B180" s="231"/>
      <c r="C180" s="16" t="s">
        <v>443</v>
      </c>
      <c r="D180" s="16" t="s">
        <v>659</v>
      </c>
      <c r="E180" s="223">
        <f>+INDEX('2025 GSD Rate Class E-13c'!R:R,MATCH('2025 Base Rates'!D180,'2025 GSD Rate Class E-13c'!C:C,0))</f>
        <v>-2.5099999999999998</v>
      </c>
      <c r="F180" s="223"/>
      <c r="G180" s="223">
        <f t="shared" si="24"/>
        <v>-2.5099999999999998</v>
      </c>
      <c r="H180" s="224"/>
    </row>
    <row r="181" spans="2:8" x14ac:dyDescent="0.25">
      <c r="C181" s="16" t="s">
        <v>390</v>
      </c>
      <c r="D181" s="16" t="s">
        <v>660</v>
      </c>
      <c r="E181" s="223">
        <f>+INDEX('2025 GSD Rate Class E-13c'!R:R,MATCH('2025 Base Rates'!D181,'2025 GSD Rate Class E-13c'!C:C,0))</f>
        <v>-2.06</v>
      </c>
      <c r="F181" s="223"/>
      <c r="G181" s="223">
        <f t="shared" si="24"/>
        <v>-2.06</v>
      </c>
      <c r="H181" s="224"/>
    </row>
    <row r="182" spans="2:8" x14ac:dyDescent="0.25">
      <c r="C182" s="16" t="s">
        <v>439</v>
      </c>
      <c r="D182" s="16" t="s">
        <v>661</v>
      </c>
      <c r="E182" s="223">
        <f>+INDEX('2025 GSD Rate Class E-13c'!R:R,MATCH('2025 Base Rates'!D182,'2025 GSD Rate Class E-13c'!C:C,0))</f>
        <v>-2.5099999999999998</v>
      </c>
      <c r="F182" s="223"/>
      <c r="G182" s="223">
        <f t="shared" si="24"/>
        <v>-2.5099999999999998</v>
      </c>
      <c r="H182" s="224"/>
    </row>
    <row r="183" spans="2:8" x14ac:dyDescent="0.25">
      <c r="B183" s="17" t="s">
        <v>444</v>
      </c>
      <c r="C183" s="222"/>
      <c r="D183" s="222"/>
      <c r="E183" s="223"/>
      <c r="F183" s="223"/>
      <c r="G183" s="223"/>
    </row>
    <row r="184" spans="2:8" x14ac:dyDescent="0.25">
      <c r="B184" s="11"/>
      <c r="C184" s="16" t="s">
        <v>364</v>
      </c>
      <c r="D184" s="16" t="s">
        <v>663</v>
      </c>
      <c r="E184" s="223">
        <f>+INDEX('2025 GSD Rate Class E-13c'!R:R,MATCH('2025 Base Rates'!D184,'2025 GSD Rate Class E-13c'!C:C,0))</f>
        <v>1.02</v>
      </c>
      <c r="F184" s="223"/>
      <c r="G184" s="223">
        <f t="shared" ref="G184:G189" si="25">+ROUND(E184,2)</f>
        <v>1.02</v>
      </c>
      <c r="H184" s="224"/>
    </row>
    <row r="185" spans="2:8" x14ac:dyDescent="0.25">
      <c r="B185" s="11"/>
      <c r="C185" s="16" t="s">
        <v>365</v>
      </c>
      <c r="D185" s="16" t="s">
        <v>664</v>
      </c>
      <c r="E185" s="223">
        <f>+INDEX('2025 GSD Rate Class E-13c'!R:R,MATCH('2025 Base Rates'!D185,'2025 GSD Rate Class E-13c'!C:C,0))</f>
        <v>1.02</v>
      </c>
      <c r="F185" s="223"/>
      <c r="G185" s="223">
        <f t="shared" si="25"/>
        <v>1.02</v>
      </c>
      <c r="H185" s="224"/>
    </row>
    <row r="186" spans="2:8" x14ac:dyDescent="0.25">
      <c r="B186" s="11"/>
      <c r="C186" s="16" t="s">
        <v>397</v>
      </c>
      <c r="D186" s="16" t="s">
        <v>665</v>
      </c>
      <c r="E186" s="223">
        <f>+INDEX('2025 GSD Rate Class E-13c'!R:R,MATCH('2025 Base Rates'!D186,'2025 GSD Rate Class E-13c'!C:C,0))</f>
        <v>1.02</v>
      </c>
      <c r="F186" s="223"/>
      <c r="G186" s="223">
        <f t="shared" si="25"/>
        <v>1.02</v>
      </c>
      <c r="H186" s="224"/>
    </row>
    <row r="187" spans="2:8" x14ac:dyDescent="0.25">
      <c r="B187" s="11"/>
      <c r="C187" s="226" t="s">
        <v>398</v>
      </c>
      <c r="D187" s="16" t="s">
        <v>666</v>
      </c>
      <c r="E187" s="223">
        <f>+INDEX('2025 GSD Rate Class E-13c'!R:R,MATCH('2025 Base Rates'!D187,'2025 GSD Rate Class E-13c'!C:C,0))</f>
        <v>1.02</v>
      </c>
      <c r="F187" s="223"/>
      <c r="G187" s="223">
        <f t="shared" si="25"/>
        <v>1.02</v>
      </c>
      <c r="H187" s="224"/>
    </row>
    <row r="188" spans="2:8" x14ac:dyDescent="0.25">
      <c r="C188" s="16" t="s">
        <v>390</v>
      </c>
      <c r="D188" s="16" t="s">
        <v>667</v>
      </c>
      <c r="E188" s="223">
        <f>+INDEX('2025 GSD Rate Class E-13c'!R:R,MATCH('2025 Base Rates'!D188,'2025 GSD Rate Class E-13c'!C:C,0))</f>
        <v>1.02</v>
      </c>
      <c r="F188" s="223"/>
      <c r="G188" s="223">
        <f t="shared" si="25"/>
        <v>1.02</v>
      </c>
      <c r="H188" s="224"/>
    </row>
    <row r="189" spans="2:8" x14ac:dyDescent="0.25">
      <c r="C189" s="16" t="s">
        <v>439</v>
      </c>
      <c r="D189" s="16" t="s">
        <v>668</v>
      </c>
      <c r="E189" s="223">
        <f>+INDEX('2025 GSD Rate Class E-13c'!R:R,MATCH('2025 Base Rates'!D189,'2025 GSD Rate Class E-13c'!C:C,0))</f>
        <v>1.02</v>
      </c>
      <c r="F189" s="223"/>
      <c r="G189" s="223">
        <f t="shared" si="25"/>
        <v>1.02</v>
      </c>
      <c r="H189" s="224"/>
    </row>
    <row r="190" spans="2:8" x14ac:dyDescent="0.25">
      <c r="C190" s="16"/>
      <c r="D190" s="16"/>
      <c r="E190" s="223"/>
      <c r="F190" s="223"/>
      <c r="G190" s="223"/>
    </row>
    <row r="191" spans="2:8" x14ac:dyDescent="0.25">
      <c r="B191" t="s">
        <v>445</v>
      </c>
      <c r="C191" s="16"/>
      <c r="D191" s="16"/>
      <c r="E191" s="223"/>
      <c r="F191" s="223"/>
      <c r="G191" s="223"/>
    </row>
    <row r="192" spans="2:8" x14ac:dyDescent="0.25">
      <c r="C192" s="16" t="s">
        <v>393</v>
      </c>
      <c r="D192" s="16" t="s">
        <v>669</v>
      </c>
      <c r="E192" s="227">
        <f>+INDEX('2025 GSD Rate Class E-13c'!R:R,MATCH('2025 Base Rates'!D192,'2025 GSD Rate Class E-13c'!C:C,0))</f>
        <v>2.0300000000000001E-3</v>
      </c>
      <c r="F192" s="223"/>
      <c r="G192" s="227">
        <f t="shared" ref="G192:G197" si="26">+ROUND(E192,5)</f>
        <v>2.0300000000000001E-3</v>
      </c>
      <c r="H192" s="228"/>
    </row>
    <row r="193" spans="2:8" x14ac:dyDescent="0.25">
      <c r="C193" s="16" t="s">
        <v>388</v>
      </c>
      <c r="D193" s="16" t="s">
        <v>670</v>
      </c>
      <c r="E193" s="227">
        <f>+INDEX('2025 GSD Rate Class E-13c'!R:R,MATCH('2025 Base Rates'!D193,'2025 GSD Rate Class E-13c'!C:C,0))</f>
        <v>2.0300000000000001E-3</v>
      </c>
      <c r="F193" s="223"/>
      <c r="G193" s="227">
        <f t="shared" si="26"/>
        <v>2.0300000000000001E-3</v>
      </c>
      <c r="H193" s="228"/>
    </row>
    <row r="194" spans="2:8" x14ac:dyDescent="0.25">
      <c r="C194" s="16" t="s">
        <v>366</v>
      </c>
      <c r="D194" s="16" t="s">
        <v>671</v>
      </c>
      <c r="E194" s="227">
        <f>+INDEX('2025 GSD Rate Class E-13c'!R:R,MATCH('2025 Base Rates'!D194,'2025 GSD Rate Class E-13c'!C:C,0))</f>
        <v>2.0300000000000001E-3</v>
      </c>
      <c r="F194" s="223"/>
      <c r="G194" s="227">
        <f t="shared" si="26"/>
        <v>2.0300000000000001E-3</v>
      </c>
      <c r="H194" s="228"/>
    </row>
    <row r="195" spans="2:8" x14ac:dyDescent="0.25">
      <c r="C195" s="16" t="s">
        <v>395</v>
      </c>
      <c r="D195" s="16" t="s">
        <v>672</v>
      </c>
      <c r="E195" s="227">
        <f>+INDEX('2025 GSD Rate Class E-13c'!R:R,MATCH('2025 Base Rates'!D195,'2025 GSD Rate Class E-13c'!C:C,0))</f>
        <v>2.0300000000000001E-3</v>
      </c>
      <c r="F195" s="223"/>
      <c r="G195" s="227">
        <f t="shared" si="26"/>
        <v>2.0300000000000001E-3</v>
      </c>
      <c r="H195" s="228"/>
    </row>
    <row r="196" spans="2:8" x14ac:dyDescent="0.25">
      <c r="C196" s="16" t="s">
        <v>390</v>
      </c>
      <c r="D196" s="16" t="s">
        <v>673</v>
      </c>
      <c r="E196" s="227">
        <f>+INDEX('2025 GSD Rate Class E-13c'!R:R,MATCH('2025 Base Rates'!D196,'2025 GSD Rate Class E-13c'!C:C,0))</f>
        <v>2.0300000000000001E-3</v>
      </c>
      <c r="F196" s="223"/>
      <c r="G196" s="227">
        <f t="shared" si="26"/>
        <v>2.0300000000000001E-3</v>
      </c>
      <c r="H196" s="228"/>
    </row>
    <row r="197" spans="2:8" x14ac:dyDescent="0.25">
      <c r="C197" s="16" t="s">
        <v>373</v>
      </c>
      <c r="D197" s="16" t="s">
        <v>674</v>
      </c>
      <c r="E197" s="227">
        <f>+INDEX('2025 GSD Rate Class E-13c'!R:R,MATCH('2025 Base Rates'!D197,'2025 GSD Rate Class E-13c'!C:C,0))</f>
        <v>2.0300000000000001E-3</v>
      </c>
      <c r="F197" s="223"/>
      <c r="G197" s="227">
        <f t="shared" si="26"/>
        <v>2.0300000000000001E-3</v>
      </c>
      <c r="H197" s="228"/>
    </row>
    <row r="198" spans="2:8" x14ac:dyDescent="0.25">
      <c r="B198" t="s">
        <v>446</v>
      </c>
      <c r="C198" s="16"/>
      <c r="D198" s="16"/>
      <c r="E198" s="223"/>
      <c r="F198" s="223"/>
      <c r="G198" s="223"/>
    </row>
    <row r="199" spans="2:8" x14ac:dyDescent="0.25">
      <c r="C199" s="16" t="s">
        <v>393</v>
      </c>
      <c r="D199" s="16" t="s">
        <v>680</v>
      </c>
      <c r="E199" s="227">
        <f>+INDEX('2025 GSD Rate Class E-13c'!R:R,MATCH('2025 Base Rates'!D199,'2025 GSD Rate Class E-13c'!C:C,0))</f>
        <v>-1.0200000000000001E-3</v>
      </c>
      <c r="F199" s="223"/>
      <c r="G199" s="227">
        <f t="shared" ref="G199:G204" si="27">+ROUND(E199,5)</f>
        <v>-1.0200000000000001E-3</v>
      </c>
      <c r="H199" s="228"/>
    </row>
    <row r="200" spans="2:8" x14ac:dyDescent="0.25">
      <c r="C200" s="16" t="s">
        <v>388</v>
      </c>
      <c r="D200" s="16" t="s">
        <v>675</v>
      </c>
      <c r="E200" s="227">
        <f>+INDEX('2025 GSD Rate Class E-13c'!R:R,MATCH('2025 Base Rates'!D200,'2025 GSD Rate Class E-13c'!C:C,0))</f>
        <v>-1.0200000000000001E-3</v>
      </c>
      <c r="F200" s="223"/>
      <c r="G200" s="227">
        <f t="shared" si="27"/>
        <v>-1.0200000000000001E-3</v>
      </c>
      <c r="H200" s="228"/>
    </row>
    <row r="201" spans="2:8" x14ac:dyDescent="0.25">
      <c r="C201" s="16" t="s">
        <v>366</v>
      </c>
      <c r="D201" s="16" t="s">
        <v>676</v>
      </c>
      <c r="E201" s="227">
        <f>+INDEX('2025 GSD Rate Class E-13c'!R:R,MATCH('2025 Base Rates'!D201,'2025 GSD Rate Class E-13c'!C:C,0))</f>
        <v>-1.0200000000000001E-3</v>
      </c>
      <c r="F201" s="223"/>
      <c r="G201" s="227">
        <f t="shared" si="27"/>
        <v>-1.0200000000000001E-3</v>
      </c>
      <c r="H201" s="228"/>
    </row>
    <row r="202" spans="2:8" x14ac:dyDescent="0.25">
      <c r="C202" s="16" t="s">
        <v>395</v>
      </c>
      <c r="D202" s="16" t="s">
        <v>677</v>
      </c>
      <c r="E202" s="227">
        <f>+INDEX('2025 GSD Rate Class E-13c'!R:R,MATCH('2025 Base Rates'!D202,'2025 GSD Rate Class E-13c'!C:C,0))</f>
        <v>-1.0200000000000001E-3</v>
      </c>
      <c r="F202" s="223"/>
      <c r="G202" s="227">
        <f t="shared" si="27"/>
        <v>-1.0200000000000001E-3</v>
      </c>
      <c r="H202" s="228"/>
    </row>
    <row r="203" spans="2:8" x14ac:dyDescent="0.25">
      <c r="C203" s="16" t="s">
        <v>390</v>
      </c>
      <c r="D203" s="16" t="s">
        <v>678</v>
      </c>
      <c r="E203" s="227">
        <f>+INDEX('2025 GSD Rate Class E-13c'!R:R,MATCH('2025 Base Rates'!D203,'2025 GSD Rate Class E-13c'!C:C,0))</f>
        <v>-1.0200000000000001E-3</v>
      </c>
      <c r="F203" s="223"/>
      <c r="G203" s="227">
        <f t="shared" si="27"/>
        <v>-1.0200000000000001E-3</v>
      </c>
      <c r="H203" s="228"/>
    </row>
    <row r="204" spans="2:8" x14ac:dyDescent="0.25">
      <c r="C204" s="16" t="s">
        <v>447</v>
      </c>
      <c r="D204" s="16" t="s">
        <v>679</v>
      </c>
      <c r="E204" s="227">
        <f>+INDEX('2025 GSD Rate Class E-13c'!R:R,MATCH('2025 Base Rates'!D204,'2025 GSD Rate Class E-13c'!C:C,0))</f>
        <v>-1.0200000000000001E-3</v>
      </c>
      <c r="F204" s="223"/>
      <c r="G204" s="227">
        <f t="shared" si="27"/>
        <v>-1.0200000000000001E-3</v>
      </c>
      <c r="H204" s="228"/>
    </row>
    <row r="205" spans="2:8" x14ac:dyDescent="0.25">
      <c r="C205" s="16"/>
      <c r="D205" s="16"/>
      <c r="E205" s="223"/>
      <c r="F205" s="223"/>
      <c r="G205" s="223"/>
    </row>
    <row r="206" spans="2:8" x14ac:dyDescent="0.25">
      <c r="B206" s="219" t="s">
        <v>448</v>
      </c>
      <c r="C206" s="222"/>
      <c r="D206" s="222"/>
      <c r="E206" s="223"/>
      <c r="F206" s="223"/>
      <c r="G206" s="223"/>
    </row>
    <row r="207" spans="2:8" x14ac:dyDescent="0.25">
      <c r="B207" s="17" t="s">
        <v>349</v>
      </c>
      <c r="C207" s="222"/>
      <c r="D207" s="222"/>
      <c r="E207" s="223"/>
      <c r="F207" s="223"/>
      <c r="G207" s="223"/>
    </row>
    <row r="208" spans="2:8" x14ac:dyDescent="0.25">
      <c r="C208" s="16" t="s">
        <v>388</v>
      </c>
      <c r="D208" s="16" t="s">
        <v>681</v>
      </c>
      <c r="E208" s="223">
        <f>+INDEX('2025 GSLDPR Rate Class E-13c'!Q:Q,MATCH('2025 Base Rates'!D208,'2025 GSLDPR Rate Class E-13c'!B:B,0))</f>
        <v>21.42</v>
      </c>
      <c r="F208" s="223"/>
      <c r="G208" s="223">
        <f t="shared" ref="G208:G209" si="28">+ROUND(E208,2)</f>
        <v>21.42</v>
      </c>
      <c r="H208" s="224"/>
    </row>
    <row r="209" spans="2:8" x14ac:dyDescent="0.25">
      <c r="C209" s="226" t="s">
        <v>399</v>
      </c>
      <c r="D209" s="226" t="s">
        <v>682</v>
      </c>
      <c r="E209" s="223">
        <f>+INDEX('2025 GSLDPR Rate Class E-13c'!Q:Q,MATCH('2025 Base Rates'!D209,'2025 GSLDPR Rate Class E-13c'!B:B,0))</f>
        <v>21.42</v>
      </c>
      <c r="F209" s="223"/>
      <c r="G209" s="223">
        <f t="shared" si="28"/>
        <v>21.42</v>
      </c>
      <c r="H209" s="224"/>
    </row>
    <row r="210" spans="2:8" x14ac:dyDescent="0.25">
      <c r="B210" s="17" t="s">
        <v>343</v>
      </c>
      <c r="C210" s="222"/>
      <c r="D210" s="222"/>
      <c r="E210" s="223"/>
      <c r="F210" s="223"/>
      <c r="G210" s="223"/>
    </row>
    <row r="211" spans="2:8" x14ac:dyDescent="0.25">
      <c r="C211" s="16" t="s">
        <v>388</v>
      </c>
      <c r="D211" s="16" t="s">
        <v>683</v>
      </c>
      <c r="E211" s="227">
        <f>+INDEX('2025 GSLDPR Rate Class E-13c'!Q:Q,MATCH('2025 Base Rates'!D211,'2025 GSLDPR Rate Class E-13c'!B:B,0))</f>
        <v>1.0628400000000001E-2</v>
      </c>
      <c r="F211" s="223"/>
      <c r="G211" s="227">
        <f t="shared" ref="G211:G213" si="29">+ROUND(E211,5)</f>
        <v>1.0630000000000001E-2</v>
      </c>
      <c r="H211" s="228"/>
    </row>
    <row r="212" spans="2:8" x14ac:dyDescent="0.25">
      <c r="C212" s="226" t="s">
        <v>375</v>
      </c>
      <c r="D212" s="226" t="s">
        <v>684</v>
      </c>
      <c r="E212" s="227">
        <f>+INDEX('2025 GSLDPR Rate Class E-13c'!Q:Q,MATCH('2025 Base Rates'!D212,'2025 GSLDPR Rate Class E-13c'!B:B,0))</f>
        <v>1.7329800000000003E-2</v>
      </c>
      <c r="F212" s="223"/>
      <c r="G212" s="227">
        <f t="shared" si="29"/>
        <v>1.7330000000000002E-2</v>
      </c>
      <c r="H212" s="228"/>
    </row>
    <row r="213" spans="2:8" x14ac:dyDescent="0.25">
      <c r="C213" s="226" t="s">
        <v>378</v>
      </c>
      <c r="D213" s="226" t="s">
        <v>685</v>
      </c>
      <c r="E213" s="227">
        <f>+INDEX('2025 GSLDPR Rate Class E-13c'!Q:Q,MATCH('2025 Base Rates'!D213,'2025 GSLDPR Rate Class E-13c'!B:B,0))</f>
        <v>1.0559800000000003E-2</v>
      </c>
      <c r="F213" s="223"/>
      <c r="G213" s="227">
        <f t="shared" si="29"/>
        <v>1.056E-2</v>
      </c>
      <c r="H213" s="228"/>
    </row>
    <row r="214" spans="2:8" x14ac:dyDescent="0.25">
      <c r="C214" s="226" t="s">
        <v>1513</v>
      </c>
      <c r="D214" s="226" t="s">
        <v>1506</v>
      </c>
      <c r="E214" s="227">
        <f>+INDEX('2025 GSLDPR Rate Class E-13c'!Q:Q,MATCH('2025 Base Rates'!D214,'2025 GSLDPR Rate Class E-13c'!B:B,0))</f>
        <v>6.3798000000000032E-3</v>
      </c>
      <c r="F214" s="223"/>
      <c r="G214" s="227">
        <f t="shared" ref="G214" si="30">+ROUND(E214,5)</f>
        <v>6.3800000000000003E-3</v>
      </c>
      <c r="H214" s="228"/>
    </row>
    <row r="215" spans="2:8" x14ac:dyDescent="0.25">
      <c r="B215" s="17" t="s">
        <v>449</v>
      </c>
      <c r="C215" s="222"/>
      <c r="D215" s="226"/>
      <c r="E215" s="223"/>
      <c r="F215" s="223"/>
      <c r="G215" s="223"/>
    </row>
    <row r="216" spans="2:8" x14ac:dyDescent="0.25">
      <c r="C216" s="16" t="s">
        <v>388</v>
      </c>
      <c r="D216" s="226" t="s">
        <v>686</v>
      </c>
      <c r="E216" s="223">
        <f>+INDEX('2025 GSLDPR Rate Class E-13c'!Q:Q,MATCH('2025 Base Rates'!D216,'2025 GSLDPR Rate Class E-13c'!B:B,0))</f>
        <v>12.998543718400001</v>
      </c>
      <c r="F216" s="223"/>
      <c r="G216" s="223">
        <f t="shared" ref="G216:G218" si="31">+ROUND(E216,2)</f>
        <v>13</v>
      </c>
      <c r="H216" s="224"/>
    </row>
    <row r="217" spans="2:8" x14ac:dyDescent="0.25">
      <c r="C217" s="226" t="s">
        <v>450</v>
      </c>
      <c r="D217" s="226" t="s">
        <v>687</v>
      </c>
      <c r="E217" s="223">
        <f>+INDEX('2025 GSLDPR Rate Class E-13c'!Q:Q,MATCH('2025 Base Rates'!D217,'2025 GSLDPR Rate Class E-13c'!B:B,0))</f>
        <v>2.9252046763999999</v>
      </c>
      <c r="F217" s="223"/>
      <c r="G217" s="223">
        <f t="shared" si="31"/>
        <v>2.93</v>
      </c>
      <c r="H217" s="224"/>
    </row>
    <row r="218" spans="2:8" x14ac:dyDescent="0.25">
      <c r="C218" s="226" t="s">
        <v>451</v>
      </c>
      <c r="D218" s="226" t="s">
        <v>688</v>
      </c>
      <c r="E218" s="223">
        <f>+INDEX('2025 GSLDPR Rate Class E-13c'!Q:Q,MATCH('2025 Base Rates'!D218,'2025 GSLDPR Rate Class E-13c'!B:B,0))</f>
        <v>10.068339042</v>
      </c>
      <c r="F218" s="223"/>
      <c r="G218" s="223">
        <f t="shared" si="31"/>
        <v>10.07</v>
      </c>
      <c r="H218" s="224"/>
    </row>
    <row r="219" spans="2:8" x14ac:dyDescent="0.25">
      <c r="C219" s="226"/>
      <c r="D219" s="226"/>
      <c r="E219" s="223"/>
      <c r="F219" s="223"/>
      <c r="G219" s="223"/>
    </row>
    <row r="220" spans="2:8" x14ac:dyDescent="0.25">
      <c r="B220" s="219" t="s">
        <v>445</v>
      </c>
      <c r="C220" s="226"/>
      <c r="D220" s="226"/>
      <c r="E220" s="223"/>
      <c r="F220" s="223"/>
      <c r="G220" s="223"/>
    </row>
    <row r="221" spans="2:8" x14ac:dyDescent="0.25">
      <c r="C221" s="226" t="s">
        <v>388</v>
      </c>
      <c r="D221" s="226" t="s">
        <v>689</v>
      </c>
      <c r="E221" s="227">
        <f>+INDEX('2025 GSLDPR Rate Class E-13c'!Q:Q,MATCH('2025 Base Rates'!D221,'2025 GSLDPR Rate Class E-13c'!B:B,0))</f>
        <v>2.0300000000000001E-3</v>
      </c>
      <c r="F221" s="223"/>
      <c r="G221" s="227">
        <f t="shared" ref="G221:G222" si="32">+ROUND(E221,5)</f>
        <v>2.0300000000000001E-3</v>
      </c>
      <c r="H221" s="228"/>
    </row>
    <row r="222" spans="2:8" x14ac:dyDescent="0.25">
      <c r="C222" s="226" t="s">
        <v>390</v>
      </c>
      <c r="D222" s="226" t="s">
        <v>690</v>
      </c>
      <c r="E222" s="227">
        <f>+INDEX('2025 GSLDPR Rate Class E-13c'!Q:Q,MATCH('2025 Base Rates'!D222,'2025 GSLDPR Rate Class E-13c'!B:B,0))</f>
        <v>2.0300000000000001E-3</v>
      </c>
      <c r="F222" s="223"/>
      <c r="G222" s="227">
        <f t="shared" si="32"/>
        <v>2.0300000000000001E-3</v>
      </c>
      <c r="H222" s="228"/>
    </row>
    <row r="223" spans="2:8" x14ac:dyDescent="0.25">
      <c r="C223" s="226"/>
      <c r="D223" s="226"/>
      <c r="E223" s="223"/>
      <c r="F223" s="223"/>
      <c r="G223" s="223"/>
    </row>
    <row r="224" spans="2:8" x14ac:dyDescent="0.25">
      <c r="B224" s="219" t="s">
        <v>446</v>
      </c>
      <c r="C224" s="226"/>
      <c r="D224" s="226"/>
      <c r="E224" s="223"/>
      <c r="F224" s="223"/>
      <c r="G224" s="223"/>
    </row>
    <row r="225" spans="2:8" x14ac:dyDescent="0.25">
      <c r="C225" s="226" t="s">
        <v>388</v>
      </c>
      <c r="D225" s="226" t="s">
        <v>691</v>
      </c>
      <c r="E225" s="227">
        <f>+INDEX('2025 GSLDPR Rate Class E-13c'!Q:Q,MATCH('2025 Base Rates'!D225,'2025 GSLDPR Rate Class E-13c'!B:B,0))</f>
        <v>-1.0200000000000001E-3</v>
      </c>
      <c r="F225" s="223"/>
      <c r="G225" s="227">
        <f t="shared" ref="G225:G226" si="33">+ROUND(E225,5)</f>
        <v>-1.0200000000000001E-3</v>
      </c>
      <c r="H225" s="228"/>
    </row>
    <row r="226" spans="2:8" x14ac:dyDescent="0.25">
      <c r="C226" s="226" t="s">
        <v>390</v>
      </c>
      <c r="D226" s="226" t="s">
        <v>692</v>
      </c>
      <c r="E226" s="227">
        <f>+INDEX('2025 GSLDPR Rate Class E-13c'!Q:Q,MATCH('2025 Base Rates'!D226,'2025 GSLDPR Rate Class E-13c'!B:B,0))</f>
        <v>-1.0200000000000001E-3</v>
      </c>
      <c r="F226" s="223"/>
      <c r="G226" s="227">
        <f t="shared" si="33"/>
        <v>-1.0200000000000001E-3</v>
      </c>
      <c r="H226" s="228"/>
    </row>
    <row r="227" spans="2:8" x14ac:dyDescent="0.25">
      <c r="C227" s="226"/>
      <c r="D227" s="226"/>
      <c r="E227" s="223"/>
      <c r="F227" s="223"/>
      <c r="G227" s="223"/>
    </row>
    <row r="228" spans="2:8" x14ac:dyDescent="0.25">
      <c r="B228" s="231" t="s">
        <v>452</v>
      </c>
      <c r="C228" s="226"/>
      <c r="D228" s="226"/>
      <c r="E228" s="223"/>
      <c r="F228" s="223"/>
      <c r="G228" s="223"/>
    </row>
    <row r="229" spans="2:8" x14ac:dyDescent="0.25">
      <c r="C229" s="16" t="s">
        <v>388</v>
      </c>
      <c r="D229" s="16" t="s">
        <v>693</v>
      </c>
      <c r="E229" s="223">
        <f>+INDEX('2025 GSLDPR Rate Class E-13c'!Q:Q,MATCH('2025 Base Rates'!D229,'2025 GSLDPR Rate Class E-13c'!B:B,0))</f>
        <v>1.02</v>
      </c>
      <c r="F229" s="223"/>
      <c r="G229" s="223">
        <f t="shared" ref="G229:G230" si="34">+ROUND(E229,2)</f>
        <v>1.02</v>
      </c>
      <c r="H229" s="224"/>
    </row>
    <row r="230" spans="2:8" x14ac:dyDescent="0.25">
      <c r="C230" s="226" t="s">
        <v>399</v>
      </c>
      <c r="D230" s="16" t="s">
        <v>694</v>
      </c>
      <c r="E230" s="223">
        <f>+INDEX('2025 GSLDPR Rate Class E-13c'!Q:Q,MATCH('2025 Base Rates'!D230,'2025 GSLDPR Rate Class E-13c'!B:B,0))</f>
        <v>1.02</v>
      </c>
      <c r="F230" s="223"/>
      <c r="G230" s="223">
        <f t="shared" si="34"/>
        <v>1.02</v>
      </c>
      <c r="H230" s="224"/>
    </row>
    <row r="231" spans="2:8" x14ac:dyDescent="0.25">
      <c r="B231" s="17" t="s">
        <v>387</v>
      </c>
      <c r="C231" s="222"/>
      <c r="D231" s="222"/>
      <c r="E231" s="223"/>
      <c r="F231" s="223"/>
      <c r="G231" s="223"/>
    </row>
    <row r="232" spans="2:8" x14ac:dyDescent="0.25">
      <c r="C232" s="16" t="s">
        <v>388</v>
      </c>
      <c r="D232" s="16" t="s">
        <v>695</v>
      </c>
      <c r="E232" s="32">
        <v>-0.01</v>
      </c>
      <c r="F232" s="32"/>
      <c r="G232" s="32">
        <f>+E232</f>
        <v>-0.01</v>
      </c>
      <c r="H232" s="232"/>
    </row>
    <row r="233" spans="2:8" x14ac:dyDescent="0.25">
      <c r="C233" s="226" t="s">
        <v>399</v>
      </c>
      <c r="D233" s="16" t="s">
        <v>696</v>
      </c>
      <c r="E233" s="32">
        <v>-0.01</v>
      </c>
      <c r="F233" s="32"/>
      <c r="G233" s="32">
        <f>+E233</f>
        <v>-0.01</v>
      </c>
      <c r="H233" s="232"/>
    </row>
    <row r="234" spans="2:8" x14ac:dyDescent="0.25">
      <c r="B234" s="219" t="s">
        <v>453</v>
      </c>
      <c r="C234" s="226"/>
      <c r="D234" s="226"/>
      <c r="E234" s="223"/>
      <c r="F234" s="223"/>
      <c r="G234" s="223"/>
    </row>
    <row r="235" spans="2:8" x14ac:dyDescent="0.25">
      <c r="B235" s="219" t="s">
        <v>349</v>
      </c>
      <c r="C235" s="226"/>
      <c r="D235" s="226"/>
      <c r="E235" s="223"/>
      <c r="F235" s="223"/>
      <c r="G235" s="223"/>
    </row>
    <row r="236" spans="2:8" x14ac:dyDescent="0.25">
      <c r="C236" s="226" t="s">
        <v>454</v>
      </c>
      <c r="D236" s="16" t="s">
        <v>702</v>
      </c>
      <c r="E236" s="223">
        <f>+INDEX('2025 GSLDSU Rate Class E-13c'!Q:Q,MATCH('2025 Base Rates'!D236,'2025 GSLDSU Rate Class E-13c'!B:B,0))</f>
        <v>127.62</v>
      </c>
      <c r="F236" s="223"/>
      <c r="G236" s="223">
        <f t="shared" ref="G236:G237" si="35">+ROUND(E236,2)</f>
        <v>127.62</v>
      </c>
      <c r="H236" s="224"/>
    </row>
    <row r="237" spans="2:8" x14ac:dyDescent="0.25">
      <c r="C237" s="226" t="s">
        <v>400</v>
      </c>
      <c r="D237" s="226" t="s">
        <v>703</v>
      </c>
      <c r="E237" s="223">
        <f>+INDEX('2025 GSLDSU Rate Class E-13c'!Q:Q,MATCH('2025 Base Rates'!D237,'2025 GSLDSU Rate Class E-13c'!B:B,0))</f>
        <v>127.62</v>
      </c>
      <c r="F237" s="223"/>
      <c r="G237" s="223">
        <f t="shared" si="35"/>
        <v>127.62</v>
      </c>
      <c r="H237" s="224"/>
    </row>
    <row r="238" spans="2:8" x14ac:dyDescent="0.25">
      <c r="C238" s="226"/>
      <c r="D238" s="222"/>
      <c r="E238" s="223"/>
      <c r="F238" s="223"/>
      <c r="G238" s="223"/>
    </row>
    <row r="239" spans="2:8" x14ac:dyDescent="0.25">
      <c r="B239" s="219" t="s">
        <v>343</v>
      </c>
      <c r="C239" s="226" t="s">
        <v>454</v>
      </c>
      <c r="D239" s="16" t="s">
        <v>697</v>
      </c>
      <c r="E239" s="227">
        <f>+INDEX('2025 GSLDSU Rate Class E-13c'!Q:Q,MATCH('2025 Base Rates'!D239,'2025 GSLDSU Rate Class E-13c'!B:B,0))</f>
        <v>1.1625099999999999E-2</v>
      </c>
      <c r="F239" s="223"/>
      <c r="G239" s="227">
        <f t="shared" ref="G239:G241" si="36">+ROUND(E239,5)</f>
        <v>1.163E-2</v>
      </c>
      <c r="H239" s="228"/>
    </row>
    <row r="240" spans="2:8" x14ac:dyDescent="0.25">
      <c r="C240" s="226" t="s">
        <v>455</v>
      </c>
      <c r="D240" s="226" t="s">
        <v>704</v>
      </c>
      <c r="E240" s="227">
        <f>+INDEX('2025 GSLDSU Rate Class E-13c'!Q:Q,MATCH('2025 Base Rates'!D240,'2025 GSLDSU Rate Class E-13c'!B:B,0))</f>
        <v>2.0947400000000001E-2</v>
      </c>
      <c r="F240" s="223"/>
      <c r="G240" s="227">
        <f t="shared" si="36"/>
        <v>2.095E-2</v>
      </c>
      <c r="H240" s="228"/>
    </row>
    <row r="241" spans="2:8" x14ac:dyDescent="0.25">
      <c r="C241" s="226" t="s">
        <v>456</v>
      </c>
      <c r="D241" s="226" t="s">
        <v>705</v>
      </c>
      <c r="E241" s="227">
        <f>+INDEX('2025 GSLDSU Rate Class E-13c'!Q:Q,MATCH('2025 Base Rates'!D241,'2025 GSLDSU Rate Class E-13c'!B:B,0))</f>
        <v>1.0227400000000001E-2</v>
      </c>
      <c r="F241" s="223"/>
      <c r="G241" s="227">
        <f t="shared" si="36"/>
        <v>1.023E-2</v>
      </c>
      <c r="H241" s="228"/>
    </row>
    <row r="242" spans="2:8" x14ac:dyDescent="0.25">
      <c r="C242" s="226" t="s">
        <v>1518</v>
      </c>
      <c r="D242" s="226" t="s">
        <v>1509</v>
      </c>
      <c r="E242" s="227">
        <f>+INDEX('2025 GSLDSU Rate Class E-13c'!Q:Q,MATCH('2025 Base Rates'!D242,'2025 GSLDSU Rate Class E-13c'!B:B,0))</f>
        <v>7.1874000000000009E-3</v>
      </c>
      <c r="F242" s="223"/>
      <c r="G242" s="227">
        <f t="shared" ref="G242" si="37">+ROUND(E242,5)</f>
        <v>7.1900000000000002E-3</v>
      </c>
    </row>
    <row r="243" spans="2:8" x14ac:dyDescent="0.25">
      <c r="C243" s="226"/>
      <c r="D243" s="226"/>
      <c r="E243" s="223"/>
      <c r="F243" s="223"/>
      <c r="G243" s="223"/>
    </row>
    <row r="244" spans="2:8" x14ac:dyDescent="0.25">
      <c r="B244" s="219" t="s">
        <v>449</v>
      </c>
      <c r="C244" s="226" t="s">
        <v>454</v>
      </c>
      <c r="D244" s="226" t="s">
        <v>698</v>
      </c>
      <c r="E244" s="223">
        <f>+INDEX('2025 GSLDSU Rate Class E-13c'!Q:Q,MATCH('2025 Base Rates'!D244,'2025 GSLDSU Rate Class E-13c'!B:B,0))</f>
        <v>12.771549918847711</v>
      </c>
      <c r="F244" s="223"/>
      <c r="G244" s="223">
        <f t="shared" ref="G244:G246" si="38">+ROUND(E244,2)</f>
        <v>12.77</v>
      </c>
      <c r="H244" s="224"/>
    </row>
    <row r="245" spans="2:8" x14ac:dyDescent="0.25">
      <c r="C245" s="226" t="s">
        <v>457</v>
      </c>
      <c r="D245" s="226" t="s">
        <v>706</v>
      </c>
      <c r="E245" s="223">
        <f>+INDEX('2025 GSLDSU Rate Class E-13c'!Q:Q,MATCH('2025 Base Rates'!D245,'2025 GSLDSU Rate Class E-13c'!B:B,0))</f>
        <v>1.5513907263385562</v>
      </c>
      <c r="F245" s="223"/>
      <c r="G245" s="223">
        <f t="shared" si="38"/>
        <v>1.55</v>
      </c>
      <c r="H245" s="224"/>
    </row>
    <row r="246" spans="2:8" x14ac:dyDescent="0.25">
      <c r="C246" s="226" t="s">
        <v>458</v>
      </c>
      <c r="D246" s="226" t="s">
        <v>707</v>
      </c>
      <c r="E246" s="223">
        <f>+INDEX('2025 GSLDSU Rate Class E-13c'!Q:Q,MATCH('2025 Base Rates'!D246,'2025 GSLDSU Rate Class E-13c'!B:B,0))</f>
        <v>11.220159192509154</v>
      </c>
      <c r="F246" s="223"/>
      <c r="G246" s="223">
        <f t="shared" si="38"/>
        <v>11.22</v>
      </c>
      <c r="H246" s="224"/>
    </row>
    <row r="247" spans="2:8" x14ac:dyDescent="0.25">
      <c r="C247" s="226"/>
      <c r="D247" s="226"/>
      <c r="E247" s="223"/>
      <c r="F247" s="223"/>
      <c r="G247" s="223"/>
    </row>
    <row r="248" spans="2:8" x14ac:dyDescent="0.25">
      <c r="B248" s="219" t="s">
        <v>445</v>
      </c>
      <c r="C248" s="226"/>
      <c r="D248" s="226"/>
      <c r="E248" s="223"/>
      <c r="F248" s="223"/>
      <c r="G248" s="223"/>
    </row>
    <row r="249" spans="2:8" x14ac:dyDescent="0.25">
      <c r="C249" s="226" t="s">
        <v>366</v>
      </c>
      <c r="D249" s="226" t="s">
        <v>699</v>
      </c>
      <c r="E249" s="227">
        <f>+INDEX('2025 GSLDSU Rate Class E-13c'!Q:Q,MATCH('2025 Base Rates'!D249,'2025 GSLDSU Rate Class E-13c'!B:B,0))</f>
        <v>2.0300000000000001E-3</v>
      </c>
      <c r="F249" s="223"/>
      <c r="G249" s="227">
        <f t="shared" ref="G249:G250" si="39">+ROUND(E249,5)</f>
        <v>2.0300000000000001E-3</v>
      </c>
      <c r="H249" s="228"/>
    </row>
    <row r="250" spans="2:8" x14ac:dyDescent="0.25">
      <c r="C250" s="226" t="s">
        <v>373</v>
      </c>
      <c r="D250" s="226" t="s">
        <v>708</v>
      </c>
      <c r="E250" s="227">
        <f>+INDEX('2025 GSLDSU Rate Class E-13c'!Q:Q,MATCH('2025 Base Rates'!D250,'2025 GSLDSU Rate Class E-13c'!B:B,0))</f>
        <v>2.0300000000000001E-3</v>
      </c>
      <c r="F250" s="223"/>
      <c r="G250" s="227">
        <f t="shared" si="39"/>
        <v>2.0300000000000001E-3</v>
      </c>
      <c r="H250" s="228"/>
    </row>
    <row r="251" spans="2:8" x14ac:dyDescent="0.25">
      <c r="B251" s="219" t="s">
        <v>446</v>
      </c>
      <c r="C251" s="226"/>
      <c r="D251" s="226"/>
      <c r="E251" s="223"/>
      <c r="F251" s="223"/>
      <c r="G251" s="223"/>
    </row>
    <row r="252" spans="2:8" x14ac:dyDescent="0.25">
      <c r="C252" s="226" t="s">
        <v>366</v>
      </c>
      <c r="D252" s="226" t="s">
        <v>700</v>
      </c>
      <c r="E252" s="227">
        <f>+INDEX('2025 GSLDSU Rate Class E-13c'!Q:Q,MATCH('2025 Base Rates'!D252,'2025 GSLDSU Rate Class E-13c'!B:B,0))</f>
        <v>-1.0200000000000001E-3</v>
      </c>
      <c r="F252" s="223"/>
      <c r="G252" s="227">
        <f t="shared" ref="G252:G253" si="40">+ROUND(E252,5)</f>
        <v>-1.0200000000000001E-3</v>
      </c>
      <c r="H252" s="228"/>
    </row>
    <row r="253" spans="2:8" x14ac:dyDescent="0.25">
      <c r="C253" s="226" t="s">
        <v>373</v>
      </c>
      <c r="D253" s="226" t="s">
        <v>709</v>
      </c>
      <c r="E253" s="227">
        <f>+INDEX('2025 GSLDSU Rate Class E-13c'!Q:Q,MATCH('2025 Base Rates'!D253,'2025 GSLDSU Rate Class E-13c'!B:B,0))</f>
        <v>-1.0200000000000001E-3</v>
      </c>
      <c r="F253" s="223"/>
      <c r="G253" s="227">
        <f t="shared" si="40"/>
        <v>-1.0200000000000001E-3</v>
      </c>
      <c r="H253" s="228"/>
    </row>
    <row r="254" spans="2:8" x14ac:dyDescent="0.25">
      <c r="C254" s="226"/>
      <c r="E254" s="223"/>
      <c r="F254" s="223"/>
      <c r="G254" s="223"/>
    </row>
    <row r="255" spans="2:8" x14ac:dyDescent="0.25">
      <c r="B255" s="219" t="s">
        <v>452</v>
      </c>
      <c r="C255" s="226" t="s">
        <v>454</v>
      </c>
      <c r="D255" s="16" t="s">
        <v>701</v>
      </c>
      <c r="E255" s="223">
        <f>+INDEX('2025 GSLDSU Rate Class E-13c'!Q:Q,MATCH('2025 Base Rates'!D255,'2025 GSLDSU Rate Class E-13c'!B:B,0))</f>
        <v>1.02</v>
      </c>
      <c r="F255" s="223"/>
      <c r="G255" s="223">
        <f t="shared" ref="G255:G256" si="41">+ROUND(E255,2)</f>
        <v>1.02</v>
      </c>
      <c r="H255" s="224"/>
    </row>
    <row r="256" spans="2:8" x14ac:dyDescent="0.25">
      <c r="C256" s="226" t="s">
        <v>400</v>
      </c>
      <c r="D256" s="16" t="s">
        <v>710</v>
      </c>
      <c r="E256" s="223">
        <f>+INDEX('2025 GSLDSU Rate Class E-13c'!Q:Q,MATCH('2025 Base Rates'!D256,'2025 GSLDSU Rate Class E-13c'!B:B,0))</f>
        <v>1.02</v>
      </c>
      <c r="F256" s="223"/>
      <c r="G256" s="223">
        <f t="shared" si="41"/>
        <v>1.02</v>
      </c>
      <c r="H256" s="224"/>
    </row>
    <row r="257" spans="2:8" x14ac:dyDescent="0.25">
      <c r="C257" s="226"/>
      <c r="E257" s="223"/>
      <c r="F257" s="223"/>
      <c r="G257" s="223"/>
    </row>
    <row r="258" spans="2:8" x14ac:dyDescent="0.25">
      <c r="B258" s="219" t="s">
        <v>459</v>
      </c>
      <c r="C258" s="222"/>
      <c r="E258" s="223"/>
      <c r="F258" s="223"/>
      <c r="G258" s="223"/>
    </row>
    <row r="259" spans="2:8" x14ac:dyDescent="0.25">
      <c r="B259" s="17" t="s">
        <v>349</v>
      </c>
      <c r="C259" s="222"/>
      <c r="D259" s="222"/>
      <c r="E259" s="223"/>
      <c r="F259" s="223"/>
      <c r="G259" s="223"/>
    </row>
    <row r="260" spans="2:8" x14ac:dyDescent="0.25">
      <c r="B260" s="11"/>
      <c r="C260" s="16" t="s">
        <v>460</v>
      </c>
      <c r="D260" s="16" t="s">
        <v>621</v>
      </c>
      <c r="E260" s="223">
        <f>+INDEX('2025 GSLDPR Rate Class E-13c'!Q:Q,MATCH('2025 Base Rates'!D260,'2025 GSLDPR Rate Class E-13c'!B:B,0))</f>
        <v>22.24</v>
      </c>
      <c r="F260" s="223"/>
      <c r="G260" s="223">
        <f t="shared" ref="G260:G261" si="42">+ROUND(E260,2)</f>
        <v>22.24</v>
      </c>
      <c r="H260" s="224"/>
    </row>
    <row r="261" spans="2:8" x14ac:dyDescent="0.25">
      <c r="C261" s="226" t="s">
        <v>390</v>
      </c>
      <c r="D261" s="16" t="s">
        <v>622</v>
      </c>
      <c r="E261" s="223">
        <f>+INDEX('2025 GSLDPR Rate Class E-13c'!Q:Q,MATCH('2025 Base Rates'!D261,'2025 GSLDPR Rate Class E-13c'!B:B,0))</f>
        <v>22.24</v>
      </c>
      <c r="F261" s="223"/>
      <c r="G261" s="223">
        <f t="shared" si="42"/>
        <v>22.24</v>
      </c>
      <c r="H261" s="224"/>
    </row>
    <row r="262" spans="2:8" x14ac:dyDescent="0.25">
      <c r="B262" s="17" t="s">
        <v>401</v>
      </c>
      <c r="C262" s="222"/>
      <c r="D262" s="16"/>
      <c r="E262" s="223"/>
      <c r="F262" s="223"/>
      <c r="G262" s="223"/>
    </row>
    <row r="263" spans="2:8" x14ac:dyDescent="0.25">
      <c r="B263" s="11"/>
      <c r="C263" s="16" t="s">
        <v>388</v>
      </c>
      <c r="D263" s="16" t="s">
        <v>612</v>
      </c>
      <c r="E263" s="227">
        <f>+INDEX('2025 GSLDPR Rate Class E-13c'!Q:Q,MATCH('2025 Base Rates'!D263,'2025 GSLDPR Rate Class E-13c'!B:B,0))</f>
        <v>1.0628400000000001E-2</v>
      </c>
      <c r="F263" s="223"/>
      <c r="G263" s="227">
        <f t="shared" ref="G263:G265" si="43">+ROUND(E263,5)</f>
        <v>1.0630000000000001E-2</v>
      </c>
      <c r="H263" s="228"/>
    </row>
    <row r="264" spans="2:8" x14ac:dyDescent="0.25">
      <c r="C264" s="226" t="s">
        <v>403</v>
      </c>
      <c r="D264" s="16" t="s">
        <v>623</v>
      </c>
      <c r="E264" s="227">
        <f>+INDEX('2025 GSLDPR Rate Class E-13c'!Q:Q,MATCH('2025 Base Rates'!D264,'2025 GSLDPR Rate Class E-13c'!B:B,0))</f>
        <v>1.7248200000000002E-2</v>
      </c>
      <c r="F264" s="223"/>
      <c r="G264" s="227">
        <f t="shared" si="43"/>
        <v>1.7250000000000001E-2</v>
      </c>
      <c r="H264" s="228"/>
    </row>
    <row r="265" spans="2:8" x14ac:dyDescent="0.25">
      <c r="C265" s="226" t="s">
        <v>406</v>
      </c>
      <c r="D265" s="16" t="s">
        <v>624</v>
      </c>
      <c r="E265" s="227">
        <f>+INDEX('2025 GSLDPR Rate Class E-13c'!Q:Q,MATCH('2025 Base Rates'!D265,'2025 GSLDPR Rate Class E-13c'!B:B,0))</f>
        <v>1.0478200000000002E-2</v>
      </c>
      <c r="F265" s="223"/>
      <c r="G265" s="227">
        <f t="shared" si="43"/>
        <v>1.048E-2</v>
      </c>
      <c r="H265" s="228"/>
    </row>
    <row r="266" spans="2:8" x14ac:dyDescent="0.25">
      <c r="C266" s="226" t="s">
        <v>1516</v>
      </c>
      <c r="D266" s="16" t="s">
        <v>1507</v>
      </c>
      <c r="E266" s="227">
        <f>+INDEX('2025 GSLDPR Rate Class E-13c'!Q:Q,MATCH('2025 Base Rates'!D266,'2025 GSLDPR Rate Class E-13c'!B:B,0))</f>
        <v>6.2982000000000021E-3</v>
      </c>
      <c r="F266" s="223"/>
      <c r="G266" s="227">
        <f t="shared" ref="G266" si="44">+ROUND(E266,5)</f>
        <v>6.3E-3</v>
      </c>
      <c r="H266" s="228"/>
    </row>
    <row r="267" spans="2:8" x14ac:dyDescent="0.25">
      <c r="B267" s="17" t="s">
        <v>408</v>
      </c>
      <c r="C267" s="222"/>
      <c r="D267" s="16"/>
      <c r="E267" s="223"/>
      <c r="F267" s="223"/>
      <c r="G267" s="223"/>
    </row>
    <row r="268" spans="2:8" x14ac:dyDescent="0.25">
      <c r="B268" s="17"/>
      <c r="C268" s="226" t="s">
        <v>461</v>
      </c>
      <c r="D268" s="16" t="s">
        <v>613</v>
      </c>
      <c r="E268" s="227">
        <f>+INDEX('2025 GSLDPR Rate Class E-13c'!Q:Q,MATCH('2025 Base Rates'!D268,'2025 GSLDPR Rate Class E-13c'!B:B,0))</f>
        <v>8.7413999999999999E-3</v>
      </c>
      <c r="F268" s="223"/>
      <c r="G268" s="227">
        <f t="shared" ref="G268:G270" si="45">+ROUND(E268,5)</f>
        <v>8.7399999999999995E-3</v>
      </c>
      <c r="H268" s="228"/>
    </row>
    <row r="269" spans="2:8" x14ac:dyDescent="0.25">
      <c r="C269" s="226" t="s">
        <v>403</v>
      </c>
      <c r="D269" s="16" t="s">
        <v>625</v>
      </c>
      <c r="E269" s="227">
        <f>+INDEX('2025 GSLDPR Rate Class E-13c'!Q:Q,MATCH('2025 Base Rates'!D269,'2025 GSLDPR Rate Class E-13c'!B:B,0))</f>
        <v>8.7413999999999999E-3</v>
      </c>
      <c r="F269" s="223"/>
      <c r="G269" s="227">
        <f t="shared" si="45"/>
        <v>8.7399999999999995E-3</v>
      </c>
      <c r="H269" s="228"/>
    </row>
    <row r="270" spans="2:8" x14ac:dyDescent="0.25">
      <c r="C270" s="226" t="s">
        <v>406</v>
      </c>
      <c r="D270" s="16" t="s">
        <v>626</v>
      </c>
      <c r="E270" s="227">
        <f>+INDEX('2025 GSLDPR Rate Class E-13c'!Q:Q,MATCH('2025 Base Rates'!D270,'2025 GSLDPR Rate Class E-13c'!B:B,0))</f>
        <v>8.7413999999999999E-3</v>
      </c>
      <c r="F270" s="223"/>
      <c r="G270" s="227">
        <f t="shared" si="45"/>
        <v>8.7399999999999995E-3</v>
      </c>
      <c r="H270" s="228"/>
    </row>
    <row r="271" spans="2:8" x14ac:dyDescent="0.25">
      <c r="C271" s="226" t="s">
        <v>1516</v>
      </c>
      <c r="D271" s="16" t="s">
        <v>1508</v>
      </c>
      <c r="E271" s="227">
        <f>+INDEX('2025 GSLDPR Rate Class E-13c'!Q:Q,MATCH('2025 Base Rates'!D271,'2025 GSLDPR Rate Class E-13c'!B:B,0))</f>
        <v>8.7413999999999999E-3</v>
      </c>
      <c r="F271" s="223"/>
      <c r="G271" s="227">
        <f t="shared" ref="G271" si="46">+ROUND(E271,5)</f>
        <v>8.7399999999999995E-3</v>
      </c>
      <c r="H271" s="228"/>
    </row>
    <row r="272" spans="2:8" x14ac:dyDescent="0.25">
      <c r="B272" s="17" t="s">
        <v>412</v>
      </c>
      <c r="C272" s="222"/>
      <c r="D272" s="16"/>
      <c r="E272" s="223"/>
      <c r="F272" s="223"/>
      <c r="G272" s="223"/>
    </row>
    <row r="273" spans="2:8" x14ac:dyDescent="0.25">
      <c r="B273" s="11"/>
      <c r="C273" s="16" t="s">
        <v>388</v>
      </c>
      <c r="D273" s="16" t="s">
        <v>614</v>
      </c>
      <c r="E273" s="223">
        <f>+INDEX('2025 GSLDPR Rate Class E-13c'!Q:Q,MATCH('2025 Base Rates'!D273,'2025 GSLDPR Rate Class E-13c'!B:B,0))</f>
        <v>12.998543718400001</v>
      </c>
      <c r="F273" s="223"/>
      <c r="G273" s="223">
        <f t="shared" ref="G273:G275" si="47">+ROUND(E273,2)</f>
        <v>13</v>
      </c>
      <c r="H273" s="224"/>
    </row>
    <row r="274" spans="2:8" x14ac:dyDescent="0.25">
      <c r="C274" s="226" t="s">
        <v>462</v>
      </c>
      <c r="D274" s="16" t="s">
        <v>627</v>
      </c>
      <c r="E274" s="223">
        <f>+INDEX('2025 GSLDPR Rate Class E-13c'!Q:Q,MATCH('2025 Base Rates'!D274,'2025 GSLDPR Rate Class E-13c'!B:B,0))</f>
        <v>2.9252046763999999</v>
      </c>
      <c r="F274" s="223"/>
      <c r="G274" s="223">
        <f t="shared" si="47"/>
        <v>2.93</v>
      </c>
      <c r="H274" s="224"/>
    </row>
    <row r="275" spans="2:8" x14ac:dyDescent="0.25">
      <c r="C275" s="226" t="s">
        <v>463</v>
      </c>
      <c r="D275" s="16" t="s">
        <v>628</v>
      </c>
      <c r="E275" s="223">
        <f>+INDEX('2025 GSLDPR Rate Class E-13c'!Q:Q,MATCH('2025 Base Rates'!D275,'2025 GSLDPR Rate Class E-13c'!B:B,0))</f>
        <v>10.068339042</v>
      </c>
      <c r="F275" s="223"/>
      <c r="G275" s="223">
        <f t="shared" si="47"/>
        <v>10.07</v>
      </c>
      <c r="H275" s="224"/>
    </row>
    <row r="276" spans="2:8" x14ac:dyDescent="0.25">
      <c r="B276" s="17" t="s">
        <v>419</v>
      </c>
      <c r="C276" s="222"/>
      <c r="D276" s="16"/>
      <c r="E276" s="223"/>
      <c r="F276" s="223"/>
      <c r="G276" s="223"/>
    </row>
    <row r="277" spans="2:8" x14ac:dyDescent="0.25">
      <c r="B277" s="17"/>
      <c r="C277" s="226" t="s">
        <v>464</v>
      </c>
      <c r="D277" s="16" t="s">
        <v>615</v>
      </c>
      <c r="E277" s="223">
        <f>+INDEX('2025 GSLDPR Rate Class E-13c'!Q:Q,MATCH('2025 Base Rates'!D277,'2025 GSLDPR Rate Class E-13c'!B:B,0))</f>
        <v>1.7070599527999999</v>
      </c>
      <c r="F277" s="223"/>
      <c r="G277" s="223">
        <f t="shared" ref="G277:G282" si="48">+ROUND(E277,2)</f>
        <v>1.71</v>
      </c>
      <c r="H277" s="224"/>
    </row>
    <row r="278" spans="2:8" x14ac:dyDescent="0.25">
      <c r="B278" s="17"/>
      <c r="C278" s="226" t="s">
        <v>465</v>
      </c>
      <c r="D278" s="16" t="s">
        <v>616</v>
      </c>
      <c r="E278" s="223">
        <f>+INDEX('2025 GSLDPR Rate Class E-13c'!Q:Q,MATCH('2025 Base Rates'!D278,'2025 GSLDPR Rate Class E-13c'!B:B,0))</f>
        <v>1.5578993743999998</v>
      </c>
      <c r="F278" s="223"/>
      <c r="G278" s="223">
        <f t="shared" si="48"/>
        <v>1.56</v>
      </c>
      <c r="H278" s="224"/>
    </row>
    <row r="279" spans="2:8" x14ac:dyDescent="0.25">
      <c r="B279" s="17"/>
      <c r="C279" s="226" t="s">
        <v>466</v>
      </c>
      <c r="D279" s="16" t="s">
        <v>617</v>
      </c>
      <c r="E279" s="223">
        <f>+INDEX('2025 GSLDPR Rate Class E-13c'!Q:Q,MATCH('2025 Base Rates'!D279,'2025 GSLDPR Rate Class E-13c'!B:B,0))</f>
        <v>0.62150240999999995</v>
      </c>
      <c r="F279" s="223"/>
      <c r="G279" s="223">
        <f t="shared" si="48"/>
        <v>0.62</v>
      </c>
      <c r="H279" s="224"/>
    </row>
    <row r="280" spans="2:8" x14ac:dyDescent="0.25">
      <c r="C280" s="226" t="s">
        <v>467</v>
      </c>
      <c r="D280" s="16" t="s">
        <v>629</v>
      </c>
      <c r="E280" s="223">
        <f>+INDEX('2025 GSLDPR Rate Class E-13c'!Q:Q,MATCH('2025 Base Rates'!D280,'2025 GSLDPR Rate Class E-13c'!B:B,0))</f>
        <v>1.7070599527999999</v>
      </c>
      <c r="F280" s="223"/>
      <c r="G280" s="223">
        <f t="shared" si="48"/>
        <v>1.71</v>
      </c>
      <c r="H280" s="224"/>
    </row>
    <row r="281" spans="2:8" x14ac:dyDescent="0.25">
      <c r="C281" s="226" t="s">
        <v>468</v>
      </c>
      <c r="D281" s="16" t="s">
        <v>630</v>
      </c>
      <c r="E281" s="223">
        <f>+INDEX('2025 GSLDPR Rate Class E-13c'!Q:Q,MATCH('2025 Base Rates'!D281,'2025 GSLDPR Rate Class E-13c'!B:B,0))</f>
        <v>1.5578993743999998</v>
      </c>
      <c r="F281" s="223"/>
      <c r="G281" s="223">
        <f t="shared" si="48"/>
        <v>1.56</v>
      </c>
      <c r="H281" s="224"/>
    </row>
    <row r="282" spans="2:8" x14ac:dyDescent="0.25">
      <c r="C282" s="226" t="s">
        <v>469</v>
      </c>
      <c r="D282" s="16" t="s">
        <v>631</v>
      </c>
      <c r="E282" s="223">
        <f>+INDEX('2025 GSLDPR Rate Class E-13c'!Q:Q,MATCH('2025 Base Rates'!D282,'2025 GSLDPR Rate Class E-13c'!B:B,0))</f>
        <v>0.62150240999999995</v>
      </c>
      <c r="F282" s="223"/>
      <c r="G282" s="223">
        <f t="shared" si="48"/>
        <v>0.62</v>
      </c>
      <c r="H282" s="224"/>
    </row>
    <row r="283" spans="2:8" x14ac:dyDescent="0.25">
      <c r="C283" s="226"/>
      <c r="D283" s="16"/>
      <c r="E283" s="223"/>
      <c r="F283" s="223"/>
      <c r="G283" s="223"/>
    </row>
    <row r="284" spans="2:8" x14ac:dyDescent="0.25">
      <c r="B284" s="219" t="s">
        <v>445</v>
      </c>
      <c r="C284" s="226"/>
      <c r="D284" s="16"/>
      <c r="E284" s="223"/>
      <c r="F284" s="223"/>
      <c r="G284" s="223"/>
    </row>
    <row r="285" spans="2:8" x14ac:dyDescent="0.25">
      <c r="C285" s="226" t="s">
        <v>388</v>
      </c>
      <c r="D285" s="16" t="s">
        <v>618</v>
      </c>
      <c r="E285" s="227">
        <f>+INDEX('2025 GSLDPR Rate Class E-13c'!Q:Q,MATCH('2025 Base Rates'!D285,'2025 GSLDPR Rate Class E-13c'!B:B,0))</f>
        <v>2.0300000000000001E-3</v>
      </c>
      <c r="F285" s="223"/>
      <c r="G285" s="227">
        <f t="shared" ref="G285:G286" si="49">+ROUND(E285,5)</f>
        <v>2.0300000000000001E-3</v>
      </c>
      <c r="H285" s="228"/>
    </row>
    <row r="286" spans="2:8" x14ac:dyDescent="0.25">
      <c r="C286" s="226" t="s">
        <v>390</v>
      </c>
      <c r="D286" s="16" t="s">
        <v>922</v>
      </c>
      <c r="E286" s="227">
        <f>+INDEX('2025 GSLDPR Rate Class E-13c'!Q:Q,MATCH('2025 Base Rates'!D286,'2025 GSLDPR Rate Class E-13c'!B:B,0))</f>
        <v>2.0300000000000001E-3</v>
      </c>
      <c r="F286" s="223"/>
      <c r="G286" s="227">
        <f t="shared" si="49"/>
        <v>2.0300000000000001E-3</v>
      </c>
      <c r="H286" s="228"/>
    </row>
    <row r="287" spans="2:8" x14ac:dyDescent="0.25">
      <c r="C287" s="226"/>
      <c r="D287" s="16"/>
      <c r="E287" s="223"/>
      <c r="F287" s="223"/>
      <c r="G287" s="223"/>
    </row>
    <row r="288" spans="2:8" x14ac:dyDescent="0.25">
      <c r="B288" s="219" t="s">
        <v>446</v>
      </c>
      <c r="C288" s="226"/>
      <c r="E288" s="223"/>
      <c r="F288" s="223"/>
      <c r="G288" s="223"/>
    </row>
    <row r="289" spans="2:8" x14ac:dyDescent="0.25">
      <c r="C289" s="226" t="s">
        <v>388</v>
      </c>
      <c r="D289" s="16" t="s">
        <v>619</v>
      </c>
      <c r="E289" s="227">
        <f>+INDEX('2025 GSLDPR Rate Class E-13c'!Q:Q,MATCH('2025 Base Rates'!D289,'2025 GSLDPR Rate Class E-13c'!B:B,0))</f>
        <v>-1.0200000000000001E-3</v>
      </c>
      <c r="F289" s="223"/>
      <c r="G289" s="227">
        <f t="shared" ref="G289:G290" si="50">+ROUND(E289,5)</f>
        <v>-1.0200000000000001E-3</v>
      </c>
      <c r="H289" s="228"/>
    </row>
    <row r="290" spans="2:8" x14ac:dyDescent="0.25">
      <c r="C290" s="226" t="s">
        <v>390</v>
      </c>
      <c r="D290" s="16" t="s">
        <v>921</v>
      </c>
      <c r="E290" s="227">
        <f>+INDEX('2025 GSLDPR Rate Class E-13c'!Q:Q,MATCH('2025 Base Rates'!D290,'2025 GSLDPR Rate Class E-13c'!B:B,0))</f>
        <v>-1.0200000000000001E-3</v>
      </c>
      <c r="F290" s="223"/>
      <c r="G290" s="227">
        <f t="shared" si="50"/>
        <v>-1.0200000000000001E-3</v>
      </c>
      <c r="H290" s="228"/>
    </row>
    <row r="291" spans="2:8" x14ac:dyDescent="0.25">
      <c r="C291" s="226"/>
      <c r="D291" s="16"/>
      <c r="E291" s="223"/>
      <c r="F291" s="223"/>
      <c r="G291" s="223"/>
    </row>
    <row r="292" spans="2:8" x14ac:dyDescent="0.25">
      <c r="B292" s="231" t="s">
        <v>452</v>
      </c>
      <c r="C292" s="226"/>
      <c r="D292" s="16"/>
      <c r="E292" s="223"/>
      <c r="F292" s="223"/>
      <c r="G292" s="223"/>
    </row>
    <row r="293" spans="2:8" x14ac:dyDescent="0.25">
      <c r="C293" s="16" t="s">
        <v>388</v>
      </c>
      <c r="D293" s="16" t="s">
        <v>620</v>
      </c>
      <c r="E293" s="223">
        <f>+INDEX('2025 GSLDPR Rate Class E-13c'!Q:Q,MATCH('2025 Base Rates'!D293,'2025 GSLDPR Rate Class E-13c'!B:B,0))</f>
        <v>1.02</v>
      </c>
      <c r="F293" s="223"/>
      <c r="G293" s="223">
        <f t="shared" ref="G293:G294" si="51">+ROUND(E293,2)</f>
        <v>1.02</v>
      </c>
      <c r="H293" s="224"/>
    </row>
    <row r="294" spans="2:8" x14ac:dyDescent="0.25">
      <c r="C294" s="226" t="s">
        <v>399</v>
      </c>
      <c r="D294" s="16" t="s">
        <v>632</v>
      </c>
      <c r="E294" s="223">
        <f>+INDEX('2025 GSLDPR Rate Class E-13c'!Q:Q,MATCH('2025 Base Rates'!D294,'2025 GSLDPR Rate Class E-13c'!B:B,0))</f>
        <v>1.02</v>
      </c>
      <c r="F294" s="223"/>
      <c r="G294" s="223">
        <f t="shared" si="51"/>
        <v>1.02</v>
      </c>
      <c r="H294" s="224"/>
    </row>
    <row r="295" spans="2:8" x14ac:dyDescent="0.25">
      <c r="C295" s="226"/>
      <c r="D295" s="226"/>
      <c r="E295" s="223"/>
      <c r="F295" s="223"/>
      <c r="G295" s="223"/>
    </row>
    <row r="296" spans="2:8" x14ac:dyDescent="0.25">
      <c r="B296" s="17" t="s">
        <v>438</v>
      </c>
      <c r="C296" s="222"/>
      <c r="D296" s="222"/>
      <c r="E296" s="223"/>
      <c r="F296" s="223"/>
      <c r="G296" s="223"/>
    </row>
    <row r="297" spans="2:8" x14ac:dyDescent="0.25">
      <c r="B297" s="11"/>
      <c r="C297" s="16" t="s">
        <v>388</v>
      </c>
      <c r="D297" s="16" t="s">
        <v>610</v>
      </c>
      <c r="E297" s="32">
        <v>-0.01</v>
      </c>
      <c r="F297" s="32"/>
      <c r="G297" s="32">
        <f>+E297</f>
        <v>-0.01</v>
      </c>
      <c r="H297" s="232"/>
    </row>
    <row r="298" spans="2:8" x14ac:dyDescent="0.25">
      <c r="B298" s="11"/>
      <c r="C298" s="16" t="s">
        <v>470</v>
      </c>
      <c r="D298" s="16" t="s">
        <v>611</v>
      </c>
      <c r="E298" s="32">
        <v>-0.01</v>
      </c>
      <c r="F298" s="32"/>
      <c r="G298" s="32">
        <f>+E298</f>
        <v>-0.01</v>
      </c>
      <c r="H298" s="232"/>
    </row>
    <row r="299" spans="2:8" x14ac:dyDescent="0.25">
      <c r="C299" s="222"/>
      <c r="D299" s="222"/>
      <c r="E299" s="223"/>
      <c r="F299" s="223"/>
      <c r="G299" s="223"/>
    </row>
    <row r="300" spans="2:8" x14ac:dyDescent="0.25">
      <c r="B300" s="219" t="s">
        <v>471</v>
      </c>
      <c r="C300" s="16"/>
      <c r="D300" s="16"/>
      <c r="E300" s="223"/>
      <c r="F300" s="223"/>
      <c r="G300" s="223"/>
    </row>
    <row r="301" spans="2:8" x14ac:dyDescent="0.25">
      <c r="B301" s="219" t="s">
        <v>349</v>
      </c>
      <c r="C301" s="16"/>
      <c r="D301" s="16"/>
      <c r="E301" s="223"/>
      <c r="F301" s="223"/>
      <c r="G301" s="223"/>
    </row>
    <row r="302" spans="2:8" x14ac:dyDescent="0.25">
      <c r="C302" s="16" t="s">
        <v>454</v>
      </c>
      <c r="D302" s="16" t="s">
        <v>560</v>
      </c>
      <c r="E302" s="223">
        <f>+INDEX('2025 GSLDSU Rate Class E-13c'!Q:Q,MATCH('2025 Base Rates'!D302,'2025 GSLDSU Rate Class E-13c'!B:B,0))</f>
        <v>128.44</v>
      </c>
      <c r="F302" s="223"/>
      <c r="G302" s="223">
        <f t="shared" ref="G302:G303" si="52">+ROUND(E302,2)</f>
        <v>128.44</v>
      </c>
      <c r="H302" s="224"/>
    </row>
    <row r="303" spans="2:8" x14ac:dyDescent="0.25">
      <c r="C303" s="16" t="s">
        <v>472</v>
      </c>
      <c r="D303" s="16" t="s">
        <v>561</v>
      </c>
      <c r="E303" s="223">
        <f>+INDEX('2025 GSLDSU Rate Class E-13c'!Q:Q,MATCH('2025 Base Rates'!D303,'2025 GSLDSU Rate Class E-13c'!B:B,0))</f>
        <v>128.44</v>
      </c>
      <c r="F303" s="223"/>
      <c r="G303" s="223">
        <f t="shared" si="52"/>
        <v>128.44</v>
      </c>
      <c r="H303" s="224"/>
    </row>
    <row r="304" spans="2:8" x14ac:dyDescent="0.25">
      <c r="B304" s="219" t="s">
        <v>401</v>
      </c>
      <c r="C304" s="16"/>
      <c r="D304" s="16"/>
      <c r="E304" s="223"/>
      <c r="F304" s="223"/>
      <c r="G304" s="223"/>
    </row>
    <row r="305" spans="2:8" x14ac:dyDescent="0.25">
      <c r="C305" s="16" t="s">
        <v>454</v>
      </c>
      <c r="D305" s="16" t="s">
        <v>562</v>
      </c>
      <c r="E305" s="227">
        <f>+INDEX('2025 GSLDSU Rate Class E-13c'!Q:Q,MATCH('2025 Base Rates'!D305,'2025 GSLDSU Rate Class E-13c'!B:B,0))</f>
        <v>1.1625099999999999E-2</v>
      </c>
      <c r="F305" s="223"/>
      <c r="G305" s="227">
        <f t="shared" ref="G305:G307" si="53">+ROUND(E305,5)</f>
        <v>1.163E-2</v>
      </c>
      <c r="H305" s="228"/>
    </row>
    <row r="306" spans="2:8" x14ac:dyDescent="0.25">
      <c r="C306" s="16" t="s">
        <v>404</v>
      </c>
      <c r="D306" s="16" t="s">
        <v>563</v>
      </c>
      <c r="E306" s="227">
        <f>+INDEX('2025 GSLDSU Rate Class E-13c'!Q:Q,MATCH('2025 Base Rates'!D306,'2025 GSLDSU Rate Class E-13c'!B:B,0))</f>
        <v>2.09272E-2</v>
      </c>
      <c r="F306" s="223"/>
      <c r="G306" s="227">
        <f t="shared" si="53"/>
        <v>2.0930000000000001E-2</v>
      </c>
      <c r="H306" s="228"/>
    </row>
    <row r="307" spans="2:8" x14ac:dyDescent="0.25">
      <c r="C307" s="16" t="s">
        <v>407</v>
      </c>
      <c r="D307" s="16" t="s">
        <v>564</v>
      </c>
      <c r="E307" s="227">
        <f>+INDEX('2025 GSLDSU Rate Class E-13c'!Q:Q,MATCH('2025 Base Rates'!D307,'2025 GSLDSU Rate Class E-13c'!B:B,0))</f>
        <v>1.02072E-2</v>
      </c>
      <c r="F307" s="223"/>
      <c r="G307" s="227">
        <f t="shared" si="53"/>
        <v>1.021E-2</v>
      </c>
      <c r="H307" s="228"/>
    </row>
    <row r="308" spans="2:8" x14ac:dyDescent="0.25">
      <c r="C308" s="16" t="s">
        <v>1517</v>
      </c>
      <c r="D308" s="16" t="s">
        <v>1510</v>
      </c>
      <c r="E308" s="227">
        <f>+INDEX('2025 GSLDSU Rate Class E-13c'!Q:Q,MATCH('2025 Base Rates'!D308,'2025 GSLDSU Rate Class E-13c'!B:B,0))</f>
        <v>7.1671999999999994E-3</v>
      </c>
      <c r="F308" s="223"/>
      <c r="G308" s="227">
        <f t="shared" ref="G308" si="54">+ROUND(E308,5)</f>
        <v>7.1700000000000002E-3</v>
      </c>
      <c r="H308" s="228"/>
    </row>
    <row r="309" spans="2:8" x14ac:dyDescent="0.25">
      <c r="B309" s="219" t="s">
        <v>408</v>
      </c>
      <c r="C309" s="16"/>
      <c r="D309" s="16"/>
      <c r="E309" s="223"/>
      <c r="F309" s="223"/>
      <c r="G309" s="223"/>
      <c r="H309" s="234"/>
    </row>
    <row r="310" spans="2:8" x14ac:dyDescent="0.25">
      <c r="B310" s="219"/>
      <c r="C310" s="16" t="s">
        <v>473</v>
      </c>
      <c r="D310" s="16" t="s">
        <v>565</v>
      </c>
      <c r="E310" s="227">
        <f>+INDEX('2025 GSLDSU Rate Class E-13c'!Q:Q,MATCH('2025 Base Rates'!D310,'2025 GSLDSU Rate Class E-13c'!B:B,0))</f>
        <v>8.6556999999999988E-3</v>
      </c>
      <c r="F310" s="223"/>
      <c r="G310" s="227">
        <f t="shared" ref="G310:G312" si="55">+ROUND(E310,5)</f>
        <v>8.6599999999999993E-3</v>
      </c>
      <c r="H310" s="228"/>
    </row>
    <row r="311" spans="2:8" x14ac:dyDescent="0.25">
      <c r="C311" s="16" t="s">
        <v>404</v>
      </c>
      <c r="D311" s="16" t="s">
        <v>566</v>
      </c>
      <c r="E311" s="227">
        <f>+INDEX('2025 GSLDSU Rate Class E-13c'!Q:Q,MATCH('2025 Base Rates'!D311,'2025 GSLDSU Rate Class E-13c'!B:B,0))</f>
        <v>8.6556999999999988E-3</v>
      </c>
      <c r="F311" s="223"/>
      <c r="G311" s="227">
        <f t="shared" si="55"/>
        <v>8.6599999999999993E-3</v>
      </c>
      <c r="H311" s="228"/>
    </row>
    <row r="312" spans="2:8" x14ac:dyDescent="0.25">
      <c r="C312" s="16" t="s">
        <v>407</v>
      </c>
      <c r="D312" s="16" t="s">
        <v>567</v>
      </c>
      <c r="E312" s="227">
        <f>+INDEX('2025 GSLDSU Rate Class E-13c'!Q:Q,MATCH('2025 Base Rates'!D312,'2025 GSLDSU Rate Class E-13c'!B:B,0))</f>
        <v>8.6556999999999988E-3</v>
      </c>
      <c r="F312" s="223"/>
      <c r="G312" s="227">
        <f t="shared" si="55"/>
        <v>8.6599999999999993E-3</v>
      </c>
      <c r="H312" s="228"/>
    </row>
    <row r="313" spans="2:8" x14ac:dyDescent="0.25">
      <c r="C313" s="16" t="s">
        <v>1517</v>
      </c>
      <c r="D313" s="16" t="s">
        <v>1511</v>
      </c>
      <c r="E313" s="227">
        <f>+INDEX('2025 GSLDSU Rate Class E-13c'!Q:Q,MATCH('2025 Base Rates'!D313,'2025 GSLDSU Rate Class E-13c'!B:B,0))</f>
        <v>8.6556999999999988E-3</v>
      </c>
      <c r="F313" s="223"/>
      <c r="G313" s="227">
        <f t="shared" ref="G313" si="56">+ROUND(E313,5)</f>
        <v>8.6599999999999993E-3</v>
      </c>
      <c r="H313" s="228"/>
    </row>
    <row r="314" spans="2:8" x14ac:dyDescent="0.25">
      <c r="B314" s="219" t="s">
        <v>412</v>
      </c>
      <c r="C314" s="16"/>
      <c r="D314" s="16"/>
      <c r="E314" s="223"/>
      <c r="F314" s="223"/>
      <c r="G314" s="223"/>
    </row>
    <row r="315" spans="2:8" x14ac:dyDescent="0.25">
      <c r="C315" s="16" t="s">
        <v>454</v>
      </c>
      <c r="D315" s="16" t="s">
        <v>595</v>
      </c>
      <c r="E315" s="223">
        <f>+INDEX('2025 GSLDSU Rate Class E-13c'!Q:Q,MATCH('2025 Base Rates'!D315,'2025 GSLDSU Rate Class E-13c'!B:B,0))</f>
        <v>12.771549918847711</v>
      </c>
      <c r="F315" s="223"/>
      <c r="G315" s="223">
        <f t="shared" ref="G315:G317" si="57">+ROUND(E315,2)</f>
        <v>12.77</v>
      </c>
      <c r="H315" s="224"/>
    </row>
    <row r="316" spans="2:8" x14ac:dyDescent="0.25">
      <c r="C316" s="16" t="s">
        <v>474</v>
      </c>
      <c r="D316" s="16" t="s">
        <v>598</v>
      </c>
      <c r="E316" s="223">
        <f>+INDEX('2025 GSLDSU Rate Class E-13c'!Q:Q,MATCH('2025 Base Rates'!D316,'2025 GSLDSU Rate Class E-13c'!B:B,0))</f>
        <v>1.5513907263385562</v>
      </c>
      <c r="F316" s="223"/>
      <c r="G316" s="223">
        <f t="shared" si="57"/>
        <v>1.55</v>
      </c>
      <c r="H316" s="224"/>
    </row>
    <row r="317" spans="2:8" x14ac:dyDescent="0.25">
      <c r="C317" s="16" t="s">
        <v>475</v>
      </c>
      <c r="D317" s="16" t="s">
        <v>599</v>
      </c>
      <c r="E317" s="223">
        <f>+INDEX('2025 GSLDSU Rate Class E-13c'!Q:Q,MATCH('2025 Base Rates'!D317,'2025 GSLDSU Rate Class E-13c'!B:B,0))</f>
        <v>11.220159192509154</v>
      </c>
      <c r="F317" s="223"/>
      <c r="G317" s="223">
        <f t="shared" si="57"/>
        <v>11.22</v>
      </c>
      <c r="H317" s="224"/>
    </row>
    <row r="318" spans="2:8" x14ac:dyDescent="0.25">
      <c r="B318" s="219" t="s">
        <v>419</v>
      </c>
      <c r="C318" s="16"/>
      <c r="D318" s="16"/>
      <c r="E318" s="223"/>
      <c r="F318" s="223"/>
      <c r="G318" s="223"/>
    </row>
    <row r="319" spans="2:8" x14ac:dyDescent="0.25">
      <c r="B319" s="219"/>
      <c r="C319" s="16" t="s">
        <v>476</v>
      </c>
      <c r="D319" s="16" t="s">
        <v>596</v>
      </c>
      <c r="E319" s="223">
        <f>+INDEX('2025 GSLDSU Rate Class E-13c'!Q:Q,MATCH('2025 Base Rates'!D319,'2025 GSLDSU Rate Class E-13c'!B:B,0))</f>
        <v>1.3006609119808097</v>
      </c>
      <c r="F319" s="223"/>
      <c r="G319" s="223">
        <f t="shared" ref="G319:G324" si="58">+ROUND(E319,2)</f>
        <v>1.3</v>
      </c>
      <c r="H319" s="224"/>
    </row>
    <row r="320" spans="2:8" x14ac:dyDescent="0.25">
      <c r="B320" s="219"/>
      <c r="C320" s="16" t="s">
        <v>477</v>
      </c>
      <c r="D320" s="16" t="s">
        <v>597</v>
      </c>
      <c r="E320" s="223">
        <f>+INDEX('2025 GSLDSU Rate Class E-13c'!Q:Q,MATCH('2025 Base Rates'!D320,'2025 GSLDSU Rate Class E-13c'!B:B,0))</f>
        <v>1.535720112941197</v>
      </c>
      <c r="F320" s="223"/>
      <c r="G320" s="223">
        <f t="shared" si="58"/>
        <v>1.54</v>
      </c>
      <c r="H320" s="224"/>
    </row>
    <row r="321" spans="2:8" x14ac:dyDescent="0.25">
      <c r="B321" s="219"/>
      <c r="C321" s="16" t="s">
        <v>478</v>
      </c>
      <c r="D321" s="16" t="s">
        <v>600</v>
      </c>
      <c r="E321" s="223">
        <f>+INDEX('2025 GSLDSU Rate Class E-13c'!Q:Q,MATCH('2025 Base Rates'!D321,'2025 GSLDSU Rate Class E-13c'!B:B,0))</f>
        <v>0.61115392249700706</v>
      </c>
      <c r="F321" s="223"/>
      <c r="G321" s="223">
        <f t="shared" si="58"/>
        <v>0.61</v>
      </c>
      <c r="H321" s="224"/>
    </row>
    <row r="322" spans="2:8" x14ac:dyDescent="0.25">
      <c r="C322" s="16" t="s">
        <v>479</v>
      </c>
      <c r="D322" s="16" t="s">
        <v>601</v>
      </c>
      <c r="E322" s="223">
        <f>+INDEX('2025 GSLDSU Rate Class E-13c'!Q:Q,MATCH('2025 Base Rates'!D322,'2025 GSLDSU Rate Class E-13c'!B:B,0))</f>
        <v>1.3006609119808097</v>
      </c>
      <c r="F322" s="223"/>
      <c r="G322" s="223">
        <f t="shared" si="58"/>
        <v>1.3</v>
      </c>
      <c r="H322" s="224"/>
    </row>
    <row r="323" spans="2:8" x14ac:dyDescent="0.25">
      <c r="C323" s="16" t="s">
        <v>480</v>
      </c>
      <c r="D323" s="16" t="s">
        <v>602</v>
      </c>
      <c r="E323" s="223">
        <f>+INDEX('2025 GSLDSU Rate Class E-13c'!Q:Q,MATCH('2025 Base Rates'!D323,'2025 GSLDSU Rate Class E-13c'!B:B,0))</f>
        <v>1.535720112941197</v>
      </c>
      <c r="F323" s="223"/>
      <c r="G323" s="223">
        <f t="shared" si="58"/>
        <v>1.54</v>
      </c>
      <c r="H323" s="224"/>
    </row>
    <row r="324" spans="2:8" x14ac:dyDescent="0.25">
      <c r="C324" s="16" t="s">
        <v>481</v>
      </c>
      <c r="D324" s="16" t="s">
        <v>603</v>
      </c>
      <c r="E324" s="223">
        <f>+INDEX('2025 GSLDSU Rate Class E-13c'!Q:Q,MATCH('2025 Base Rates'!D324,'2025 GSLDSU Rate Class E-13c'!B:B,0))</f>
        <v>0.61115392249700706</v>
      </c>
      <c r="F324" s="223"/>
      <c r="G324" s="223">
        <f t="shared" si="58"/>
        <v>0.61</v>
      </c>
      <c r="H324" s="224"/>
    </row>
    <row r="325" spans="2:8" x14ac:dyDescent="0.25">
      <c r="C325" s="16"/>
      <c r="D325" s="16"/>
      <c r="E325" s="223"/>
      <c r="F325" s="223"/>
      <c r="G325" s="223"/>
    </row>
    <row r="326" spans="2:8" x14ac:dyDescent="0.25">
      <c r="B326" s="219" t="s">
        <v>445</v>
      </c>
      <c r="C326" s="16"/>
      <c r="D326" s="16"/>
      <c r="E326" s="223"/>
      <c r="F326" s="223"/>
      <c r="G326" s="223"/>
    </row>
    <row r="327" spans="2:8" x14ac:dyDescent="0.25">
      <c r="C327" s="16" t="s">
        <v>366</v>
      </c>
      <c r="D327" s="16" t="s">
        <v>604</v>
      </c>
      <c r="E327" s="227">
        <f>+INDEX('2025 GSLDSU Rate Class E-13c'!Q:Q,MATCH('2025 Base Rates'!D327,'2025 GSLDSU Rate Class E-13c'!B:B,0))</f>
        <v>2.0300000000000001E-3</v>
      </c>
      <c r="F327" s="223"/>
      <c r="G327" s="227">
        <f t="shared" ref="G327:G328" si="59">+ROUND(E327,5)</f>
        <v>2.0300000000000001E-3</v>
      </c>
      <c r="H327" s="228"/>
    </row>
    <row r="328" spans="2:8" x14ac:dyDescent="0.25">
      <c r="C328" s="16" t="s">
        <v>373</v>
      </c>
      <c r="D328" s="16" t="s">
        <v>605</v>
      </c>
      <c r="E328" s="227">
        <f>+INDEX('2025 GSLDSU Rate Class E-13c'!Q:Q,MATCH('2025 Base Rates'!D328,'2025 GSLDSU Rate Class E-13c'!B:B,0))</f>
        <v>2.0300000000000001E-3</v>
      </c>
      <c r="F328" s="223"/>
      <c r="G328" s="227">
        <f t="shared" si="59"/>
        <v>2.0300000000000001E-3</v>
      </c>
      <c r="H328" s="228"/>
    </row>
    <row r="329" spans="2:8" x14ac:dyDescent="0.25">
      <c r="B329" s="219" t="s">
        <v>446</v>
      </c>
      <c r="C329" s="16"/>
      <c r="D329" s="16"/>
      <c r="E329" s="223"/>
      <c r="F329" s="223"/>
      <c r="G329" s="223"/>
    </row>
    <row r="330" spans="2:8" x14ac:dyDescent="0.25">
      <c r="C330" s="16" t="s">
        <v>366</v>
      </c>
      <c r="D330" s="16" t="s">
        <v>606</v>
      </c>
      <c r="E330" s="227">
        <f>+INDEX('2025 GSLDSU Rate Class E-13c'!Q:Q,MATCH('2025 Base Rates'!D330,'2025 GSLDSU Rate Class E-13c'!B:B,0))</f>
        <v>-1.0200000000000001E-3</v>
      </c>
      <c r="F330" s="223"/>
      <c r="G330" s="227">
        <f t="shared" ref="G330:G331" si="60">+ROUND(E330,5)</f>
        <v>-1.0200000000000001E-3</v>
      </c>
      <c r="H330" s="228"/>
    </row>
    <row r="331" spans="2:8" x14ac:dyDescent="0.25">
      <c r="C331" s="16" t="s">
        <v>373</v>
      </c>
      <c r="D331" s="16" t="s">
        <v>607</v>
      </c>
      <c r="E331" s="227">
        <f>+INDEX('2025 GSLDSU Rate Class E-13c'!Q:Q,MATCH('2025 Base Rates'!D331,'2025 GSLDSU Rate Class E-13c'!B:B,0))</f>
        <v>-1.0200000000000001E-3</v>
      </c>
      <c r="F331" s="223"/>
      <c r="G331" s="227">
        <f t="shared" si="60"/>
        <v>-1.0200000000000001E-3</v>
      </c>
      <c r="H331" s="228"/>
    </row>
    <row r="332" spans="2:8" x14ac:dyDescent="0.25">
      <c r="C332" s="16"/>
      <c r="D332" s="16"/>
      <c r="E332" s="223"/>
      <c r="F332" s="223"/>
      <c r="G332" s="223"/>
    </row>
    <row r="333" spans="2:8" x14ac:dyDescent="0.25">
      <c r="B333" s="219" t="s">
        <v>452</v>
      </c>
      <c r="C333" s="16"/>
      <c r="D333" s="16"/>
      <c r="E333" s="223"/>
      <c r="F333" s="223"/>
      <c r="G333" s="223"/>
    </row>
    <row r="334" spans="2:8" x14ac:dyDescent="0.25">
      <c r="C334" s="16" t="s">
        <v>454</v>
      </c>
      <c r="D334" s="16" t="s">
        <v>608</v>
      </c>
      <c r="E334" s="223">
        <f>+INDEX('2025 GSLDSU Rate Class E-13c'!Q:Q,MATCH('2025 Base Rates'!D334,'2025 GSLDSU Rate Class E-13c'!B:B,0))</f>
        <v>1.02</v>
      </c>
      <c r="F334" s="223"/>
      <c r="G334" s="223">
        <f t="shared" ref="G334:G335" si="61">+ROUND(E334,2)</f>
        <v>1.02</v>
      </c>
      <c r="H334" s="224"/>
    </row>
    <row r="335" spans="2:8" x14ac:dyDescent="0.25">
      <c r="C335" s="16" t="s">
        <v>400</v>
      </c>
      <c r="D335" s="16" t="s">
        <v>609</v>
      </c>
      <c r="E335" s="223">
        <f>+INDEX('2025 GSLDSU Rate Class E-13c'!Q:Q,MATCH('2025 Base Rates'!D335,'2025 GSLDSU Rate Class E-13c'!B:B,0))</f>
        <v>1.02</v>
      </c>
      <c r="F335" s="223"/>
      <c r="G335" s="223">
        <f t="shared" si="61"/>
        <v>1.02</v>
      </c>
      <c r="H335" s="224"/>
    </row>
    <row r="336" spans="2:8" x14ac:dyDescent="0.25">
      <c r="C336" s="16"/>
      <c r="D336" s="16"/>
      <c r="E336" s="223"/>
      <c r="F336" s="223"/>
      <c r="G336" s="223"/>
    </row>
    <row r="337" spans="2:8" x14ac:dyDescent="0.25">
      <c r="B337" s="219" t="s">
        <v>482</v>
      </c>
      <c r="C337" s="221"/>
      <c r="D337" s="221"/>
      <c r="E337" s="223"/>
      <c r="F337" s="223"/>
      <c r="G337" s="223"/>
    </row>
    <row r="338" spans="2:8" x14ac:dyDescent="0.25">
      <c r="C338" s="222"/>
      <c r="D338" s="222"/>
      <c r="E338" s="223"/>
      <c r="F338" s="223"/>
      <c r="G338" s="223"/>
    </row>
    <row r="339" spans="2:8" x14ac:dyDescent="0.25">
      <c r="B339" s="11" t="s">
        <v>483</v>
      </c>
      <c r="C339" s="222"/>
      <c r="D339" s="222" t="s">
        <v>550</v>
      </c>
      <c r="E339" s="223">
        <f>+'2025 LS Rate Class E-13c'!Q18</f>
        <v>0.71</v>
      </c>
      <c r="F339" s="223"/>
      <c r="G339" s="223">
        <f>+ROUND(E339,2)</f>
        <v>0.71</v>
      </c>
      <c r="H339" s="224"/>
    </row>
    <row r="340" spans="2:8" x14ac:dyDescent="0.25">
      <c r="C340" s="222"/>
      <c r="D340" s="222"/>
      <c r="E340" s="223"/>
      <c r="F340" s="223"/>
      <c r="G340" s="223"/>
    </row>
    <row r="341" spans="2:8" x14ac:dyDescent="0.25">
      <c r="B341" s="11" t="s">
        <v>343</v>
      </c>
      <c r="C341" s="222"/>
      <c r="D341" s="222" t="s">
        <v>498</v>
      </c>
      <c r="E341" s="227">
        <f>+'2025 LS Rate Class E-13c'!Q20</f>
        <v>3.2599999999999997E-2</v>
      </c>
      <c r="F341" s="223"/>
      <c r="G341" s="227">
        <f>+ROUND(E341,5)</f>
        <v>3.2599999999999997E-2</v>
      </c>
      <c r="H341" s="22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C7ED-15BD-438C-A5B5-DBD74450C1FB}">
  <dimension ref="A1:T13"/>
  <sheetViews>
    <sheetView workbookViewId="0"/>
  </sheetViews>
  <sheetFormatPr defaultRowHeight="15" x14ac:dyDescent="0.25"/>
  <cols>
    <col min="1" max="2" width="9.140625" style="221"/>
    <col min="3" max="5" width="23.5703125" bestFit="1" customWidth="1"/>
    <col min="6" max="6" width="24.5703125" bestFit="1" customWidth="1"/>
    <col min="7" max="8" width="24.5703125" customWidth="1"/>
    <col min="9" max="9" width="19.42578125" style="221" bestFit="1" customWidth="1"/>
    <col min="10" max="10" width="19.85546875" style="221" customWidth="1"/>
    <col min="11" max="11" width="20.85546875" style="221" bestFit="1" customWidth="1"/>
    <col min="12" max="13" width="29.85546875" customWidth="1"/>
    <col min="15" max="15" width="20.7109375" customWidth="1"/>
    <col min="22" max="25" width="44.28515625" customWidth="1"/>
  </cols>
  <sheetData>
    <row r="1" spans="1:20" x14ac:dyDescent="0.25">
      <c r="A1" s="221" t="s">
        <v>1620</v>
      </c>
      <c r="B1" s="221" t="s">
        <v>1621</v>
      </c>
      <c r="C1" s="221" t="s">
        <v>1622</v>
      </c>
      <c r="D1" s="221" t="s">
        <v>1623</v>
      </c>
      <c r="E1" s="221" t="s">
        <v>1624</v>
      </c>
      <c r="F1" s="221" t="s">
        <v>1625</v>
      </c>
      <c r="G1" s="221" t="s">
        <v>1626</v>
      </c>
      <c r="H1" s="221" t="s">
        <v>1627</v>
      </c>
      <c r="I1" s="221" t="s">
        <v>1628</v>
      </c>
      <c r="J1" s="221" t="s">
        <v>1629</v>
      </c>
      <c r="K1" s="221" t="s">
        <v>1630</v>
      </c>
      <c r="L1" s="221" t="s">
        <v>1631</v>
      </c>
      <c r="M1" s="560" t="s">
        <v>1632</v>
      </c>
      <c r="O1" s="221" t="s">
        <v>1633</v>
      </c>
      <c r="T1" s="221"/>
    </row>
    <row r="2" spans="1:20" x14ac:dyDescent="0.25">
      <c r="A2" s="221">
        <v>2025</v>
      </c>
      <c r="B2" s="221">
        <v>1</v>
      </c>
      <c r="C2" s="434">
        <v>12137.139187257751</v>
      </c>
      <c r="D2" s="434">
        <v>245.92173086240308</v>
      </c>
      <c r="E2" s="434">
        <v>61.691126453488366</v>
      </c>
      <c r="F2" s="434">
        <v>12444.752044573643</v>
      </c>
      <c r="G2" s="434">
        <v>12137.139187257751</v>
      </c>
      <c r="H2" s="434">
        <v>307.61285731589146</v>
      </c>
      <c r="I2" s="561">
        <v>584.35913275193798</v>
      </c>
      <c r="J2" s="561">
        <v>11.840237403100774</v>
      </c>
      <c r="K2" s="561">
        <v>2.9702034883720927</v>
      </c>
      <c r="L2" s="434">
        <v>599.1695736434109</v>
      </c>
      <c r="M2" s="562">
        <v>0.67</v>
      </c>
      <c r="O2" s="434">
        <v>0</v>
      </c>
      <c r="T2" s="559"/>
    </row>
    <row r="3" spans="1:20" x14ac:dyDescent="0.25">
      <c r="A3" s="221">
        <v>2025</v>
      </c>
      <c r="B3" s="221">
        <v>2</v>
      </c>
      <c r="C3" s="434">
        <v>10962.577330426357</v>
      </c>
      <c r="D3" s="434">
        <v>222.12285368217053</v>
      </c>
      <c r="E3" s="434">
        <v>55.721017441860461</v>
      </c>
      <c r="F3" s="434">
        <v>11240.421201550387</v>
      </c>
      <c r="G3" s="434">
        <v>10962.577330426357</v>
      </c>
      <c r="H3" s="434">
        <v>277.84387112403101</v>
      </c>
      <c r="I3" s="561">
        <v>584.35913275193798</v>
      </c>
      <c r="J3" s="561">
        <v>11.840237403100774</v>
      </c>
      <c r="K3" s="561">
        <v>2.9702034883720927</v>
      </c>
      <c r="L3" s="434">
        <v>599.1695736434109</v>
      </c>
      <c r="M3" s="562">
        <v>0.67</v>
      </c>
      <c r="O3" s="434">
        <v>0</v>
      </c>
      <c r="T3" s="559"/>
    </row>
    <row r="4" spans="1:20" x14ac:dyDescent="0.25">
      <c r="A4" s="221">
        <v>2025</v>
      </c>
      <c r="B4" s="221">
        <v>3</v>
      </c>
      <c r="C4" s="434">
        <v>12137.139187257751</v>
      </c>
      <c r="D4" s="434">
        <v>245.92173086240308</v>
      </c>
      <c r="E4" s="434">
        <v>61.691126453488366</v>
      </c>
      <c r="F4" s="434">
        <v>12444.752044573643</v>
      </c>
      <c r="G4" s="434">
        <v>12137.139187257751</v>
      </c>
      <c r="H4" s="434">
        <v>307.61285731589146</v>
      </c>
      <c r="I4" s="561">
        <v>584.35913275193798</v>
      </c>
      <c r="J4" s="561">
        <v>11.840237403100774</v>
      </c>
      <c r="K4" s="561">
        <v>2.9702034883720927</v>
      </c>
      <c r="L4" s="434">
        <v>599.1695736434109</v>
      </c>
      <c r="M4" s="562">
        <v>0.67</v>
      </c>
      <c r="O4" s="434">
        <v>0</v>
      </c>
      <c r="T4" s="559"/>
    </row>
    <row r="5" spans="1:20" x14ac:dyDescent="0.25">
      <c r="A5" s="221">
        <v>2025</v>
      </c>
      <c r="B5" s="221">
        <v>4</v>
      </c>
      <c r="C5" s="434">
        <v>11745.618568313952</v>
      </c>
      <c r="D5" s="434">
        <v>237.98877180232557</v>
      </c>
      <c r="E5" s="434">
        <v>59.701090116279069</v>
      </c>
      <c r="F5" s="434">
        <v>12043.308430232557</v>
      </c>
      <c r="G5" s="434">
        <v>11745.618568313952</v>
      </c>
      <c r="H5" s="434">
        <v>297.68986191860466</v>
      </c>
      <c r="I5" s="561">
        <v>584.35913275193798</v>
      </c>
      <c r="J5" s="561">
        <v>11.840237403100774</v>
      </c>
      <c r="K5" s="561">
        <v>2.9702034883720927</v>
      </c>
      <c r="L5" s="434">
        <v>599.1695736434109</v>
      </c>
      <c r="M5" s="562">
        <v>0.67</v>
      </c>
      <c r="O5" s="434">
        <v>0</v>
      </c>
      <c r="T5" s="559"/>
    </row>
    <row r="6" spans="1:20" x14ac:dyDescent="0.25">
      <c r="A6" s="221">
        <v>2025</v>
      </c>
      <c r="B6" s="221">
        <v>5</v>
      </c>
      <c r="C6" s="434">
        <v>12137.139187257751</v>
      </c>
      <c r="D6" s="434">
        <v>245.92173086240308</v>
      </c>
      <c r="E6" s="434">
        <v>61.691126453488366</v>
      </c>
      <c r="F6" s="434">
        <v>12444.752044573643</v>
      </c>
      <c r="G6" s="434">
        <v>12137.139187257751</v>
      </c>
      <c r="H6" s="434">
        <v>307.61285731589146</v>
      </c>
      <c r="I6" s="561">
        <v>584.35913275193798</v>
      </c>
      <c r="J6" s="561">
        <v>11.840237403100774</v>
      </c>
      <c r="K6" s="561">
        <v>2.9702034883720927</v>
      </c>
      <c r="L6" s="434">
        <v>599.1695736434109</v>
      </c>
      <c r="M6" s="562">
        <v>0.67</v>
      </c>
      <c r="O6" s="434">
        <v>0</v>
      </c>
      <c r="T6" s="559"/>
    </row>
    <row r="7" spans="1:20" x14ac:dyDescent="0.25">
      <c r="A7" s="221">
        <v>2025</v>
      </c>
      <c r="B7" s="221">
        <v>6</v>
      </c>
      <c r="C7" s="434">
        <v>11745.618568313952</v>
      </c>
      <c r="D7" s="434">
        <v>237.98877180232557</v>
      </c>
      <c r="E7" s="434">
        <v>59.701090116279069</v>
      </c>
      <c r="F7" s="434">
        <v>12043.308430232557</v>
      </c>
      <c r="G7" s="434">
        <v>11745.618568313952</v>
      </c>
      <c r="H7" s="434">
        <v>297.68986191860466</v>
      </c>
      <c r="I7" s="561">
        <v>584.35913275193798</v>
      </c>
      <c r="J7" s="561">
        <v>11.840237403100774</v>
      </c>
      <c r="K7" s="561">
        <v>2.9702034883720927</v>
      </c>
      <c r="L7" s="434">
        <v>599.1695736434109</v>
      </c>
      <c r="M7" s="562">
        <v>0.67</v>
      </c>
      <c r="O7" s="434">
        <v>0</v>
      </c>
      <c r="T7" s="559"/>
    </row>
    <row r="8" spans="1:20" x14ac:dyDescent="0.25">
      <c r="A8" s="221">
        <v>2025</v>
      </c>
      <c r="B8" s="221">
        <v>7</v>
      </c>
      <c r="C8" s="434">
        <v>12137.139187257751</v>
      </c>
      <c r="D8" s="434">
        <v>245.92173086240308</v>
      </c>
      <c r="E8" s="434">
        <v>61.691126453488366</v>
      </c>
      <c r="F8" s="434">
        <v>12444.752044573643</v>
      </c>
      <c r="G8" s="434">
        <v>12137.139187257751</v>
      </c>
      <c r="H8" s="434">
        <v>307.61285731589146</v>
      </c>
      <c r="I8" s="561">
        <v>584.35913275193798</v>
      </c>
      <c r="J8" s="561">
        <v>11.840237403100774</v>
      </c>
      <c r="K8" s="561">
        <v>2.9702034883720927</v>
      </c>
      <c r="L8" s="434">
        <v>599.1695736434109</v>
      </c>
      <c r="M8" s="562">
        <v>0.67</v>
      </c>
      <c r="O8" s="434">
        <v>0</v>
      </c>
      <c r="T8" s="559"/>
    </row>
    <row r="9" spans="1:20" x14ac:dyDescent="0.25">
      <c r="A9" s="221">
        <v>2025</v>
      </c>
      <c r="B9" s="221">
        <v>8</v>
      </c>
      <c r="C9" s="434">
        <v>12137.139187257751</v>
      </c>
      <c r="D9" s="434">
        <v>245.92173086240308</v>
      </c>
      <c r="E9" s="434">
        <v>61.691126453488366</v>
      </c>
      <c r="F9" s="434">
        <v>12444.752044573643</v>
      </c>
      <c r="G9" s="434">
        <v>12137.139187257751</v>
      </c>
      <c r="H9" s="434">
        <v>307.61285731589146</v>
      </c>
      <c r="I9" s="561">
        <v>584.35913275193798</v>
      </c>
      <c r="J9" s="561">
        <v>11.840237403100774</v>
      </c>
      <c r="K9" s="561">
        <v>2.9702034883720927</v>
      </c>
      <c r="L9" s="434">
        <v>599.1695736434109</v>
      </c>
      <c r="M9" s="562">
        <v>0.67</v>
      </c>
      <c r="O9" s="434">
        <v>0</v>
      </c>
      <c r="T9" s="559"/>
    </row>
    <row r="10" spans="1:20" x14ac:dyDescent="0.25">
      <c r="A10" s="221">
        <v>2025</v>
      </c>
      <c r="B10" s="221">
        <v>9</v>
      </c>
      <c r="C10" s="434">
        <v>11745.618568313952</v>
      </c>
      <c r="D10" s="434">
        <v>237.98877180232557</v>
      </c>
      <c r="E10" s="434">
        <v>59.701090116279069</v>
      </c>
      <c r="F10" s="434">
        <v>12043.308430232557</v>
      </c>
      <c r="G10" s="434">
        <v>11745.618568313952</v>
      </c>
      <c r="H10" s="434">
        <v>297.68986191860466</v>
      </c>
      <c r="I10" s="561">
        <v>584.35913275193798</v>
      </c>
      <c r="J10" s="561">
        <v>11.840237403100774</v>
      </c>
      <c r="K10" s="561">
        <v>2.9702034883720927</v>
      </c>
      <c r="L10" s="434">
        <v>599.1695736434109</v>
      </c>
      <c r="M10" s="562">
        <v>0.67</v>
      </c>
      <c r="O10" s="434">
        <v>0</v>
      </c>
      <c r="T10" s="559"/>
    </row>
    <row r="11" spans="1:20" x14ac:dyDescent="0.25">
      <c r="A11" s="221">
        <v>2025</v>
      </c>
      <c r="B11" s="221">
        <v>10</v>
      </c>
      <c r="C11" s="434">
        <v>12137.139187257751</v>
      </c>
      <c r="D11" s="434">
        <v>245.92173086240308</v>
      </c>
      <c r="E11" s="434">
        <v>61.691126453488366</v>
      </c>
      <c r="F11" s="434">
        <v>12444.752044573643</v>
      </c>
      <c r="G11" s="434">
        <v>12137.139187257751</v>
      </c>
      <c r="H11" s="434">
        <v>307.61285731589146</v>
      </c>
      <c r="I11" s="561">
        <v>584.35913275193798</v>
      </c>
      <c r="J11" s="561">
        <v>11.840237403100774</v>
      </c>
      <c r="K11" s="561">
        <v>2.9702034883720927</v>
      </c>
      <c r="L11" s="434">
        <v>599.1695736434109</v>
      </c>
      <c r="M11" s="562">
        <v>0.67</v>
      </c>
      <c r="O11" s="434">
        <v>0</v>
      </c>
      <c r="T11" s="559"/>
    </row>
    <row r="12" spans="1:20" x14ac:dyDescent="0.25">
      <c r="A12" s="221">
        <v>2025</v>
      </c>
      <c r="B12" s="221">
        <v>11</v>
      </c>
      <c r="C12" s="434">
        <v>11745.618568313952</v>
      </c>
      <c r="D12" s="434">
        <v>237.98877180232557</v>
      </c>
      <c r="E12" s="434">
        <v>59.701090116279069</v>
      </c>
      <c r="F12" s="434">
        <v>12043.308430232557</v>
      </c>
      <c r="G12" s="434">
        <v>11745.618568313952</v>
      </c>
      <c r="H12" s="434">
        <v>297.68986191860466</v>
      </c>
      <c r="I12" s="561">
        <v>584.35913275193798</v>
      </c>
      <c r="J12" s="561">
        <v>11.840237403100774</v>
      </c>
      <c r="K12" s="561">
        <v>2.9702034883720927</v>
      </c>
      <c r="L12" s="434">
        <v>599.1695736434109</v>
      </c>
      <c r="M12" s="562">
        <v>0.67</v>
      </c>
      <c r="O12" s="434">
        <v>0</v>
      </c>
      <c r="T12" s="559"/>
    </row>
    <row r="13" spans="1:20" x14ac:dyDescent="0.25">
      <c r="A13" s="221">
        <v>2025</v>
      </c>
      <c r="B13" s="221">
        <v>12</v>
      </c>
      <c r="C13" s="434">
        <v>12137.139187257751</v>
      </c>
      <c r="D13" s="434">
        <v>245.92173086240308</v>
      </c>
      <c r="E13" s="434">
        <v>61.691126453488366</v>
      </c>
      <c r="F13" s="434">
        <v>12444.752044573643</v>
      </c>
      <c r="G13" s="434">
        <v>12137.139187257751</v>
      </c>
      <c r="H13" s="434">
        <v>307.61285731589146</v>
      </c>
      <c r="I13" s="561">
        <v>584.35913275193798</v>
      </c>
      <c r="J13" s="561">
        <v>11.840237403100774</v>
      </c>
      <c r="K13" s="561">
        <v>2.9702034883720927</v>
      </c>
      <c r="L13" s="434">
        <v>599.1695736434109</v>
      </c>
      <c r="M13" s="562">
        <v>0.67</v>
      </c>
      <c r="O13" s="434">
        <v>0</v>
      </c>
      <c r="T13" s="559"/>
    </row>
  </sheetData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C0C5-B83C-4B1A-968C-184F9A85BF07}">
  <dimension ref="A1:G13"/>
  <sheetViews>
    <sheetView workbookViewId="0"/>
  </sheetViews>
  <sheetFormatPr defaultRowHeight="15" x14ac:dyDescent="0.25"/>
  <cols>
    <col min="1" max="2" width="9.140625" style="221"/>
    <col min="3" max="5" width="20.7109375" customWidth="1"/>
    <col min="6" max="6" width="15.5703125" customWidth="1"/>
    <col min="7" max="11" width="44.28515625" customWidth="1"/>
  </cols>
  <sheetData>
    <row r="1" spans="1:7" x14ac:dyDescent="0.25">
      <c r="A1" s="221" t="s">
        <v>1620</v>
      </c>
      <c r="B1" s="221" t="s">
        <v>1621</v>
      </c>
      <c r="C1" s="221" t="s">
        <v>816</v>
      </c>
      <c r="D1" s="221" t="s">
        <v>1634</v>
      </c>
      <c r="E1" s="221" t="s">
        <v>932</v>
      </c>
      <c r="F1" s="221" t="s">
        <v>1627</v>
      </c>
      <c r="G1" s="221"/>
    </row>
    <row r="2" spans="1:7" x14ac:dyDescent="0.25">
      <c r="A2" s="221">
        <v>2025</v>
      </c>
      <c r="B2" s="221">
        <v>1</v>
      </c>
      <c r="C2" s="557">
        <v>0</v>
      </c>
      <c r="D2" s="558">
        <v>-11461.633333333333</v>
      </c>
      <c r="E2" s="558">
        <v>0</v>
      </c>
      <c r="F2" s="558">
        <v>-11461.633333333333</v>
      </c>
      <c r="G2" s="559"/>
    </row>
    <row r="3" spans="1:7" x14ac:dyDescent="0.25">
      <c r="A3" s="221">
        <v>2025</v>
      </c>
      <c r="B3" s="221">
        <v>2</v>
      </c>
      <c r="C3" s="557">
        <v>0</v>
      </c>
      <c r="D3" s="558">
        <v>-11783.911666666667</v>
      </c>
      <c r="E3" s="558">
        <v>0</v>
      </c>
      <c r="F3" s="558">
        <v>-11783.911666666667</v>
      </c>
      <c r="G3" s="559"/>
    </row>
    <row r="4" spans="1:7" x14ac:dyDescent="0.25">
      <c r="A4" s="221">
        <v>2025</v>
      </c>
      <c r="B4" s="221">
        <v>3</v>
      </c>
      <c r="C4" s="557">
        <v>0</v>
      </c>
      <c r="D4" s="558">
        <v>-10572.5075</v>
      </c>
      <c r="E4" s="558">
        <v>0</v>
      </c>
      <c r="F4" s="558">
        <v>-10572.5075</v>
      </c>
      <c r="G4" s="559"/>
    </row>
    <row r="5" spans="1:7" x14ac:dyDescent="0.25">
      <c r="A5" s="221">
        <v>2025</v>
      </c>
      <c r="B5" s="221">
        <v>4</v>
      </c>
      <c r="C5" s="557">
        <v>0</v>
      </c>
      <c r="D5" s="558">
        <v>-11377.842499999999</v>
      </c>
      <c r="E5" s="558">
        <v>0</v>
      </c>
      <c r="F5" s="558">
        <v>-11377.842499999999</v>
      </c>
      <c r="G5" s="559"/>
    </row>
    <row r="6" spans="1:7" x14ac:dyDescent="0.25">
      <c r="A6" s="221">
        <v>2025</v>
      </c>
      <c r="B6" s="221">
        <v>5</v>
      </c>
      <c r="C6" s="557">
        <v>0</v>
      </c>
      <c r="D6" s="558">
        <v>-11584.805833333334</v>
      </c>
      <c r="E6" s="558">
        <v>0</v>
      </c>
      <c r="F6" s="558">
        <v>-11584.805833333334</v>
      </c>
      <c r="G6" s="559"/>
    </row>
    <row r="7" spans="1:7" x14ac:dyDescent="0.25">
      <c r="A7" s="221">
        <v>2025</v>
      </c>
      <c r="B7" s="221">
        <v>6</v>
      </c>
      <c r="C7" s="557">
        <v>0</v>
      </c>
      <c r="D7" s="558">
        <v>-11551.060000000001</v>
      </c>
      <c r="E7" s="558">
        <v>0</v>
      </c>
      <c r="F7" s="558">
        <v>-11551.060000000001</v>
      </c>
      <c r="G7" s="559"/>
    </row>
    <row r="8" spans="1:7" x14ac:dyDescent="0.25">
      <c r="A8" s="221">
        <v>2025</v>
      </c>
      <c r="B8" s="221">
        <v>7</v>
      </c>
      <c r="C8" s="557">
        <v>0</v>
      </c>
      <c r="D8" s="558">
        <v>-3600.5674999999997</v>
      </c>
      <c r="E8" s="558">
        <v>0</v>
      </c>
      <c r="F8" s="558">
        <v>-3600.5674999999997</v>
      </c>
      <c r="G8" s="559"/>
    </row>
    <row r="9" spans="1:7" x14ac:dyDescent="0.25">
      <c r="A9" s="221">
        <v>2025</v>
      </c>
      <c r="B9" s="221">
        <v>8</v>
      </c>
      <c r="C9" s="557">
        <v>0</v>
      </c>
      <c r="D9" s="558">
        <v>-3634.6475</v>
      </c>
      <c r="E9" s="558">
        <v>0</v>
      </c>
      <c r="F9" s="558">
        <v>-3634.6475</v>
      </c>
      <c r="G9" s="559"/>
    </row>
    <row r="10" spans="1:7" x14ac:dyDescent="0.25">
      <c r="A10" s="221">
        <v>2025</v>
      </c>
      <c r="B10" s="221">
        <v>9</v>
      </c>
      <c r="C10" s="557">
        <v>0</v>
      </c>
      <c r="D10" s="558">
        <v>-3503.2974999999997</v>
      </c>
      <c r="E10" s="558">
        <v>0</v>
      </c>
      <c r="F10" s="558">
        <v>-3503.2974999999997</v>
      </c>
      <c r="G10" s="559"/>
    </row>
    <row r="11" spans="1:7" x14ac:dyDescent="0.25">
      <c r="A11" s="221">
        <v>2025</v>
      </c>
      <c r="B11" s="221">
        <v>10</v>
      </c>
      <c r="C11" s="557">
        <v>0</v>
      </c>
      <c r="D11" s="558">
        <v>-3498.5225</v>
      </c>
      <c r="E11" s="558">
        <v>0</v>
      </c>
      <c r="F11" s="558">
        <v>-3498.5225</v>
      </c>
      <c r="G11" s="559"/>
    </row>
    <row r="12" spans="1:7" x14ac:dyDescent="0.25">
      <c r="A12" s="221">
        <v>2025</v>
      </c>
      <c r="B12" s="221">
        <v>11</v>
      </c>
      <c r="C12" s="557">
        <v>0</v>
      </c>
      <c r="D12" s="558">
        <v>-3368.6649999999991</v>
      </c>
      <c r="E12" s="558">
        <v>0</v>
      </c>
      <c r="F12" s="558">
        <v>-3368.6649999999991</v>
      </c>
      <c r="G12" s="559"/>
    </row>
    <row r="13" spans="1:7" x14ac:dyDescent="0.25">
      <c r="A13" s="221">
        <v>2025</v>
      </c>
      <c r="B13" s="221">
        <v>12</v>
      </c>
      <c r="C13" s="557">
        <v>0</v>
      </c>
      <c r="D13" s="558">
        <v>-3168.9724999999999</v>
      </c>
      <c r="E13" s="558">
        <v>0</v>
      </c>
      <c r="F13" s="558">
        <v>-3168.9724999999999</v>
      </c>
      <c r="G13" s="559"/>
    </row>
  </sheetData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811A-E732-47BB-BC35-6D1AB33C66B6}">
  <dimension ref="B2:H325"/>
  <sheetViews>
    <sheetView workbookViewId="0">
      <pane xSplit="1" ySplit="2" topLeftCell="B3" activePane="bottomRight" state="frozen"/>
      <selection sqref="A1:XFD1048576"/>
      <selection pane="topRight" sqref="A1:XFD1048576"/>
      <selection pane="bottomLeft" sqref="A1:XFD1048576"/>
      <selection pane="bottomRight" activeCell="B3" sqref="B3"/>
    </sheetView>
  </sheetViews>
  <sheetFormatPr defaultRowHeight="15" x14ac:dyDescent="0.25"/>
  <cols>
    <col min="2" max="2" width="61.140625" bestFit="1" customWidth="1"/>
    <col min="3" max="3" width="39.85546875" bestFit="1" customWidth="1"/>
    <col min="4" max="4" width="47.28515625" bestFit="1" customWidth="1"/>
    <col min="5" max="5" width="13.42578125" bestFit="1" customWidth="1"/>
    <col min="7" max="7" width="13.42578125" bestFit="1" customWidth="1"/>
    <col min="8" max="8" width="9.5703125" bestFit="1" customWidth="1"/>
  </cols>
  <sheetData>
    <row r="2" spans="2:8" x14ac:dyDescent="0.25">
      <c r="B2" s="219" t="s">
        <v>347</v>
      </c>
      <c r="C2" s="220" t="s">
        <v>490</v>
      </c>
      <c r="D2" s="220" t="s">
        <v>497</v>
      </c>
      <c r="E2" s="219" t="s">
        <v>348</v>
      </c>
      <c r="F2" s="219"/>
      <c r="G2" s="219"/>
    </row>
    <row r="3" spans="2:8" x14ac:dyDescent="0.25">
      <c r="B3" s="11" t="s">
        <v>349</v>
      </c>
      <c r="C3" s="222"/>
      <c r="D3" s="222"/>
      <c r="E3" s="222"/>
      <c r="F3" s="222"/>
      <c r="G3" s="222"/>
    </row>
    <row r="4" spans="2:8" x14ac:dyDescent="0.25">
      <c r="C4" s="16" t="s">
        <v>350</v>
      </c>
      <c r="D4" s="16" t="s">
        <v>535</v>
      </c>
      <c r="E4" s="223">
        <v>0.71</v>
      </c>
      <c r="F4" s="223"/>
      <c r="G4" s="223"/>
      <c r="H4" s="224"/>
    </row>
    <row r="5" spans="2:8" x14ac:dyDescent="0.25">
      <c r="C5" s="16" t="s">
        <v>351</v>
      </c>
      <c r="D5" s="16" t="s">
        <v>536</v>
      </c>
      <c r="E5" s="223">
        <v>0.71</v>
      </c>
      <c r="F5" s="223"/>
      <c r="G5" s="223"/>
      <c r="H5" s="224"/>
    </row>
    <row r="6" spans="2:8" x14ac:dyDescent="0.25">
      <c r="C6" s="16"/>
      <c r="D6" s="16"/>
      <c r="E6" s="223"/>
      <c r="F6" s="223"/>
      <c r="G6" s="223"/>
    </row>
    <row r="7" spans="2:8" x14ac:dyDescent="0.25">
      <c r="B7" s="11" t="s">
        <v>333</v>
      </c>
      <c r="C7" s="225"/>
      <c r="D7" s="225"/>
      <c r="E7" s="223"/>
      <c r="F7" s="223"/>
      <c r="G7" s="223"/>
    </row>
    <row r="8" spans="2:8" x14ac:dyDescent="0.25">
      <c r="C8" s="16" t="s">
        <v>350</v>
      </c>
      <c r="D8" s="16"/>
      <c r="E8" s="223"/>
      <c r="F8" s="223"/>
      <c r="G8" s="223"/>
    </row>
    <row r="9" spans="2:8" x14ac:dyDescent="0.25">
      <c r="C9" s="226" t="s">
        <v>352</v>
      </c>
      <c r="D9" s="226" t="s">
        <v>484</v>
      </c>
      <c r="E9" s="227">
        <v>6.6500000000000004E-2</v>
      </c>
      <c r="F9" s="223"/>
      <c r="G9" s="227"/>
      <c r="H9" s="228"/>
    </row>
    <row r="10" spans="2:8" x14ac:dyDescent="0.25">
      <c r="C10" s="226" t="s">
        <v>353</v>
      </c>
      <c r="D10" s="226" t="s">
        <v>485</v>
      </c>
      <c r="E10" s="227">
        <v>7.8020000000000006E-2</v>
      </c>
      <c r="F10" s="223"/>
      <c r="G10" s="227"/>
      <c r="H10" s="228"/>
    </row>
    <row r="11" spans="2:8" x14ac:dyDescent="0.25">
      <c r="C11" s="16" t="s">
        <v>351</v>
      </c>
      <c r="D11" s="16" t="s">
        <v>551</v>
      </c>
      <c r="E11" s="227">
        <v>7.0120000000000002E-2</v>
      </c>
      <c r="F11" s="223"/>
      <c r="G11" s="227"/>
      <c r="H11" s="228"/>
    </row>
    <row r="12" spans="2:8" x14ac:dyDescent="0.25">
      <c r="C12" s="16"/>
      <c r="D12" s="16"/>
      <c r="E12" s="223"/>
      <c r="F12" s="223"/>
      <c r="G12" s="223"/>
    </row>
    <row r="13" spans="2:8" x14ac:dyDescent="0.25">
      <c r="B13" s="219" t="s">
        <v>354</v>
      </c>
      <c r="C13" s="16"/>
      <c r="D13" s="16"/>
      <c r="E13" s="223"/>
      <c r="F13" s="223"/>
      <c r="G13" s="223"/>
    </row>
    <row r="14" spans="2:8" x14ac:dyDescent="0.25">
      <c r="B14" s="11" t="s">
        <v>349</v>
      </c>
      <c r="C14" s="222"/>
      <c r="D14" s="222"/>
      <c r="E14" s="223"/>
      <c r="F14" s="223"/>
      <c r="G14" s="223"/>
    </row>
    <row r="15" spans="2:8" x14ac:dyDescent="0.25">
      <c r="C15" s="16" t="s">
        <v>355</v>
      </c>
      <c r="D15" s="16" t="s">
        <v>537</v>
      </c>
      <c r="E15" s="223">
        <v>0.75</v>
      </c>
      <c r="F15" s="223"/>
      <c r="G15" s="223"/>
      <c r="H15" s="224"/>
    </row>
    <row r="16" spans="2:8" x14ac:dyDescent="0.25">
      <c r="C16" s="226" t="s">
        <v>356</v>
      </c>
      <c r="D16" s="226" t="s">
        <v>538</v>
      </c>
      <c r="E16" s="223">
        <v>0.63</v>
      </c>
      <c r="F16" s="223"/>
      <c r="G16" s="223"/>
      <c r="H16" s="224"/>
    </row>
    <row r="17" spans="2:8" x14ac:dyDescent="0.25">
      <c r="C17" s="16" t="s">
        <v>357</v>
      </c>
      <c r="D17" s="16" t="s">
        <v>539</v>
      </c>
      <c r="E17" s="223">
        <v>0.75</v>
      </c>
      <c r="F17" s="223"/>
      <c r="G17" s="223"/>
      <c r="H17" s="224"/>
    </row>
    <row r="18" spans="2:8" x14ac:dyDescent="0.25">
      <c r="B18" s="11" t="s">
        <v>333</v>
      </c>
      <c r="C18" s="222"/>
      <c r="D18" s="222"/>
      <c r="E18" s="223"/>
      <c r="F18" s="223"/>
      <c r="G18" s="223"/>
    </row>
    <row r="19" spans="2:8" x14ac:dyDescent="0.25">
      <c r="C19" s="16" t="s">
        <v>350</v>
      </c>
      <c r="D19" s="16" t="s">
        <v>486</v>
      </c>
      <c r="E19" s="227">
        <v>7.8619999999999995E-2</v>
      </c>
      <c r="F19" s="223"/>
      <c r="G19" s="227"/>
      <c r="H19" s="228"/>
    </row>
    <row r="20" spans="2:8" x14ac:dyDescent="0.25">
      <c r="C20" s="226" t="s">
        <v>356</v>
      </c>
      <c r="D20" s="226" t="s">
        <v>487</v>
      </c>
      <c r="E20" s="227">
        <v>7.8619999999999995E-2</v>
      </c>
      <c r="F20" s="223"/>
      <c r="G20" s="227"/>
      <c r="H20" s="228"/>
    </row>
    <row r="21" spans="2:8" x14ac:dyDescent="0.25">
      <c r="C21" s="16" t="s">
        <v>358</v>
      </c>
      <c r="D21" s="16" t="s">
        <v>488</v>
      </c>
      <c r="E21" s="227">
        <v>0.12317</v>
      </c>
      <c r="F21" s="223"/>
      <c r="G21" s="227"/>
      <c r="H21" s="228"/>
    </row>
    <row r="22" spans="2:8" x14ac:dyDescent="0.25">
      <c r="C22" s="16" t="s">
        <v>359</v>
      </c>
      <c r="D22" s="16" t="s">
        <v>489</v>
      </c>
      <c r="E22" s="227">
        <v>6.3310000000000005E-2</v>
      </c>
      <c r="F22" s="223"/>
      <c r="G22" s="227"/>
      <c r="H22" s="228"/>
    </row>
    <row r="23" spans="2:8" x14ac:dyDescent="0.25">
      <c r="B23" s="11" t="s">
        <v>346</v>
      </c>
      <c r="C23" s="222"/>
      <c r="D23" s="222"/>
      <c r="E23" s="223"/>
      <c r="F23" s="223"/>
      <c r="G23" s="223"/>
    </row>
    <row r="24" spans="2:8" x14ac:dyDescent="0.25">
      <c r="B24" s="11"/>
      <c r="C24" s="16" t="s">
        <v>350</v>
      </c>
      <c r="D24" s="16" t="s">
        <v>491</v>
      </c>
      <c r="E24" s="227">
        <v>1.7099999999999999E-3</v>
      </c>
      <c r="F24" s="223"/>
      <c r="G24" s="227"/>
      <c r="H24" s="228"/>
    </row>
    <row r="25" spans="2:8" x14ac:dyDescent="0.25">
      <c r="C25" s="16" t="s">
        <v>357</v>
      </c>
      <c r="D25" s="16" t="s">
        <v>492</v>
      </c>
      <c r="E25" s="227">
        <v>1.7099999999999999E-3</v>
      </c>
      <c r="F25" s="223"/>
      <c r="G25" s="227"/>
      <c r="H25" s="228"/>
    </row>
    <row r="26" spans="2:8" x14ac:dyDescent="0.25">
      <c r="B26" s="219" t="s">
        <v>360</v>
      </c>
      <c r="C26" s="222"/>
      <c r="D26" s="222"/>
      <c r="E26" s="223"/>
      <c r="F26" s="223"/>
      <c r="G26" s="223"/>
    </row>
    <row r="27" spans="2:8" x14ac:dyDescent="0.25">
      <c r="B27" s="11" t="s">
        <v>349</v>
      </c>
      <c r="C27" s="222"/>
      <c r="D27" s="222"/>
      <c r="E27" s="223"/>
      <c r="F27" s="223"/>
      <c r="G27" s="223"/>
    </row>
    <row r="28" spans="2:8" x14ac:dyDescent="0.25">
      <c r="C28" s="226" t="s">
        <v>361</v>
      </c>
      <c r="D28" s="226" t="s">
        <v>540</v>
      </c>
      <c r="E28" s="223">
        <v>0.75</v>
      </c>
      <c r="F28" s="223"/>
      <c r="G28" s="223"/>
      <c r="H28" s="224"/>
    </row>
    <row r="29" spans="2:8" x14ac:dyDescent="0.25">
      <c r="B29" s="11" t="s">
        <v>333</v>
      </c>
      <c r="C29" s="222"/>
      <c r="D29" s="222"/>
      <c r="E29" s="223"/>
      <c r="F29" s="223"/>
      <c r="G29" s="223"/>
    </row>
    <row r="30" spans="2:8" x14ac:dyDescent="0.25">
      <c r="C30" s="16" t="s">
        <v>362</v>
      </c>
      <c r="D30" s="16" t="s">
        <v>493</v>
      </c>
      <c r="E30" s="227">
        <v>7.8619999999999995E-2</v>
      </c>
      <c r="F30" s="223"/>
      <c r="G30" s="227"/>
      <c r="H30" s="228"/>
    </row>
    <row r="31" spans="2:8" x14ac:dyDescent="0.25">
      <c r="B31" s="219" t="s">
        <v>363</v>
      </c>
      <c r="C31" s="222"/>
      <c r="D31" s="222"/>
      <c r="E31" s="223"/>
      <c r="F31" s="223"/>
      <c r="G31" s="223"/>
    </row>
    <row r="32" spans="2:8" x14ac:dyDescent="0.25">
      <c r="B32" s="11" t="s">
        <v>349</v>
      </c>
      <c r="C32" s="222"/>
      <c r="D32" s="222"/>
      <c r="E32" s="223"/>
      <c r="F32" s="223"/>
      <c r="G32" s="223"/>
    </row>
    <row r="33" spans="2:8" x14ac:dyDescent="0.25">
      <c r="C33" s="16" t="s">
        <v>364</v>
      </c>
      <c r="D33" s="16" t="s">
        <v>541</v>
      </c>
      <c r="E33" s="223">
        <v>1.08</v>
      </c>
      <c r="F33" s="223"/>
      <c r="G33" s="223"/>
      <c r="H33" s="224"/>
    </row>
    <row r="34" spans="2:8" x14ac:dyDescent="0.25">
      <c r="C34" s="16" t="s">
        <v>365</v>
      </c>
      <c r="D34" s="16" t="s">
        <v>542</v>
      </c>
      <c r="E34" s="223">
        <v>5.98</v>
      </c>
      <c r="F34" s="223"/>
      <c r="G34" s="223"/>
      <c r="H34" s="224"/>
    </row>
    <row r="35" spans="2:8" x14ac:dyDescent="0.25">
      <c r="C35" s="16" t="s">
        <v>366</v>
      </c>
      <c r="D35" s="16" t="s">
        <v>543</v>
      </c>
      <c r="E35" s="223">
        <v>17.48</v>
      </c>
      <c r="F35" s="223"/>
      <c r="G35" s="223"/>
      <c r="H35" s="224"/>
    </row>
    <row r="36" spans="2:8" x14ac:dyDescent="0.25">
      <c r="B36" s="229" t="s">
        <v>367</v>
      </c>
      <c r="C36" s="230" t="s">
        <v>368</v>
      </c>
      <c r="D36" s="16" t="s">
        <v>544</v>
      </c>
      <c r="E36" s="223">
        <v>1.08</v>
      </c>
      <c r="F36" s="223"/>
      <c r="G36" s="223"/>
      <c r="H36" s="224"/>
    </row>
    <row r="37" spans="2:8" x14ac:dyDescent="0.25">
      <c r="B37" s="229" t="s">
        <v>367</v>
      </c>
      <c r="C37" s="230" t="s">
        <v>369</v>
      </c>
      <c r="D37" s="16" t="s">
        <v>545</v>
      </c>
      <c r="E37" s="223">
        <v>5.98</v>
      </c>
      <c r="F37" s="223"/>
      <c r="G37" s="223"/>
      <c r="H37" s="224"/>
    </row>
    <row r="38" spans="2:8" x14ac:dyDescent="0.25">
      <c r="B38" s="229" t="s">
        <v>367</v>
      </c>
      <c r="C38" s="230" t="s">
        <v>370</v>
      </c>
      <c r="D38" s="16" t="s">
        <v>546</v>
      </c>
      <c r="E38" s="223">
        <v>17.48</v>
      </c>
      <c r="F38" s="223"/>
      <c r="G38" s="223"/>
      <c r="H38" s="224"/>
    </row>
    <row r="39" spans="2:8" x14ac:dyDescent="0.25">
      <c r="C39" s="226" t="s">
        <v>371</v>
      </c>
      <c r="D39" s="16" t="s">
        <v>547</v>
      </c>
      <c r="E39" s="223">
        <v>1.08</v>
      </c>
      <c r="F39" s="223"/>
      <c r="G39" s="223"/>
      <c r="H39" s="224"/>
    </row>
    <row r="40" spans="2:8" x14ac:dyDescent="0.25">
      <c r="C40" s="226" t="s">
        <v>372</v>
      </c>
      <c r="D40" s="16" t="s">
        <v>548</v>
      </c>
      <c r="E40" s="223">
        <v>5.98</v>
      </c>
      <c r="F40" s="223"/>
      <c r="G40" s="223"/>
      <c r="H40" s="224"/>
    </row>
    <row r="41" spans="2:8" x14ac:dyDescent="0.25">
      <c r="C41" s="226" t="s">
        <v>373</v>
      </c>
      <c r="D41" s="16" t="s">
        <v>549</v>
      </c>
      <c r="E41" s="223">
        <v>17.48</v>
      </c>
      <c r="F41" s="223"/>
      <c r="G41" s="223"/>
      <c r="H41" s="224"/>
    </row>
    <row r="42" spans="2:8" x14ac:dyDescent="0.25">
      <c r="C42" s="226"/>
      <c r="D42" s="226"/>
      <c r="E42" s="223"/>
      <c r="F42" s="223"/>
      <c r="G42" s="223"/>
    </row>
    <row r="43" spans="2:8" x14ac:dyDescent="0.25">
      <c r="C43" s="226"/>
      <c r="D43" s="226"/>
      <c r="E43" s="223"/>
      <c r="F43" s="223"/>
      <c r="G43" s="223"/>
    </row>
    <row r="44" spans="2:8" x14ac:dyDescent="0.25">
      <c r="C44" s="226"/>
      <c r="D44" s="226"/>
      <c r="E44" s="223"/>
      <c r="F44" s="223"/>
      <c r="G44" s="223"/>
    </row>
    <row r="45" spans="2:8" x14ac:dyDescent="0.25">
      <c r="B45" s="17" t="s">
        <v>333</v>
      </c>
      <c r="C45" s="222"/>
      <c r="D45" s="222"/>
      <c r="E45" s="223"/>
      <c r="F45" s="223"/>
      <c r="G45" s="223"/>
    </row>
    <row r="46" spans="2:8" x14ac:dyDescent="0.25">
      <c r="C46" s="16" t="s">
        <v>364</v>
      </c>
      <c r="D46" s="16" t="s">
        <v>494</v>
      </c>
      <c r="E46" s="227">
        <v>7.3600000000000002E-3</v>
      </c>
      <c r="F46" s="223"/>
      <c r="G46" s="227"/>
      <c r="H46" s="228"/>
    </row>
    <row r="47" spans="2:8" x14ac:dyDescent="0.25">
      <c r="C47" s="16" t="s">
        <v>365</v>
      </c>
      <c r="D47" s="16" t="s">
        <v>495</v>
      </c>
      <c r="E47" s="227">
        <v>7.3600000000000002E-3</v>
      </c>
      <c r="F47" s="223"/>
      <c r="G47" s="227"/>
      <c r="H47" s="228"/>
    </row>
    <row r="48" spans="2:8" x14ac:dyDescent="0.25">
      <c r="C48" s="16" t="s">
        <v>366</v>
      </c>
      <c r="D48" s="16" t="s">
        <v>496</v>
      </c>
      <c r="E48" s="227">
        <v>7.3600000000000002E-3</v>
      </c>
      <c r="F48" s="223"/>
      <c r="G48" s="227"/>
      <c r="H48" s="228"/>
    </row>
    <row r="49" spans="2:8" x14ac:dyDescent="0.25">
      <c r="C49" s="230" t="s">
        <v>368</v>
      </c>
      <c r="D49" s="16" t="s">
        <v>499</v>
      </c>
      <c r="E49" s="227">
        <v>7.1150000000000005E-2</v>
      </c>
      <c r="F49" s="223"/>
      <c r="G49" s="227"/>
      <c r="H49" s="228"/>
    </row>
    <row r="50" spans="2:8" x14ac:dyDescent="0.25">
      <c r="C50" s="230" t="s">
        <v>369</v>
      </c>
      <c r="D50" s="16" t="s">
        <v>500</v>
      </c>
      <c r="E50" s="227">
        <v>7.1150000000000005E-2</v>
      </c>
      <c r="F50" s="223"/>
      <c r="G50" s="227"/>
      <c r="H50" s="228"/>
    </row>
    <row r="51" spans="2:8" x14ac:dyDescent="0.25">
      <c r="C51" s="230" t="s">
        <v>370</v>
      </c>
      <c r="D51" s="16" t="s">
        <v>501</v>
      </c>
      <c r="E51" s="227">
        <v>7.1150000000000005E-2</v>
      </c>
      <c r="F51" s="223"/>
      <c r="G51" s="227"/>
      <c r="H51" s="228"/>
    </row>
    <row r="52" spans="2:8" x14ac:dyDescent="0.25">
      <c r="C52" s="226" t="s">
        <v>374</v>
      </c>
      <c r="D52" s="226" t="s">
        <v>502</v>
      </c>
      <c r="E52" s="227">
        <v>1.193E-2</v>
      </c>
      <c r="F52" s="223"/>
      <c r="G52" s="227"/>
      <c r="H52" s="228"/>
    </row>
    <row r="53" spans="2:8" x14ac:dyDescent="0.25">
      <c r="C53" s="226" t="s">
        <v>375</v>
      </c>
      <c r="D53" s="226" t="s">
        <v>503</v>
      </c>
      <c r="E53" s="227">
        <v>1.193E-2</v>
      </c>
      <c r="F53" s="223"/>
      <c r="G53" s="227"/>
      <c r="H53" s="228"/>
    </row>
    <row r="54" spans="2:8" x14ac:dyDescent="0.25">
      <c r="C54" s="226" t="s">
        <v>376</v>
      </c>
      <c r="D54" s="226" t="s">
        <v>505</v>
      </c>
      <c r="E54" s="227">
        <v>1.193E-2</v>
      </c>
      <c r="F54" s="223"/>
      <c r="G54" s="227"/>
      <c r="H54" s="228"/>
    </row>
    <row r="55" spans="2:8" x14ac:dyDescent="0.25">
      <c r="C55" s="226" t="s">
        <v>377</v>
      </c>
      <c r="D55" s="226" t="s">
        <v>504</v>
      </c>
      <c r="E55" s="227">
        <v>5.7099999999999998E-3</v>
      </c>
      <c r="F55" s="223"/>
      <c r="G55" s="227"/>
      <c r="H55" s="228"/>
    </row>
    <row r="56" spans="2:8" x14ac:dyDescent="0.25">
      <c r="C56" s="226" t="s">
        <v>378</v>
      </c>
      <c r="D56" s="226" t="s">
        <v>506</v>
      </c>
      <c r="E56" s="227">
        <v>5.7099999999999998E-3</v>
      </c>
      <c r="F56" s="223"/>
      <c r="G56" s="227"/>
      <c r="H56" s="228"/>
    </row>
    <row r="57" spans="2:8" x14ac:dyDescent="0.25">
      <c r="C57" s="226" t="s">
        <v>379</v>
      </c>
      <c r="D57" s="226" t="s">
        <v>507</v>
      </c>
      <c r="E57" s="227">
        <v>5.7099999999999998E-3</v>
      </c>
      <c r="F57" s="223"/>
      <c r="G57" s="227"/>
      <c r="H57" s="228"/>
    </row>
    <row r="58" spans="2:8" x14ac:dyDescent="0.25">
      <c r="B58" s="231" t="s">
        <v>380</v>
      </c>
      <c r="C58" s="222"/>
      <c r="D58" s="222"/>
      <c r="E58" s="223"/>
      <c r="F58" s="223"/>
      <c r="G58" s="223"/>
    </row>
    <row r="59" spans="2:8" x14ac:dyDescent="0.25">
      <c r="C59" s="16" t="s">
        <v>364</v>
      </c>
      <c r="D59" s="16" t="s">
        <v>513</v>
      </c>
      <c r="E59" s="223">
        <v>14.2</v>
      </c>
      <c r="F59" s="223"/>
      <c r="G59" s="223"/>
      <c r="H59" s="224"/>
    </row>
    <row r="60" spans="2:8" x14ac:dyDescent="0.25">
      <c r="C60" s="16" t="s">
        <v>365</v>
      </c>
      <c r="D60" s="16" t="s">
        <v>508</v>
      </c>
      <c r="E60" s="223">
        <v>14.2</v>
      </c>
      <c r="F60" s="223"/>
      <c r="G60" s="223"/>
      <c r="H60" s="224"/>
    </row>
    <row r="61" spans="2:8" x14ac:dyDescent="0.25">
      <c r="C61" s="16" t="s">
        <v>366</v>
      </c>
      <c r="D61" s="16" t="s">
        <v>509</v>
      </c>
      <c r="E61" s="223">
        <v>14.2</v>
      </c>
      <c r="F61" s="223"/>
      <c r="G61" s="223"/>
      <c r="H61" s="224"/>
    </row>
    <row r="62" spans="2:8" x14ac:dyDescent="0.25">
      <c r="C62" s="230" t="s">
        <v>368</v>
      </c>
      <c r="D62" s="16" t="s">
        <v>510</v>
      </c>
      <c r="E62" s="223">
        <v>0</v>
      </c>
      <c r="F62" s="223"/>
      <c r="G62" s="223"/>
      <c r="H62" s="224"/>
    </row>
    <row r="63" spans="2:8" x14ac:dyDescent="0.25">
      <c r="C63" s="230" t="s">
        <v>369</v>
      </c>
      <c r="D63" s="16" t="s">
        <v>511</v>
      </c>
      <c r="E63" s="223">
        <v>0</v>
      </c>
      <c r="F63" s="223"/>
      <c r="G63" s="223"/>
      <c r="H63" s="224"/>
    </row>
    <row r="64" spans="2:8" x14ac:dyDescent="0.25">
      <c r="C64" s="230" t="s">
        <v>370</v>
      </c>
      <c r="D64" s="16" t="s">
        <v>512</v>
      </c>
      <c r="E64" s="223">
        <v>0</v>
      </c>
      <c r="F64" s="223"/>
      <c r="G64" s="223"/>
      <c r="H64" s="224"/>
    </row>
    <row r="65" spans="2:8" x14ac:dyDescent="0.25">
      <c r="C65" s="16" t="s">
        <v>381</v>
      </c>
      <c r="D65" s="226" t="s">
        <v>822</v>
      </c>
      <c r="E65" s="223">
        <v>4.55</v>
      </c>
      <c r="F65" s="223"/>
      <c r="G65" s="223"/>
      <c r="H65" s="224"/>
    </row>
    <row r="66" spans="2:8" x14ac:dyDescent="0.25">
      <c r="C66" s="16" t="s">
        <v>382</v>
      </c>
      <c r="D66" s="226" t="s">
        <v>823</v>
      </c>
      <c r="E66" s="223">
        <v>4.55</v>
      </c>
      <c r="F66" s="223"/>
      <c r="G66" s="223"/>
      <c r="H66" s="224"/>
    </row>
    <row r="67" spans="2:8" x14ac:dyDescent="0.25">
      <c r="C67" s="226" t="s">
        <v>383</v>
      </c>
      <c r="D67" s="226" t="s">
        <v>824</v>
      </c>
      <c r="E67" s="223">
        <v>4.55</v>
      </c>
      <c r="F67" s="223"/>
      <c r="G67" s="223"/>
      <c r="H67" s="224"/>
    </row>
    <row r="68" spans="2:8" x14ac:dyDescent="0.25">
      <c r="C68" s="16" t="s">
        <v>384</v>
      </c>
      <c r="D68" s="226" t="s">
        <v>825</v>
      </c>
      <c r="E68" s="223">
        <v>9.2799999999999994</v>
      </c>
      <c r="F68" s="223"/>
      <c r="G68" s="223"/>
      <c r="H68" s="224"/>
    </row>
    <row r="69" spans="2:8" x14ac:dyDescent="0.25">
      <c r="C69" s="16" t="s">
        <v>385</v>
      </c>
      <c r="D69" s="226" t="s">
        <v>826</v>
      </c>
      <c r="E69" s="223">
        <v>9.2799999999999994</v>
      </c>
      <c r="F69" s="223"/>
      <c r="G69" s="223"/>
      <c r="H69" s="224"/>
    </row>
    <row r="70" spans="2:8" x14ac:dyDescent="0.25">
      <c r="C70" s="226" t="s">
        <v>386</v>
      </c>
      <c r="D70" s="226" t="s">
        <v>827</v>
      </c>
      <c r="E70" s="223">
        <v>9.2799999999999994</v>
      </c>
      <c r="F70" s="223"/>
      <c r="G70" s="223"/>
      <c r="H70" s="224"/>
    </row>
    <row r="71" spans="2:8" x14ac:dyDescent="0.25">
      <c r="B71" s="17" t="s">
        <v>387</v>
      </c>
      <c r="C71" s="222"/>
      <c r="D71" s="222"/>
      <c r="E71" s="223"/>
      <c r="F71" s="223"/>
      <c r="G71" s="223"/>
    </row>
    <row r="72" spans="2:8" x14ac:dyDescent="0.25">
      <c r="C72" s="16" t="s">
        <v>388</v>
      </c>
      <c r="D72" s="16" t="s">
        <v>514</v>
      </c>
      <c r="E72" s="32">
        <v>-0.01</v>
      </c>
      <c r="F72" s="32"/>
      <c r="G72" s="32"/>
      <c r="H72" s="232"/>
    </row>
    <row r="73" spans="2:8" x14ac:dyDescent="0.25">
      <c r="C73" s="16" t="s">
        <v>366</v>
      </c>
      <c r="D73" s="16" t="s">
        <v>515</v>
      </c>
      <c r="E73" s="32">
        <v>-0.02</v>
      </c>
      <c r="F73" s="32"/>
      <c r="G73" s="32"/>
      <c r="H73" s="232"/>
    </row>
    <row r="74" spans="2:8" x14ac:dyDescent="0.25">
      <c r="C74" s="33" t="s">
        <v>389</v>
      </c>
      <c r="D74" s="16" t="s">
        <v>516</v>
      </c>
      <c r="E74" s="32">
        <v>-0.01</v>
      </c>
      <c r="F74" s="32"/>
      <c r="G74" s="32"/>
      <c r="H74" s="232"/>
    </row>
    <row r="75" spans="2:8" x14ac:dyDescent="0.25">
      <c r="C75" s="230" t="s">
        <v>370</v>
      </c>
      <c r="D75" s="16" t="s">
        <v>517</v>
      </c>
      <c r="E75" s="32">
        <v>-0.02</v>
      </c>
      <c r="F75" s="32"/>
      <c r="G75" s="32"/>
      <c r="H75" s="232"/>
    </row>
    <row r="76" spans="2:8" x14ac:dyDescent="0.25">
      <c r="C76" s="16" t="s">
        <v>390</v>
      </c>
      <c r="D76" s="16" t="s">
        <v>518</v>
      </c>
      <c r="E76" s="32">
        <v>-0.01</v>
      </c>
      <c r="F76" s="32"/>
      <c r="G76" s="32"/>
      <c r="H76" s="232"/>
    </row>
    <row r="77" spans="2:8" x14ac:dyDescent="0.25">
      <c r="C77" s="226" t="s">
        <v>373</v>
      </c>
      <c r="D77" s="16" t="s">
        <v>519</v>
      </c>
      <c r="E77" s="32">
        <v>-0.02</v>
      </c>
      <c r="F77" s="32"/>
      <c r="G77" s="32"/>
      <c r="H77" s="232"/>
    </row>
    <row r="78" spans="2:8" x14ac:dyDescent="0.25">
      <c r="B78" s="17" t="s">
        <v>391</v>
      </c>
      <c r="C78" s="222"/>
      <c r="D78" s="222"/>
      <c r="E78" s="223"/>
      <c r="F78" s="223"/>
      <c r="G78" s="223"/>
    </row>
    <row r="79" spans="2:8" x14ac:dyDescent="0.25">
      <c r="C79" s="16" t="s">
        <v>388</v>
      </c>
      <c r="D79" s="16" t="s">
        <v>525</v>
      </c>
      <c r="E79" s="223">
        <v>-0.49</v>
      </c>
      <c r="F79" s="223"/>
      <c r="G79" s="223"/>
      <c r="H79" s="224"/>
    </row>
    <row r="80" spans="2:8" x14ac:dyDescent="0.25">
      <c r="C80" s="16" t="s">
        <v>366</v>
      </c>
      <c r="D80" s="16" t="s">
        <v>520</v>
      </c>
      <c r="E80" s="223">
        <v>-2.06</v>
      </c>
      <c r="F80" s="223"/>
      <c r="G80" s="223"/>
      <c r="H80" s="224"/>
    </row>
    <row r="81" spans="2:8" x14ac:dyDescent="0.25">
      <c r="C81" s="33" t="s">
        <v>392</v>
      </c>
      <c r="D81" s="16" t="s">
        <v>521</v>
      </c>
      <c r="E81" s="227">
        <v>-1.23E-3</v>
      </c>
      <c r="F81" s="223"/>
      <c r="G81" s="227"/>
      <c r="H81" s="228"/>
    </row>
    <row r="82" spans="2:8" x14ac:dyDescent="0.25">
      <c r="C82" s="230" t="s">
        <v>370</v>
      </c>
      <c r="D82" s="16" t="s">
        <v>522</v>
      </c>
      <c r="E82" s="227">
        <v>-5.28E-3</v>
      </c>
      <c r="F82" s="223"/>
      <c r="G82" s="227"/>
      <c r="H82" s="228"/>
    </row>
    <row r="83" spans="2:8" x14ac:dyDescent="0.25">
      <c r="C83" s="16" t="s">
        <v>390</v>
      </c>
      <c r="D83" s="16" t="s">
        <v>523</v>
      </c>
      <c r="E83" s="223">
        <v>-0.49</v>
      </c>
      <c r="F83" s="223"/>
      <c r="G83" s="223"/>
      <c r="H83" s="224"/>
    </row>
    <row r="84" spans="2:8" x14ac:dyDescent="0.25">
      <c r="C84" s="226" t="s">
        <v>373</v>
      </c>
      <c r="D84" s="16" t="s">
        <v>524</v>
      </c>
      <c r="E84" s="223">
        <v>-2.06</v>
      </c>
      <c r="F84" s="223"/>
      <c r="G84" s="223"/>
      <c r="H84" s="224"/>
    </row>
    <row r="85" spans="2:8" x14ac:dyDescent="0.25">
      <c r="B85" s="17" t="s">
        <v>346</v>
      </c>
      <c r="C85" s="222"/>
      <c r="D85" s="222"/>
      <c r="E85" s="223"/>
      <c r="F85" s="223"/>
      <c r="G85" s="223"/>
    </row>
    <row r="86" spans="2:8" x14ac:dyDescent="0.25">
      <c r="C86" s="16" t="s">
        <v>393</v>
      </c>
      <c r="D86" s="16" t="s">
        <v>534</v>
      </c>
      <c r="E86" s="223">
        <v>0.68</v>
      </c>
      <c r="F86" s="223"/>
      <c r="G86" s="223"/>
      <c r="H86" s="224"/>
    </row>
    <row r="87" spans="2:8" x14ac:dyDescent="0.25">
      <c r="C87" s="16" t="s">
        <v>388</v>
      </c>
      <c r="D87" s="16" t="s">
        <v>526</v>
      </c>
      <c r="E87" s="223">
        <v>0.68</v>
      </c>
      <c r="F87" s="223"/>
      <c r="G87" s="223"/>
      <c r="H87" s="224"/>
    </row>
    <row r="88" spans="2:8" x14ac:dyDescent="0.25">
      <c r="C88" s="16" t="s">
        <v>366</v>
      </c>
      <c r="D88" s="16" t="s">
        <v>527</v>
      </c>
      <c r="E88" s="223">
        <v>0.68</v>
      </c>
      <c r="F88" s="223"/>
      <c r="G88" s="223"/>
      <c r="H88" s="224"/>
    </row>
    <row r="89" spans="2:8" x14ac:dyDescent="0.25">
      <c r="C89" s="33" t="s">
        <v>394</v>
      </c>
      <c r="D89" s="16" t="s">
        <v>528</v>
      </c>
      <c r="E89" s="227">
        <v>1.7099999999999999E-3</v>
      </c>
      <c r="F89" s="223"/>
      <c r="G89" s="227"/>
      <c r="H89" s="228"/>
    </row>
    <row r="90" spans="2:8" x14ac:dyDescent="0.25">
      <c r="C90" s="33" t="s">
        <v>392</v>
      </c>
      <c r="D90" s="16" t="s">
        <v>529</v>
      </c>
      <c r="E90" s="227">
        <v>1.7099999999999999E-3</v>
      </c>
      <c r="F90" s="223"/>
      <c r="G90" s="227"/>
      <c r="H90" s="228"/>
    </row>
    <row r="91" spans="2:8" x14ac:dyDescent="0.25">
      <c r="C91" s="230" t="s">
        <v>370</v>
      </c>
      <c r="D91" s="16" t="s">
        <v>530</v>
      </c>
      <c r="E91" s="227">
        <v>1.7099999999999999E-3</v>
      </c>
      <c r="F91" s="223"/>
      <c r="G91" s="227"/>
      <c r="H91" s="228"/>
    </row>
    <row r="92" spans="2:8" x14ac:dyDescent="0.25">
      <c r="C92" s="16" t="s">
        <v>395</v>
      </c>
      <c r="D92" s="16" t="s">
        <v>531</v>
      </c>
      <c r="E92" s="223">
        <v>0.68</v>
      </c>
      <c r="F92" s="223"/>
      <c r="G92" s="223"/>
      <c r="H92" s="224"/>
    </row>
    <row r="93" spans="2:8" x14ac:dyDescent="0.25">
      <c r="C93" s="16" t="s">
        <v>390</v>
      </c>
      <c r="D93" s="16" t="s">
        <v>532</v>
      </c>
      <c r="E93" s="223">
        <v>0.68</v>
      </c>
      <c r="F93" s="223"/>
      <c r="G93" s="223"/>
      <c r="H93" s="224"/>
    </row>
    <row r="94" spans="2:8" x14ac:dyDescent="0.25">
      <c r="C94" s="226" t="s">
        <v>373</v>
      </c>
      <c r="D94" s="16" t="s">
        <v>533</v>
      </c>
      <c r="E94" s="223">
        <v>0.68</v>
      </c>
      <c r="F94" s="223"/>
      <c r="G94" s="223"/>
      <c r="H94" s="224"/>
    </row>
    <row r="95" spans="2:8" x14ac:dyDescent="0.25">
      <c r="C95" s="226"/>
      <c r="D95" s="226"/>
      <c r="E95" s="223"/>
      <c r="F95" s="223"/>
      <c r="G95" s="223"/>
    </row>
    <row r="96" spans="2:8" x14ac:dyDescent="0.25">
      <c r="C96" s="226"/>
      <c r="D96" s="226"/>
      <c r="E96" s="223"/>
      <c r="F96" s="223"/>
      <c r="G96" s="223"/>
    </row>
    <row r="97" spans="2:8" x14ac:dyDescent="0.25">
      <c r="B97" s="219" t="s">
        <v>396</v>
      </c>
      <c r="C97" s="222"/>
      <c r="D97" s="222"/>
      <c r="E97" s="223"/>
      <c r="F97" s="223"/>
      <c r="G97" s="223"/>
    </row>
    <row r="98" spans="2:8" x14ac:dyDescent="0.25">
      <c r="B98" s="17" t="s">
        <v>349</v>
      </c>
      <c r="C98" s="222"/>
      <c r="D98" s="222"/>
      <c r="E98" s="223"/>
      <c r="F98" s="223"/>
      <c r="G98" s="223"/>
    </row>
    <row r="99" spans="2:8" x14ac:dyDescent="0.25">
      <c r="B99" s="11"/>
      <c r="C99" s="16" t="s">
        <v>364</v>
      </c>
      <c r="D99" s="16" t="s">
        <v>554</v>
      </c>
      <c r="E99" s="223">
        <v>1.91</v>
      </c>
      <c r="F99" s="223"/>
      <c r="G99" s="223"/>
      <c r="H99" s="224"/>
    </row>
    <row r="100" spans="2:8" x14ac:dyDescent="0.25">
      <c r="B100" s="11"/>
      <c r="C100" s="16" t="s">
        <v>365</v>
      </c>
      <c r="D100" s="16" t="s">
        <v>555</v>
      </c>
      <c r="E100" s="223">
        <v>6.8</v>
      </c>
      <c r="F100" s="223"/>
      <c r="G100" s="223"/>
      <c r="H100" s="224"/>
    </row>
    <row r="101" spans="2:8" x14ac:dyDescent="0.25">
      <c r="B101" s="11"/>
      <c r="C101" s="16" t="s">
        <v>397</v>
      </c>
      <c r="D101" s="16" t="s">
        <v>556</v>
      </c>
      <c r="E101" s="223">
        <v>18.309999999999999</v>
      </c>
      <c r="F101" s="223"/>
      <c r="G101" s="223"/>
      <c r="H101" s="224"/>
    </row>
    <row r="102" spans="2:8" x14ac:dyDescent="0.25">
      <c r="B102" s="11"/>
      <c r="C102" s="226" t="s">
        <v>398</v>
      </c>
      <c r="D102" s="226" t="s">
        <v>557</v>
      </c>
      <c r="E102" s="223">
        <v>1.91</v>
      </c>
      <c r="F102" s="223"/>
      <c r="G102" s="223"/>
      <c r="H102" s="224"/>
    </row>
    <row r="103" spans="2:8" x14ac:dyDescent="0.25">
      <c r="C103" s="226" t="s">
        <v>399</v>
      </c>
      <c r="D103" s="226" t="s">
        <v>558</v>
      </c>
      <c r="E103" s="223">
        <v>6.8</v>
      </c>
      <c r="F103" s="223"/>
      <c r="G103" s="223"/>
      <c r="H103" s="224"/>
    </row>
    <row r="104" spans="2:8" x14ac:dyDescent="0.25">
      <c r="C104" s="226" t="s">
        <v>400</v>
      </c>
      <c r="D104" s="226" t="s">
        <v>559</v>
      </c>
      <c r="E104" s="223">
        <v>18.309999999999999</v>
      </c>
      <c r="F104" s="223"/>
      <c r="G104" s="223"/>
      <c r="H104" s="224"/>
    </row>
    <row r="105" spans="2:8" x14ac:dyDescent="0.25">
      <c r="B105" s="17" t="s">
        <v>401</v>
      </c>
      <c r="C105" s="222"/>
      <c r="D105" s="222"/>
      <c r="E105" s="223"/>
      <c r="F105" s="223"/>
      <c r="G105" s="223"/>
    </row>
    <row r="106" spans="2:8" x14ac:dyDescent="0.25">
      <c r="B106" s="11"/>
      <c r="C106" s="16" t="s">
        <v>364</v>
      </c>
      <c r="D106" s="16" t="s">
        <v>568</v>
      </c>
      <c r="E106" s="227">
        <v>7.3600000000000002E-3</v>
      </c>
      <c r="F106" s="223"/>
      <c r="G106" s="227"/>
      <c r="H106" s="228"/>
    </row>
    <row r="107" spans="2:8" x14ac:dyDescent="0.25">
      <c r="B107" s="11"/>
      <c r="C107" s="16" t="s">
        <v>365</v>
      </c>
      <c r="D107" s="16" t="s">
        <v>569</v>
      </c>
      <c r="E107" s="227">
        <v>7.3600000000000002E-3</v>
      </c>
      <c r="F107" s="223"/>
      <c r="G107" s="227"/>
      <c r="H107" s="228"/>
    </row>
    <row r="108" spans="2:8" x14ac:dyDescent="0.25">
      <c r="B108" s="11"/>
      <c r="C108" s="16" t="s">
        <v>397</v>
      </c>
      <c r="D108" s="16" t="s">
        <v>570</v>
      </c>
      <c r="E108" s="227">
        <v>7.3600000000000002E-3</v>
      </c>
      <c r="F108" s="223"/>
      <c r="G108" s="227"/>
      <c r="H108" s="228"/>
    </row>
    <row r="109" spans="2:8" x14ac:dyDescent="0.25">
      <c r="B109" s="11"/>
      <c r="C109" s="226" t="s">
        <v>402</v>
      </c>
      <c r="D109" s="226" t="s">
        <v>571</v>
      </c>
      <c r="E109" s="227">
        <v>1.193E-2</v>
      </c>
      <c r="F109" s="223"/>
      <c r="G109" s="227"/>
      <c r="H109" s="228"/>
    </row>
    <row r="110" spans="2:8" x14ac:dyDescent="0.25">
      <c r="C110" s="226" t="s">
        <v>403</v>
      </c>
      <c r="D110" s="226" t="s">
        <v>572</v>
      </c>
      <c r="E110" s="227">
        <v>1.193E-2</v>
      </c>
      <c r="F110" s="223"/>
      <c r="G110" s="227"/>
      <c r="H110" s="228"/>
    </row>
    <row r="111" spans="2:8" x14ac:dyDescent="0.25">
      <c r="C111" s="226" t="s">
        <v>404</v>
      </c>
      <c r="D111" s="226" t="s">
        <v>573</v>
      </c>
      <c r="E111" s="227">
        <v>1.193E-2</v>
      </c>
      <c r="F111" s="223"/>
      <c r="G111" s="227"/>
      <c r="H111" s="228"/>
    </row>
    <row r="112" spans="2:8" x14ac:dyDescent="0.25">
      <c r="C112" s="226" t="s">
        <v>405</v>
      </c>
      <c r="D112" s="226" t="s">
        <v>576</v>
      </c>
      <c r="E112" s="227">
        <v>5.7099999999999998E-3</v>
      </c>
      <c r="F112" s="223"/>
      <c r="G112" s="227"/>
      <c r="H112" s="228"/>
    </row>
    <row r="113" spans="2:8" x14ac:dyDescent="0.25">
      <c r="C113" s="226" t="s">
        <v>406</v>
      </c>
      <c r="D113" s="226" t="s">
        <v>574</v>
      </c>
      <c r="E113" s="227">
        <v>5.7099999999999998E-3</v>
      </c>
      <c r="F113" s="223"/>
      <c r="G113" s="227"/>
      <c r="H113" s="228"/>
    </row>
    <row r="114" spans="2:8" x14ac:dyDescent="0.25">
      <c r="C114" s="226" t="s">
        <v>407</v>
      </c>
      <c r="D114" s="226" t="s">
        <v>575</v>
      </c>
      <c r="E114" s="227">
        <v>5.7099999999999998E-3</v>
      </c>
      <c r="F114" s="223"/>
      <c r="G114" s="227"/>
      <c r="H114" s="228"/>
    </row>
    <row r="115" spans="2:8" x14ac:dyDescent="0.25">
      <c r="B115" s="17" t="s">
        <v>408</v>
      </c>
      <c r="C115" s="222"/>
      <c r="D115" s="222"/>
      <c r="E115" s="223"/>
      <c r="F115" s="223"/>
      <c r="G115" s="223"/>
    </row>
    <row r="116" spans="2:8" x14ac:dyDescent="0.25">
      <c r="B116" s="17"/>
      <c r="C116" s="226" t="s">
        <v>409</v>
      </c>
      <c r="D116" s="16" t="s">
        <v>585</v>
      </c>
      <c r="E116" s="227">
        <v>8.5699999999999995E-3</v>
      </c>
      <c r="F116" s="223"/>
      <c r="G116" s="227"/>
      <c r="H116" s="228"/>
    </row>
    <row r="117" spans="2:8" x14ac:dyDescent="0.25">
      <c r="B117" s="17"/>
      <c r="C117" s="226" t="s">
        <v>410</v>
      </c>
      <c r="D117" s="16" t="s">
        <v>577</v>
      </c>
      <c r="E117" s="227">
        <v>8.5699999999999995E-3</v>
      </c>
      <c r="F117" s="223"/>
      <c r="G117" s="227"/>
      <c r="H117" s="228"/>
    </row>
    <row r="118" spans="2:8" x14ac:dyDescent="0.25">
      <c r="B118" s="17"/>
      <c r="C118" s="226" t="s">
        <v>411</v>
      </c>
      <c r="D118" s="16" t="s">
        <v>578</v>
      </c>
      <c r="E118" s="227">
        <v>8.5699999999999995E-3</v>
      </c>
      <c r="F118" s="223"/>
      <c r="G118" s="227"/>
      <c r="H118" s="228"/>
    </row>
    <row r="119" spans="2:8" x14ac:dyDescent="0.25">
      <c r="B119" s="11"/>
      <c r="C119" s="226" t="s">
        <v>402</v>
      </c>
      <c r="D119" s="226" t="s">
        <v>579</v>
      </c>
      <c r="E119" s="227">
        <v>8.5699999999999995E-3</v>
      </c>
      <c r="F119" s="223"/>
      <c r="G119" s="227"/>
      <c r="H119" s="228"/>
    </row>
    <row r="120" spans="2:8" x14ac:dyDescent="0.25">
      <c r="C120" s="226" t="s">
        <v>403</v>
      </c>
      <c r="D120" s="226" t="s">
        <v>580</v>
      </c>
      <c r="E120" s="227">
        <v>8.5699999999999995E-3</v>
      </c>
      <c r="F120" s="223"/>
      <c r="G120" s="227"/>
      <c r="H120" s="228"/>
    </row>
    <row r="121" spans="2:8" x14ac:dyDescent="0.25">
      <c r="C121" s="226" t="s">
        <v>404</v>
      </c>
      <c r="D121" s="226" t="s">
        <v>581</v>
      </c>
      <c r="E121" s="227">
        <v>8.5699999999999995E-3</v>
      </c>
      <c r="F121" s="223"/>
      <c r="G121" s="227"/>
      <c r="H121" s="228"/>
    </row>
    <row r="122" spans="2:8" x14ac:dyDescent="0.25">
      <c r="C122" s="226" t="s">
        <v>405</v>
      </c>
      <c r="D122" s="226" t="s">
        <v>582</v>
      </c>
      <c r="E122" s="227">
        <v>8.5699999999999995E-3</v>
      </c>
      <c r="F122" s="223"/>
      <c r="G122" s="227"/>
      <c r="H122" s="228"/>
    </row>
    <row r="123" spans="2:8" x14ac:dyDescent="0.25">
      <c r="C123" s="226" t="s">
        <v>406</v>
      </c>
      <c r="D123" s="226" t="s">
        <v>583</v>
      </c>
      <c r="E123" s="227">
        <v>8.5699999999999995E-3</v>
      </c>
      <c r="F123" s="223"/>
      <c r="G123" s="227"/>
      <c r="H123" s="228"/>
    </row>
    <row r="124" spans="2:8" x14ac:dyDescent="0.25">
      <c r="C124" s="226" t="s">
        <v>407</v>
      </c>
      <c r="D124" s="226" t="s">
        <v>584</v>
      </c>
      <c r="E124" s="227">
        <v>8.5699999999999995E-3</v>
      </c>
      <c r="F124" s="223"/>
      <c r="G124" s="227"/>
      <c r="H124" s="228"/>
    </row>
    <row r="125" spans="2:8" x14ac:dyDescent="0.25">
      <c r="B125" s="17" t="s">
        <v>412</v>
      </c>
      <c r="C125" s="222"/>
      <c r="D125" s="222"/>
      <c r="E125" s="223"/>
      <c r="F125" s="223"/>
      <c r="G125" s="223"/>
    </row>
    <row r="126" spans="2:8" x14ac:dyDescent="0.25">
      <c r="B126" s="11"/>
      <c r="C126" s="16" t="s">
        <v>364</v>
      </c>
      <c r="D126" s="16" t="s">
        <v>587</v>
      </c>
      <c r="E126" s="223">
        <v>14.2</v>
      </c>
      <c r="F126" s="223"/>
      <c r="G126" s="223"/>
      <c r="H126" s="224"/>
    </row>
    <row r="127" spans="2:8" x14ac:dyDescent="0.25">
      <c r="B127" s="11"/>
      <c r="C127" s="16" t="s">
        <v>365</v>
      </c>
      <c r="D127" s="16" t="s">
        <v>586</v>
      </c>
      <c r="E127" s="223">
        <v>14.2</v>
      </c>
      <c r="F127" s="223"/>
      <c r="G127" s="223"/>
      <c r="H127" s="224"/>
    </row>
    <row r="128" spans="2:8" x14ac:dyDescent="0.25">
      <c r="B128" s="11"/>
      <c r="C128" s="16" t="s">
        <v>397</v>
      </c>
      <c r="D128" s="16" t="s">
        <v>588</v>
      </c>
      <c r="E128" s="223">
        <v>14.2</v>
      </c>
      <c r="F128" s="223"/>
      <c r="G128" s="223"/>
      <c r="H128" s="224"/>
    </row>
    <row r="129" spans="2:8" x14ac:dyDescent="0.25">
      <c r="B129" s="11"/>
      <c r="C129" s="226" t="s">
        <v>413</v>
      </c>
      <c r="D129" s="226" t="s">
        <v>589</v>
      </c>
      <c r="E129" s="223">
        <v>4.55</v>
      </c>
      <c r="F129" s="223"/>
      <c r="G129" s="223"/>
      <c r="H129" s="224"/>
    </row>
    <row r="130" spans="2:8" x14ac:dyDescent="0.25">
      <c r="C130" s="226" t="s">
        <v>414</v>
      </c>
      <c r="D130" s="226" t="s">
        <v>590</v>
      </c>
      <c r="E130" s="223">
        <v>4.55</v>
      </c>
      <c r="F130" s="223"/>
      <c r="G130" s="223"/>
      <c r="H130" s="224"/>
    </row>
    <row r="131" spans="2:8" x14ac:dyDescent="0.25">
      <c r="C131" s="226" t="s">
        <v>415</v>
      </c>
      <c r="D131" s="226" t="s">
        <v>591</v>
      </c>
      <c r="E131" s="223">
        <v>4.55</v>
      </c>
      <c r="F131" s="223"/>
      <c r="G131" s="223"/>
      <c r="H131" s="224"/>
    </row>
    <row r="132" spans="2:8" x14ac:dyDescent="0.25">
      <c r="C132" s="226" t="s">
        <v>416</v>
      </c>
      <c r="D132" s="226" t="s">
        <v>592</v>
      </c>
      <c r="E132" s="223">
        <v>9.2799999999999994</v>
      </c>
      <c r="F132" s="223"/>
      <c r="G132" s="223"/>
      <c r="H132" s="224"/>
    </row>
    <row r="133" spans="2:8" x14ac:dyDescent="0.25">
      <c r="C133" s="226" t="s">
        <v>417</v>
      </c>
      <c r="D133" s="226" t="s">
        <v>593</v>
      </c>
      <c r="E133" s="223">
        <v>9.2799999999999994</v>
      </c>
      <c r="F133" s="223"/>
      <c r="G133" s="223"/>
      <c r="H133" s="224"/>
    </row>
    <row r="134" spans="2:8" x14ac:dyDescent="0.25">
      <c r="C134" s="226" t="s">
        <v>418</v>
      </c>
      <c r="D134" s="226" t="s">
        <v>594</v>
      </c>
      <c r="E134" s="223">
        <v>9.2799999999999994</v>
      </c>
      <c r="F134" s="223"/>
      <c r="G134" s="223"/>
      <c r="H134" s="224"/>
    </row>
    <row r="135" spans="2:8" x14ac:dyDescent="0.25">
      <c r="B135" s="17" t="s">
        <v>419</v>
      </c>
      <c r="C135" s="222"/>
      <c r="D135" s="222"/>
      <c r="E135" s="223"/>
      <c r="F135" s="223"/>
      <c r="G135" s="223"/>
    </row>
    <row r="136" spans="2:8" x14ac:dyDescent="0.25">
      <c r="B136" s="17"/>
      <c r="C136" s="226" t="s">
        <v>420</v>
      </c>
      <c r="D136" s="226" t="s">
        <v>633</v>
      </c>
      <c r="E136" s="223">
        <v>1.75</v>
      </c>
      <c r="F136" s="223"/>
      <c r="G136" s="223"/>
      <c r="H136" s="224"/>
    </row>
    <row r="137" spans="2:8" x14ac:dyDescent="0.25">
      <c r="B137" s="17"/>
      <c r="C137" s="226" t="s">
        <v>421</v>
      </c>
      <c r="D137" s="226" t="s">
        <v>634</v>
      </c>
      <c r="E137" s="223">
        <v>1.75</v>
      </c>
      <c r="F137" s="223"/>
      <c r="G137" s="223"/>
      <c r="H137" s="224"/>
    </row>
    <row r="138" spans="2:8" x14ac:dyDescent="0.25">
      <c r="B138" s="17"/>
      <c r="C138" s="226" t="s">
        <v>422</v>
      </c>
      <c r="D138" s="226" t="s">
        <v>635</v>
      </c>
      <c r="E138" s="223">
        <v>1.75</v>
      </c>
      <c r="F138" s="223"/>
      <c r="G138" s="223"/>
      <c r="H138" s="224"/>
    </row>
    <row r="139" spans="2:8" x14ac:dyDescent="0.25">
      <c r="B139" s="17"/>
      <c r="C139" s="226" t="s">
        <v>423</v>
      </c>
      <c r="D139" s="226" t="s">
        <v>636</v>
      </c>
      <c r="E139" s="223">
        <v>1.7</v>
      </c>
      <c r="F139" s="223"/>
      <c r="G139" s="223"/>
      <c r="H139" s="224"/>
    </row>
    <row r="140" spans="2:8" x14ac:dyDescent="0.25">
      <c r="B140" s="17"/>
      <c r="C140" s="226" t="s">
        <v>424</v>
      </c>
      <c r="D140" s="226" t="s">
        <v>637</v>
      </c>
      <c r="E140" s="223">
        <v>1.7</v>
      </c>
      <c r="F140" s="223"/>
      <c r="G140" s="223"/>
      <c r="H140" s="224"/>
    </row>
    <row r="141" spans="2:8" x14ac:dyDescent="0.25">
      <c r="B141" s="17"/>
      <c r="C141" s="226" t="s">
        <v>425</v>
      </c>
      <c r="D141" s="226" t="s">
        <v>638</v>
      </c>
      <c r="E141" s="223">
        <v>1.7</v>
      </c>
      <c r="F141" s="223"/>
      <c r="G141" s="223"/>
      <c r="H141" s="224"/>
    </row>
    <row r="142" spans="2:8" x14ac:dyDescent="0.25">
      <c r="B142" s="17"/>
      <c r="C142" s="226" t="s">
        <v>426</v>
      </c>
      <c r="D142" s="226" t="s">
        <v>639</v>
      </c>
      <c r="E142" s="223">
        <v>0.68</v>
      </c>
      <c r="F142" s="223"/>
      <c r="G142" s="223"/>
      <c r="H142" s="224"/>
    </row>
    <row r="143" spans="2:8" x14ac:dyDescent="0.25">
      <c r="B143" s="17"/>
      <c r="C143" s="226" t="s">
        <v>427</v>
      </c>
      <c r="D143" s="226" t="s">
        <v>640</v>
      </c>
      <c r="E143" s="223">
        <v>0.68</v>
      </c>
      <c r="F143" s="223"/>
      <c r="G143" s="223"/>
      <c r="H143" s="224"/>
    </row>
    <row r="144" spans="2:8" x14ac:dyDescent="0.25">
      <c r="B144" s="17"/>
      <c r="C144" s="226" t="s">
        <v>428</v>
      </c>
      <c r="D144" s="226" t="s">
        <v>641</v>
      </c>
      <c r="E144" s="223">
        <v>0.68</v>
      </c>
      <c r="F144" s="223"/>
      <c r="G144" s="223"/>
      <c r="H144" s="224"/>
    </row>
    <row r="145" spans="2:8" x14ac:dyDescent="0.25">
      <c r="C145" s="226" t="s">
        <v>429</v>
      </c>
      <c r="D145" s="226" t="s">
        <v>650</v>
      </c>
      <c r="E145" s="223">
        <v>1.75</v>
      </c>
      <c r="F145" s="223"/>
      <c r="G145" s="223"/>
      <c r="H145" s="224"/>
    </row>
    <row r="146" spans="2:8" x14ac:dyDescent="0.25">
      <c r="C146" s="226" t="s">
        <v>430</v>
      </c>
      <c r="D146" s="226" t="s">
        <v>642</v>
      </c>
      <c r="E146" s="223">
        <v>1.75</v>
      </c>
      <c r="F146" s="223"/>
      <c r="G146" s="223"/>
      <c r="H146" s="224"/>
    </row>
    <row r="147" spans="2:8" x14ac:dyDescent="0.25">
      <c r="C147" s="226" t="s">
        <v>431</v>
      </c>
      <c r="D147" s="226" t="s">
        <v>643</v>
      </c>
      <c r="E147" s="223">
        <v>1.75</v>
      </c>
      <c r="F147" s="223"/>
      <c r="G147" s="223"/>
      <c r="H147" s="224"/>
    </row>
    <row r="148" spans="2:8" x14ac:dyDescent="0.25">
      <c r="C148" s="226" t="s">
        <v>432</v>
      </c>
      <c r="D148" s="226" t="s">
        <v>644</v>
      </c>
      <c r="E148" s="223">
        <v>1.7</v>
      </c>
      <c r="F148" s="223"/>
      <c r="G148" s="223"/>
      <c r="H148" s="224"/>
    </row>
    <row r="149" spans="2:8" x14ac:dyDescent="0.25">
      <c r="C149" s="226" t="s">
        <v>433</v>
      </c>
      <c r="D149" s="226" t="s">
        <v>645</v>
      </c>
      <c r="E149" s="223">
        <v>1.7</v>
      </c>
      <c r="F149" s="223"/>
      <c r="G149" s="223"/>
      <c r="H149" s="224"/>
    </row>
    <row r="150" spans="2:8" x14ac:dyDescent="0.25">
      <c r="C150" s="226" t="s">
        <v>434</v>
      </c>
      <c r="D150" s="226" t="s">
        <v>646</v>
      </c>
      <c r="E150" s="223">
        <v>1.7</v>
      </c>
      <c r="F150" s="223"/>
      <c r="G150" s="223"/>
      <c r="H150" s="224"/>
    </row>
    <row r="151" spans="2:8" x14ac:dyDescent="0.25">
      <c r="C151" s="226" t="s">
        <v>435</v>
      </c>
      <c r="D151" s="226" t="s">
        <v>647</v>
      </c>
      <c r="E151" s="223">
        <v>0.68</v>
      </c>
      <c r="F151" s="223"/>
      <c r="G151" s="223"/>
      <c r="H151" s="224"/>
    </row>
    <row r="152" spans="2:8" x14ac:dyDescent="0.25">
      <c r="C152" s="226" t="s">
        <v>436</v>
      </c>
      <c r="D152" s="226" t="s">
        <v>648</v>
      </c>
      <c r="E152" s="223">
        <v>0.68</v>
      </c>
      <c r="F152" s="223"/>
      <c r="G152" s="223"/>
      <c r="H152" s="224"/>
    </row>
    <row r="153" spans="2:8" x14ac:dyDescent="0.25">
      <c r="C153" s="226" t="s">
        <v>437</v>
      </c>
      <c r="D153" s="226" t="s">
        <v>649</v>
      </c>
      <c r="E153" s="223">
        <v>0.68</v>
      </c>
      <c r="F153" s="223"/>
      <c r="G153" s="223"/>
      <c r="H153" s="224"/>
    </row>
    <row r="154" spans="2:8" x14ac:dyDescent="0.25">
      <c r="C154" s="226"/>
      <c r="D154" s="226"/>
      <c r="E154" s="223"/>
      <c r="F154" s="223"/>
      <c r="G154" s="223"/>
    </row>
    <row r="155" spans="2:8" x14ac:dyDescent="0.25">
      <c r="B155" s="17" t="s">
        <v>438</v>
      </c>
      <c r="C155" s="222"/>
      <c r="D155" s="222"/>
      <c r="E155" s="223"/>
      <c r="F155" s="223"/>
      <c r="G155" s="223"/>
    </row>
    <row r="156" spans="2:8" x14ac:dyDescent="0.25">
      <c r="B156" s="11"/>
      <c r="C156" s="16" t="s">
        <v>365</v>
      </c>
      <c r="D156" s="16" t="s">
        <v>651</v>
      </c>
      <c r="E156" s="32">
        <v>-0.01</v>
      </c>
      <c r="F156" s="32"/>
      <c r="G156" s="32"/>
      <c r="H156" s="232"/>
    </row>
    <row r="157" spans="2:8" x14ac:dyDescent="0.25">
      <c r="B157" s="11"/>
      <c r="C157" s="16" t="s">
        <v>397</v>
      </c>
      <c r="D157" s="16" t="s">
        <v>652</v>
      </c>
      <c r="E157" s="32">
        <v>-0.02</v>
      </c>
      <c r="F157" s="32"/>
      <c r="G157" s="32"/>
      <c r="H157" s="232"/>
    </row>
    <row r="158" spans="2:8" x14ac:dyDescent="0.25">
      <c r="C158" s="16" t="s">
        <v>390</v>
      </c>
      <c r="D158" s="16" t="s">
        <v>653</v>
      </c>
      <c r="E158" s="32">
        <v>-0.01</v>
      </c>
      <c r="F158" s="32"/>
      <c r="G158" s="32"/>
      <c r="H158" s="232"/>
    </row>
    <row r="159" spans="2:8" x14ac:dyDescent="0.25">
      <c r="C159" s="16" t="s">
        <v>439</v>
      </c>
      <c r="D159" s="16" t="s">
        <v>654</v>
      </c>
      <c r="E159" s="32">
        <v>-0.02</v>
      </c>
      <c r="F159" s="32"/>
      <c r="G159" s="32"/>
      <c r="H159" s="232"/>
    </row>
    <row r="160" spans="2:8" x14ac:dyDescent="0.25">
      <c r="B160" s="11"/>
      <c r="C160" s="222"/>
      <c r="D160" s="222"/>
      <c r="E160" s="223"/>
      <c r="F160" s="223"/>
      <c r="G160" s="223"/>
    </row>
    <row r="161" spans="2:8" x14ac:dyDescent="0.25">
      <c r="C161" s="16"/>
      <c r="D161" s="16"/>
      <c r="E161" s="223"/>
      <c r="F161" s="223"/>
      <c r="G161" s="223"/>
    </row>
    <row r="162" spans="2:8" x14ac:dyDescent="0.25">
      <c r="C162" s="16"/>
      <c r="D162" s="16"/>
      <c r="E162" s="223"/>
      <c r="F162" s="223"/>
      <c r="G162" s="223"/>
    </row>
    <row r="163" spans="2:8" x14ac:dyDescent="0.25">
      <c r="B163" s="231" t="s">
        <v>440</v>
      </c>
      <c r="C163" s="222"/>
      <c r="D163" s="222"/>
      <c r="E163" s="223"/>
      <c r="F163" s="223"/>
      <c r="G163" s="223"/>
    </row>
    <row r="164" spans="2:8" x14ac:dyDescent="0.25">
      <c r="B164" s="233"/>
      <c r="C164" s="16" t="s">
        <v>365</v>
      </c>
      <c r="D164" s="16" t="s">
        <v>655</v>
      </c>
      <c r="E164" s="223">
        <v>-0.49</v>
      </c>
      <c r="F164" s="223"/>
      <c r="G164" s="223"/>
      <c r="H164" s="224"/>
    </row>
    <row r="165" spans="2:8" x14ac:dyDescent="0.25">
      <c r="B165" s="233"/>
      <c r="C165" s="16" t="s">
        <v>397</v>
      </c>
      <c r="D165" s="16" t="s">
        <v>656</v>
      </c>
      <c r="E165" s="223">
        <v>-2.06</v>
      </c>
      <c r="F165" s="223"/>
      <c r="G165" s="223"/>
      <c r="H165" s="224"/>
    </row>
    <row r="166" spans="2:8" x14ac:dyDescent="0.25">
      <c r="C166" s="16" t="s">
        <v>390</v>
      </c>
      <c r="D166" s="16" t="s">
        <v>657</v>
      </c>
      <c r="E166" s="223">
        <v>-0.49</v>
      </c>
      <c r="F166" s="223"/>
      <c r="G166" s="223"/>
      <c r="H166" s="224"/>
    </row>
    <row r="167" spans="2:8" x14ac:dyDescent="0.25">
      <c r="C167" s="16" t="s">
        <v>439</v>
      </c>
      <c r="D167" s="16" t="s">
        <v>658</v>
      </c>
      <c r="E167" s="223">
        <v>-2.06</v>
      </c>
      <c r="F167" s="223"/>
      <c r="G167" s="223"/>
      <c r="H167" s="224"/>
    </row>
    <row r="168" spans="2:8" x14ac:dyDescent="0.25">
      <c r="B168" s="231" t="s">
        <v>441</v>
      </c>
      <c r="C168" s="222"/>
      <c r="D168" s="222"/>
      <c r="E168" s="223"/>
      <c r="F168" s="223"/>
      <c r="G168" s="223"/>
    </row>
    <row r="169" spans="2:8" x14ac:dyDescent="0.25">
      <c r="B169" s="231"/>
      <c r="C169" s="16" t="s">
        <v>442</v>
      </c>
      <c r="D169" s="16" t="s">
        <v>662</v>
      </c>
      <c r="E169" s="223">
        <v>-1.3</v>
      </c>
      <c r="F169" s="223"/>
      <c r="G169" s="223"/>
      <c r="H169" s="224"/>
    </row>
    <row r="170" spans="2:8" x14ac:dyDescent="0.25">
      <c r="B170" s="231"/>
      <c r="C170" s="16" t="s">
        <v>443</v>
      </c>
      <c r="D170" s="16" t="s">
        <v>659</v>
      </c>
      <c r="E170" s="223">
        <v>-1.71</v>
      </c>
      <c r="F170" s="223"/>
      <c r="G170" s="223"/>
      <c r="H170" s="224"/>
    </row>
    <row r="171" spans="2:8" x14ac:dyDescent="0.25">
      <c r="C171" s="16" t="s">
        <v>390</v>
      </c>
      <c r="D171" s="16" t="s">
        <v>660</v>
      </c>
      <c r="E171" s="223">
        <v>-1.3</v>
      </c>
      <c r="F171" s="223"/>
      <c r="G171" s="223"/>
      <c r="H171" s="224"/>
    </row>
    <row r="172" spans="2:8" x14ac:dyDescent="0.25">
      <c r="C172" s="16" t="s">
        <v>439</v>
      </c>
      <c r="D172" s="16" t="s">
        <v>661</v>
      </c>
      <c r="E172" s="223">
        <v>-1.71</v>
      </c>
      <c r="F172" s="223"/>
      <c r="G172" s="223"/>
      <c r="H172" s="224"/>
    </row>
    <row r="173" spans="2:8" x14ac:dyDescent="0.25">
      <c r="B173" s="17" t="s">
        <v>444</v>
      </c>
      <c r="C173" s="222"/>
      <c r="D173" s="222"/>
      <c r="E173" s="223"/>
      <c r="F173" s="223"/>
      <c r="G173" s="223"/>
    </row>
    <row r="174" spans="2:8" x14ac:dyDescent="0.25">
      <c r="B174" s="11"/>
      <c r="C174" s="16" t="s">
        <v>364</v>
      </c>
      <c r="D174" s="16" t="s">
        <v>663</v>
      </c>
      <c r="E174" s="223">
        <v>0.68</v>
      </c>
      <c r="F174" s="223"/>
      <c r="G174" s="223"/>
      <c r="H174" s="224"/>
    </row>
    <row r="175" spans="2:8" x14ac:dyDescent="0.25">
      <c r="B175" s="11"/>
      <c r="C175" s="16" t="s">
        <v>365</v>
      </c>
      <c r="D175" s="16" t="s">
        <v>664</v>
      </c>
      <c r="E175" s="223">
        <v>0.68</v>
      </c>
      <c r="F175" s="223"/>
      <c r="G175" s="223"/>
      <c r="H175" s="224"/>
    </row>
    <row r="176" spans="2:8" x14ac:dyDescent="0.25">
      <c r="B176" s="11"/>
      <c r="C176" s="16" t="s">
        <v>397</v>
      </c>
      <c r="D176" s="16" t="s">
        <v>665</v>
      </c>
      <c r="E176" s="223">
        <v>0.68</v>
      </c>
      <c r="F176" s="223"/>
      <c r="G176" s="223"/>
      <c r="H176" s="224"/>
    </row>
    <row r="177" spans="2:8" x14ac:dyDescent="0.25">
      <c r="B177" s="11"/>
      <c r="C177" s="226" t="s">
        <v>398</v>
      </c>
      <c r="D177" s="16" t="s">
        <v>666</v>
      </c>
      <c r="E177" s="223">
        <v>0.68</v>
      </c>
      <c r="F177" s="223"/>
      <c r="G177" s="223"/>
      <c r="H177" s="224"/>
    </row>
    <row r="178" spans="2:8" x14ac:dyDescent="0.25">
      <c r="C178" s="16" t="s">
        <v>390</v>
      </c>
      <c r="D178" s="16" t="s">
        <v>667</v>
      </c>
      <c r="E178" s="223">
        <v>0.68</v>
      </c>
      <c r="F178" s="223"/>
      <c r="G178" s="223"/>
      <c r="H178" s="224"/>
    </row>
    <row r="179" spans="2:8" x14ac:dyDescent="0.25">
      <c r="C179" s="16" t="s">
        <v>439</v>
      </c>
      <c r="D179" s="16" t="s">
        <v>668</v>
      </c>
      <c r="E179" s="223">
        <v>0.68</v>
      </c>
      <c r="F179" s="223"/>
      <c r="G179" s="223"/>
      <c r="H179" s="224"/>
    </row>
    <row r="180" spans="2:8" x14ac:dyDescent="0.25">
      <c r="C180" s="16"/>
      <c r="D180" s="16"/>
      <c r="E180" s="223"/>
      <c r="F180" s="223"/>
      <c r="G180" s="223"/>
    </row>
    <row r="181" spans="2:8" x14ac:dyDescent="0.25">
      <c r="B181" t="s">
        <v>445</v>
      </c>
      <c r="C181" s="16"/>
      <c r="D181" s="16"/>
      <c r="E181" s="223"/>
      <c r="F181" s="223"/>
      <c r="G181" s="223"/>
    </row>
    <row r="182" spans="2:8" x14ac:dyDescent="0.25">
      <c r="C182" s="16" t="s">
        <v>393</v>
      </c>
      <c r="D182" s="16" t="s">
        <v>669</v>
      </c>
      <c r="E182" s="227">
        <v>2.0300000000000001E-3</v>
      </c>
      <c r="F182" s="223"/>
      <c r="G182" s="227"/>
      <c r="H182" s="228"/>
    </row>
    <row r="183" spans="2:8" x14ac:dyDescent="0.25">
      <c r="C183" s="16" t="s">
        <v>388</v>
      </c>
      <c r="D183" s="16" t="s">
        <v>670</v>
      </c>
      <c r="E183" s="227">
        <v>2.0300000000000001E-3</v>
      </c>
      <c r="F183" s="223"/>
      <c r="G183" s="227"/>
      <c r="H183" s="228"/>
    </row>
    <row r="184" spans="2:8" x14ac:dyDescent="0.25">
      <c r="C184" s="16" t="s">
        <v>366</v>
      </c>
      <c r="D184" s="16" t="s">
        <v>671</v>
      </c>
      <c r="E184" s="227">
        <v>2.0300000000000001E-3</v>
      </c>
      <c r="F184" s="223"/>
      <c r="G184" s="227"/>
      <c r="H184" s="228"/>
    </row>
    <row r="185" spans="2:8" x14ac:dyDescent="0.25">
      <c r="C185" s="16" t="s">
        <v>395</v>
      </c>
      <c r="D185" s="16" t="s">
        <v>672</v>
      </c>
      <c r="E185" s="227">
        <v>2.0300000000000001E-3</v>
      </c>
      <c r="F185" s="223"/>
      <c r="G185" s="227"/>
      <c r="H185" s="228"/>
    </row>
    <row r="186" spans="2:8" x14ac:dyDescent="0.25">
      <c r="C186" s="16" t="s">
        <v>390</v>
      </c>
      <c r="D186" s="16" t="s">
        <v>673</v>
      </c>
      <c r="E186" s="227">
        <v>2.0300000000000001E-3</v>
      </c>
      <c r="F186" s="223"/>
      <c r="G186" s="227"/>
      <c r="H186" s="228"/>
    </row>
    <row r="187" spans="2:8" x14ac:dyDescent="0.25">
      <c r="C187" s="16" t="s">
        <v>373</v>
      </c>
      <c r="D187" s="16" t="s">
        <v>674</v>
      </c>
      <c r="E187" s="227">
        <v>2.0300000000000001E-3</v>
      </c>
      <c r="F187" s="223"/>
      <c r="G187" s="227"/>
      <c r="H187" s="228"/>
    </row>
    <row r="188" spans="2:8" x14ac:dyDescent="0.25">
      <c r="B188" t="s">
        <v>446</v>
      </c>
      <c r="C188" s="16"/>
      <c r="D188" s="16"/>
      <c r="E188" s="223"/>
      <c r="F188" s="223"/>
      <c r="G188" s="223"/>
    </row>
    <row r="189" spans="2:8" x14ac:dyDescent="0.25">
      <c r="C189" s="16" t="s">
        <v>393</v>
      </c>
      <c r="D189" s="16" t="s">
        <v>680</v>
      </c>
      <c r="E189" s="227">
        <v>-1.0200000000000001E-3</v>
      </c>
      <c r="F189" s="223"/>
      <c r="G189" s="227"/>
      <c r="H189" s="228"/>
    </row>
    <row r="190" spans="2:8" x14ac:dyDescent="0.25">
      <c r="C190" s="16" t="s">
        <v>388</v>
      </c>
      <c r="D190" s="16" t="s">
        <v>675</v>
      </c>
      <c r="E190" s="227">
        <v>-1.0200000000000001E-3</v>
      </c>
      <c r="F190" s="223"/>
      <c r="G190" s="227"/>
      <c r="H190" s="228"/>
    </row>
    <row r="191" spans="2:8" x14ac:dyDescent="0.25">
      <c r="C191" s="16" t="s">
        <v>366</v>
      </c>
      <c r="D191" s="16" t="s">
        <v>676</v>
      </c>
      <c r="E191" s="227">
        <v>-1.0200000000000001E-3</v>
      </c>
      <c r="F191" s="223"/>
      <c r="G191" s="227"/>
      <c r="H191" s="228"/>
    </row>
    <row r="192" spans="2:8" x14ac:dyDescent="0.25">
      <c r="C192" s="16" t="s">
        <v>395</v>
      </c>
      <c r="D192" s="16" t="s">
        <v>677</v>
      </c>
      <c r="E192" s="227">
        <v>-1.0200000000000001E-3</v>
      </c>
      <c r="F192" s="223"/>
      <c r="G192" s="227"/>
      <c r="H192" s="228"/>
    </row>
    <row r="193" spans="2:8" x14ac:dyDescent="0.25">
      <c r="C193" s="16" t="s">
        <v>390</v>
      </c>
      <c r="D193" s="16" t="s">
        <v>678</v>
      </c>
      <c r="E193" s="227">
        <v>-1.0200000000000001E-3</v>
      </c>
      <c r="F193" s="223"/>
      <c r="G193" s="227"/>
      <c r="H193" s="228"/>
    </row>
    <row r="194" spans="2:8" x14ac:dyDescent="0.25">
      <c r="C194" s="16" t="s">
        <v>447</v>
      </c>
      <c r="D194" s="16" t="s">
        <v>679</v>
      </c>
      <c r="E194" s="227">
        <v>-1.0200000000000001E-3</v>
      </c>
      <c r="F194" s="223"/>
      <c r="G194" s="227"/>
      <c r="H194" s="228"/>
    </row>
    <row r="195" spans="2:8" x14ac:dyDescent="0.25">
      <c r="C195" s="16"/>
      <c r="D195" s="16"/>
      <c r="E195" s="223"/>
      <c r="F195" s="223"/>
      <c r="G195" s="223"/>
    </row>
    <row r="196" spans="2:8" x14ac:dyDescent="0.25">
      <c r="B196" s="219" t="s">
        <v>448</v>
      </c>
      <c r="C196" s="222"/>
      <c r="D196" s="222"/>
      <c r="E196" s="223"/>
      <c r="F196" s="223"/>
      <c r="G196" s="223"/>
    </row>
    <row r="197" spans="2:8" x14ac:dyDescent="0.25">
      <c r="B197" s="17" t="s">
        <v>349</v>
      </c>
      <c r="C197" s="222"/>
      <c r="D197" s="222"/>
      <c r="E197" s="223"/>
      <c r="F197" s="223"/>
      <c r="G197" s="223"/>
    </row>
    <row r="198" spans="2:8" x14ac:dyDescent="0.25">
      <c r="C198" s="16" t="s">
        <v>388</v>
      </c>
      <c r="D198" s="16" t="s">
        <v>681</v>
      </c>
      <c r="E198" s="223">
        <v>19.52</v>
      </c>
      <c r="F198" s="223"/>
      <c r="G198" s="223"/>
      <c r="H198" s="224"/>
    </row>
    <row r="199" spans="2:8" x14ac:dyDescent="0.25">
      <c r="C199" s="226" t="s">
        <v>399</v>
      </c>
      <c r="D199" s="226" t="s">
        <v>682</v>
      </c>
      <c r="E199" s="223">
        <v>19.52</v>
      </c>
      <c r="F199" s="223"/>
      <c r="G199" s="223"/>
      <c r="H199" s="224"/>
    </row>
    <row r="200" spans="2:8" x14ac:dyDescent="0.25">
      <c r="B200" s="17" t="s">
        <v>343</v>
      </c>
      <c r="C200" s="222"/>
      <c r="D200" s="222"/>
      <c r="E200" s="223"/>
      <c r="F200" s="223"/>
      <c r="G200" s="223"/>
    </row>
    <row r="201" spans="2:8" x14ac:dyDescent="0.25">
      <c r="C201" s="16" t="s">
        <v>388</v>
      </c>
      <c r="D201" s="16" t="s">
        <v>683</v>
      </c>
      <c r="E201" s="227">
        <v>1.042E-2</v>
      </c>
      <c r="F201" s="223"/>
      <c r="G201" s="227"/>
      <c r="H201" s="228"/>
    </row>
    <row r="202" spans="2:8" x14ac:dyDescent="0.25">
      <c r="C202" s="226" t="s">
        <v>375</v>
      </c>
      <c r="D202" s="226" t="s">
        <v>684</v>
      </c>
      <c r="E202" s="227">
        <v>1.584E-2</v>
      </c>
      <c r="F202" s="223"/>
      <c r="G202" s="227"/>
      <c r="H202" s="228"/>
    </row>
    <row r="203" spans="2:8" x14ac:dyDescent="0.25">
      <c r="C203" s="226" t="s">
        <v>378</v>
      </c>
      <c r="D203" s="226" t="s">
        <v>685</v>
      </c>
      <c r="E203" s="227">
        <v>8.4700000000000001E-3</v>
      </c>
      <c r="F203" s="223"/>
      <c r="G203" s="227"/>
      <c r="H203" s="228"/>
    </row>
    <row r="204" spans="2:8" x14ac:dyDescent="0.25">
      <c r="B204" s="17" t="s">
        <v>449</v>
      </c>
      <c r="C204" s="222"/>
      <c r="D204" s="226"/>
      <c r="E204" s="223"/>
      <c r="F204" s="223"/>
      <c r="G204" s="223"/>
    </row>
    <row r="205" spans="2:8" x14ac:dyDescent="0.25">
      <c r="C205" s="16" t="s">
        <v>388</v>
      </c>
      <c r="D205" s="226" t="s">
        <v>686</v>
      </c>
      <c r="E205" s="223">
        <v>11.88</v>
      </c>
      <c r="F205" s="223"/>
      <c r="G205" s="223"/>
      <c r="H205" s="224"/>
    </row>
    <row r="206" spans="2:8" x14ac:dyDescent="0.25">
      <c r="C206" s="226" t="s">
        <v>450</v>
      </c>
      <c r="D206" s="226" t="s">
        <v>687</v>
      </c>
      <c r="E206" s="223">
        <v>3.77</v>
      </c>
      <c r="F206" s="223"/>
      <c r="G206" s="223"/>
      <c r="H206" s="224"/>
    </row>
    <row r="207" spans="2:8" x14ac:dyDescent="0.25">
      <c r="C207" s="226" t="s">
        <v>451</v>
      </c>
      <c r="D207" s="226" t="s">
        <v>688</v>
      </c>
      <c r="E207" s="223">
        <v>8.08</v>
      </c>
      <c r="F207" s="223"/>
      <c r="G207" s="223"/>
      <c r="H207" s="224"/>
    </row>
    <row r="208" spans="2:8" x14ac:dyDescent="0.25">
      <c r="C208" s="226"/>
      <c r="D208" s="226"/>
      <c r="E208" s="223"/>
      <c r="F208" s="223"/>
      <c r="G208" s="223"/>
    </row>
    <row r="209" spans="2:8" x14ac:dyDescent="0.25">
      <c r="B209" s="219" t="s">
        <v>445</v>
      </c>
      <c r="C209" s="226"/>
      <c r="D209" s="226"/>
      <c r="E209" s="223"/>
      <c r="F209" s="223"/>
      <c r="G209" s="223"/>
    </row>
    <row r="210" spans="2:8" x14ac:dyDescent="0.25">
      <c r="C210" s="226" t="s">
        <v>388</v>
      </c>
      <c r="D210" s="226" t="s">
        <v>689</v>
      </c>
      <c r="E210" s="227">
        <v>2.0300000000000001E-3</v>
      </c>
      <c r="F210" s="223"/>
      <c r="G210" s="227"/>
      <c r="H210" s="228"/>
    </row>
    <row r="211" spans="2:8" x14ac:dyDescent="0.25">
      <c r="C211" s="226" t="s">
        <v>390</v>
      </c>
      <c r="D211" s="226" t="s">
        <v>690</v>
      </c>
      <c r="E211" s="227">
        <v>2.0300000000000001E-3</v>
      </c>
      <c r="F211" s="223"/>
      <c r="G211" s="227"/>
      <c r="H211" s="228"/>
    </row>
    <row r="212" spans="2:8" x14ac:dyDescent="0.25">
      <c r="C212" s="226"/>
      <c r="D212" s="226"/>
      <c r="E212" s="223"/>
      <c r="F212" s="223"/>
      <c r="G212" s="223"/>
    </row>
    <row r="213" spans="2:8" x14ac:dyDescent="0.25">
      <c r="B213" s="219" t="s">
        <v>446</v>
      </c>
      <c r="C213" s="226"/>
      <c r="D213" s="226"/>
      <c r="E213" s="223"/>
      <c r="F213" s="223"/>
      <c r="G213" s="223"/>
    </row>
    <row r="214" spans="2:8" x14ac:dyDescent="0.25">
      <c r="C214" s="226" t="s">
        <v>388</v>
      </c>
      <c r="D214" s="226" t="s">
        <v>691</v>
      </c>
      <c r="E214" s="227">
        <v>-1.0200000000000001E-3</v>
      </c>
      <c r="F214" s="223"/>
      <c r="G214" s="227"/>
      <c r="H214" s="228"/>
    </row>
    <row r="215" spans="2:8" x14ac:dyDescent="0.25">
      <c r="C215" s="226" t="s">
        <v>390</v>
      </c>
      <c r="D215" s="226" t="s">
        <v>692</v>
      </c>
      <c r="E215" s="227">
        <v>-1.0200000000000001E-3</v>
      </c>
      <c r="F215" s="223"/>
      <c r="G215" s="227"/>
      <c r="H215" s="228"/>
    </row>
    <row r="216" spans="2:8" x14ac:dyDescent="0.25">
      <c r="C216" s="226"/>
      <c r="D216" s="226"/>
      <c r="E216" s="223"/>
      <c r="F216" s="223"/>
      <c r="G216" s="223"/>
    </row>
    <row r="217" spans="2:8" x14ac:dyDescent="0.25">
      <c r="B217" s="231" t="s">
        <v>452</v>
      </c>
      <c r="C217" s="226"/>
      <c r="D217" s="226"/>
      <c r="E217" s="223"/>
      <c r="F217" s="223"/>
      <c r="G217" s="223"/>
    </row>
    <row r="218" spans="2:8" x14ac:dyDescent="0.25">
      <c r="C218" s="16" t="s">
        <v>388</v>
      </c>
      <c r="D218" s="16" t="s">
        <v>693</v>
      </c>
      <c r="E218" s="223">
        <v>0.68</v>
      </c>
      <c r="F218" s="223"/>
      <c r="G218" s="223"/>
      <c r="H218" s="224"/>
    </row>
    <row r="219" spans="2:8" x14ac:dyDescent="0.25">
      <c r="C219" s="226" t="s">
        <v>399</v>
      </c>
      <c r="D219" s="16" t="s">
        <v>694</v>
      </c>
      <c r="E219" s="223">
        <v>0.68</v>
      </c>
      <c r="F219" s="223"/>
      <c r="G219" s="223"/>
      <c r="H219" s="224"/>
    </row>
    <row r="220" spans="2:8" x14ac:dyDescent="0.25">
      <c r="B220" s="17" t="s">
        <v>387</v>
      </c>
      <c r="C220" s="222"/>
      <c r="D220" s="222"/>
      <c r="E220" s="223"/>
      <c r="F220" s="223"/>
      <c r="G220" s="223"/>
    </row>
    <row r="221" spans="2:8" x14ac:dyDescent="0.25">
      <c r="C221" s="16" t="s">
        <v>388</v>
      </c>
      <c r="D221" s="16" t="s">
        <v>695</v>
      </c>
      <c r="E221" s="32">
        <v>-0.01</v>
      </c>
      <c r="F221" s="32"/>
      <c r="G221" s="32"/>
      <c r="H221" s="232"/>
    </row>
    <row r="222" spans="2:8" x14ac:dyDescent="0.25">
      <c r="C222" s="226" t="s">
        <v>399</v>
      </c>
      <c r="D222" s="16" t="s">
        <v>696</v>
      </c>
      <c r="E222" s="32">
        <v>-0.01</v>
      </c>
      <c r="F222" s="32"/>
      <c r="G222" s="32"/>
      <c r="H222" s="232"/>
    </row>
    <row r="223" spans="2:8" x14ac:dyDescent="0.25">
      <c r="B223" s="219" t="s">
        <v>453</v>
      </c>
      <c r="C223" s="226"/>
      <c r="D223" s="226"/>
      <c r="E223" s="223"/>
      <c r="F223" s="223"/>
      <c r="G223" s="223"/>
    </row>
    <row r="224" spans="2:8" x14ac:dyDescent="0.25">
      <c r="B224" s="219" t="s">
        <v>349</v>
      </c>
      <c r="C224" s="226"/>
      <c r="D224" s="226"/>
      <c r="E224" s="223"/>
      <c r="F224" s="223"/>
      <c r="G224" s="223"/>
    </row>
    <row r="225" spans="2:8" x14ac:dyDescent="0.25">
      <c r="C225" s="226" t="s">
        <v>454</v>
      </c>
      <c r="D225" s="16" t="s">
        <v>702</v>
      </c>
      <c r="E225" s="223">
        <v>83.9</v>
      </c>
      <c r="F225" s="223"/>
      <c r="G225" s="223"/>
      <c r="H225" s="224"/>
    </row>
    <row r="226" spans="2:8" x14ac:dyDescent="0.25">
      <c r="C226" s="226" t="s">
        <v>400</v>
      </c>
      <c r="D226" s="226" t="s">
        <v>703</v>
      </c>
      <c r="E226" s="223">
        <v>83.9</v>
      </c>
      <c r="F226" s="223"/>
      <c r="G226" s="223"/>
      <c r="H226" s="224"/>
    </row>
    <row r="227" spans="2:8" x14ac:dyDescent="0.25">
      <c r="C227" s="226"/>
      <c r="D227" s="222"/>
      <c r="E227" s="223"/>
      <c r="F227" s="223"/>
      <c r="G227" s="223"/>
    </row>
    <row r="228" spans="2:8" x14ac:dyDescent="0.25">
      <c r="B228" s="219" t="s">
        <v>343</v>
      </c>
      <c r="C228" s="226" t="s">
        <v>454</v>
      </c>
      <c r="D228" s="16" t="s">
        <v>697</v>
      </c>
      <c r="E228" s="227">
        <v>1.1509999999999999E-2</v>
      </c>
      <c r="F228" s="223"/>
      <c r="G228" s="227"/>
      <c r="H228" s="228"/>
    </row>
    <row r="229" spans="2:8" x14ac:dyDescent="0.25">
      <c r="C229" s="226" t="s">
        <v>455</v>
      </c>
      <c r="D229" s="226" t="s">
        <v>704</v>
      </c>
      <c r="E229" s="227">
        <v>1.3860000000000001E-2</v>
      </c>
      <c r="F229" s="223"/>
      <c r="G229" s="227"/>
      <c r="H229" s="228"/>
    </row>
    <row r="230" spans="2:8" x14ac:dyDescent="0.25">
      <c r="C230" s="226" t="s">
        <v>456</v>
      </c>
      <c r="D230" s="226" t="s">
        <v>705</v>
      </c>
      <c r="E230" s="227">
        <v>1.078E-2</v>
      </c>
      <c r="F230" s="223"/>
      <c r="G230" s="227"/>
      <c r="H230" s="228"/>
    </row>
    <row r="231" spans="2:8" x14ac:dyDescent="0.25">
      <c r="C231" s="226"/>
      <c r="D231" s="226"/>
      <c r="E231" s="223"/>
      <c r="F231" s="223"/>
      <c r="G231" s="223"/>
    </row>
    <row r="232" spans="2:8" x14ac:dyDescent="0.25">
      <c r="B232" s="219" t="s">
        <v>449</v>
      </c>
      <c r="C232" s="226" t="s">
        <v>454</v>
      </c>
      <c r="D232" s="226" t="s">
        <v>698</v>
      </c>
      <c r="E232" s="223">
        <v>9.2899999999999991</v>
      </c>
      <c r="F232" s="223"/>
      <c r="G232" s="223"/>
      <c r="H232" s="224"/>
    </row>
    <row r="233" spans="2:8" x14ac:dyDescent="0.25">
      <c r="C233" s="226" t="s">
        <v>457</v>
      </c>
      <c r="D233" s="226" t="s">
        <v>706</v>
      </c>
      <c r="E233" s="223">
        <v>2.95</v>
      </c>
      <c r="F233" s="223"/>
      <c r="G233" s="223"/>
      <c r="H233" s="224"/>
    </row>
    <row r="234" spans="2:8" x14ac:dyDescent="0.25">
      <c r="C234" s="226" t="s">
        <v>458</v>
      </c>
      <c r="D234" s="226" t="s">
        <v>707</v>
      </c>
      <c r="E234" s="223">
        <v>6.31</v>
      </c>
      <c r="F234" s="223"/>
      <c r="G234" s="223"/>
      <c r="H234" s="224"/>
    </row>
    <row r="235" spans="2:8" x14ac:dyDescent="0.25">
      <c r="C235" s="226"/>
      <c r="D235" s="226"/>
      <c r="E235" s="223"/>
      <c r="F235" s="223"/>
      <c r="G235" s="223"/>
    </row>
    <row r="236" spans="2:8" x14ac:dyDescent="0.25">
      <c r="B236" s="219" t="s">
        <v>445</v>
      </c>
      <c r="C236" s="226"/>
      <c r="D236" s="226"/>
      <c r="E236" s="223"/>
      <c r="F236" s="223"/>
      <c r="G236" s="223"/>
    </row>
    <row r="237" spans="2:8" x14ac:dyDescent="0.25">
      <c r="C237" s="226" t="s">
        <v>366</v>
      </c>
      <c r="D237" s="226" t="s">
        <v>699</v>
      </c>
      <c r="E237" s="227">
        <v>2.0300000000000001E-3</v>
      </c>
      <c r="F237" s="223"/>
      <c r="G237" s="227"/>
      <c r="H237" s="228"/>
    </row>
    <row r="238" spans="2:8" x14ac:dyDescent="0.25">
      <c r="C238" s="226" t="s">
        <v>373</v>
      </c>
      <c r="D238" s="226" t="s">
        <v>708</v>
      </c>
      <c r="E238" s="227">
        <v>2.0300000000000001E-3</v>
      </c>
      <c r="F238" s="223"/>
      <c r="G238" s="227"/>
      <c r="H238" s="228"/>
    </row>
    <row r="239" spans="2:8" x14ac:dyDescent="0.25">
      <c r="B239" s="219" t="s">
        <v>446</v>
      </c>
      <c r="C239" s="226"/>
      <c r="D239" s="226"/>
      <c r="E239" s="223"/>
      <c r="F239" s="223"/>
      <c r="G239" s="223"/>
    </row>
    <row r="240" spans="2:8" x14ac:dyDescent="0.25">
      <c r="C240" s="226" t="s">
        <v>366</v>
      </c>
      <c r="D240" s="226" t="s">
        <v>700</v>
      </c>
      <c r="E240" s="227">
        <v>-1.0200000000000001E-3</v>
      </c>
      <c r="F240" s="223"/>
      <c r="G240" s="227"/>
      <c r="H240" s="228"/>
    </row>
    <row r="241" spans="2:8" x14ac:dyDescent="0.25">
      <c r="C241" s="226" t="s">
        <v>373</v>
      </c>
      <c r="D241" s="226" t="s">
        <v>709</v>
      </c>
      <c r="E241" s="227">
        <v>-1.0200000000000001E-3</v>
      </c>
      <c r="F241" s="223"/>
      <c r="G241" s="227"/>
      <c r="H241" s="228"/>
    </row>
    <row r="242" spans="2:8" x14ac:dyDescent="0.25">
      <c r="C242" s="226"/>
      <c r="E242" s="223"/>
      <c r="F242" s="223"/>
      <c r="G242" s="223"/>
    </row>
    <row r="243" spans="2:8" x14ac:dyDescent="0.25">
      <c r="B243" s="219" t="s">
        <v>452</v>
      </c>
      <c r="C243" s="226" t="s">
        <v>454</v>
      </c>
      <c r="D243" s="16" t="s">
        <v>701</v>
      </c>
      <c r="E243" s="223">
        <v>0.68</v>
      </c>
      <c r="F243" s="223"/>
      <c r="G243" s="223"/>
      <c r="H243" s="224"/>
    </row>
    <row r="244" spans="2:8" x14ac:dyDescent="0.25">
      <c r="C244" s="226" t="s">
        <v>400</v>
      </c>
      <c r="D244" s="16" t="s">
        <v>710</v>
      </c>
      <c r="E244" s="223">
        <v>0.68</v>
      </c>
      <c r="F244" s="223"/>
      <c r="G244" s="223"/>
      <c r="H244" s="224"/>
    </row>
    <row r="245" spans="2:8" x14ac:dyDescent="0.25">
      <c r="C245" s="226"/>
      <c r="E245" s="223"/>
      <c r="F245" s="223"/>
      <c r="G245" s="223"/>
    </row>
    <row r="246" spans="2:8" x14ac:dyDescent="0.25">
      <c r="B246" s="219" t="s">
        <v>459</v>
      </c>
      <c r="C246" s="222"/>
      <c r="E246" s="223"/>
      <c r="F246" s="223"/>
      <c r="G246" s="223"/>
    </row>
    <row r="247" spans="2:8" x14ac:dyDescent="0.25">
      <c r="B247" s="17" t="s">
        <v>349</v>
      </c>
      <c r="C247" s="222"/>
      <c r="D247" s="222"/>
      <c r="E247" s="223"/>
      <c r="F247" s="223"/>
      <c r="G247" s="223"/>
    </row>
    <row r="248" spans="2:8" x14ac:dyDescent="0.25">
      <c r="B248" s="11"/>
      <c r="C248" s="16" t="s">
        <v>460</v>
      </c>
      <c r="D248" s="16" t="s">
        <v>621</v>
      </c>
      <c r="E248" s="223">
        <v>20.350000000000001</v>
      </c>
      <c r="F248" s="223"/>
      <c r="G248" s="223"/>
      <c r="H248" s="224"/>
    </row>
    <row r="249" spans="2:8" x14ac:dyDescent="0.25">
      <c r="C249" s="226" t="s">
        <v>390</v>
      </c>
      <c r="D249" s="16" t="s">
        <v>622</v>
      </c>
      <c r="E249" s="223">
        <v>20.350000000000001</v>
      </c>
      <c r="F249" s="223"/>
      <c r="G249" s="223"/>
      <c r="H249" s="224"/>
    </row>
    <row r="250" spans="2:8" x14ac:dyDescent="0.25">
      <c r="B250" s="17" t="s">
        <v>401</v>
      </c>
      <c r="C250" s="222"/>
      <c r="D250" s="16"/>
      <c r="E250" s="223"/>
      <c r="F250" s="223"/>
      <c r="G250" s="223"/>
    </row>
    <row r="251" spans="2:8" x14ac:dyDescent="0.25">
      <c r="B251" s="11"/>
      <c r="C251" s="16" t="s">
        <v>388</v>
      </c>
      <c r="D251" s="16" t="s">
        <v>612</v>
      </c>
      <c r="E251" s="227">
        <v>1.042E-2</v>
      </c>
      <c r="F251" s="223"/>
      <c r="G251" s="227"/>
      <c r="H251" s="228"/>
    </row>
    <row r="252" spans="2:8" x14ac:dyDescent="0.25">
      <c r="C252" s="226" t="s">
        <v>403</v>
      </c>
      <c r="D252" s="16" t="s">
        <v>623</v>
      </c>
      <c r="E252" s="227">
        <v>1.584E-2</v>
      </c>
      <c r="F252" s="223"/>
      <c r="G252" s="227"/>
      <c r="H252" s="228"/>
    </row>
    <row r="253" spans="2:8" x14ac:dyDescent="0.25">
      <c r="C253" s="226" t="s">
        <v>406</v>
      </c>
      <c r="D253" s="16" t="s">
        <v>624</v>
      </c>
      <c r="E253" s="227">
        <v>8.4700000000000001E-3</v>
      </c>
      <c r="F253" s="223"/>
      <c r="G253" s="227"/>
      <c r="H253" s="228"/>
    </row>
    <row r="254" spans="2:8" x14ac:dyDescent="0.25">
      <c r="B254" s="17" t="s">
        <v>408</v>
      </c>
      <c r="C254" s="222"/>
      <c r="D254" s="16"/>
      <c r="E254" s="223"/>
      <c r="F254" s="223"/>
      <c r="G254" s="223"/>
    </row>
    <row r="255" spans="2:8" x14ac:dyDescent="0.25">
      <c r="B255" s="17"/>
      <c r="C255" s="226" t="s">
        <v>461</v>
      </c>
      <c r="D255" s="16" t="s">
        <v>613</v>
      </c>
      <c r="E255" s="227">
        <v>8.5699999999999995E-3</v>
      </c>
      <c r="F255" s="223"/>
      <c r="G255" s="227"/>
      <c r="H255" s="228"/>
    </row>
    <row r="256" spans="2:8" x14ac:dyDescent="0.25">
      <c r="C256" s="226" t="s">
        <v>403</v>
      </c>
      <c r="D256" s="16" t="s">
        <v>625</v>
      </c>
      <c r="E256" s="227">
        <v>8.5699999999999995E-3</v>
      </c>
      <c r="F256" s="223"/>
      <c r="G256" s="227"/>
      <c r="H256" s="228"/>
    </row>
    <row r="257" spans="2:8" x14ac:dyDescent="0.25">
      <c r="C257" s="226" t="s">
        <v>406</v>
      </c>
      <c r="D257" s="16" t="s">
        <v>626</v>
      </c>
      <c r="E257" s="227">
        <v>8.5699999999999995E-3</v>
      </c>
      <c r="F257" s="223"/>
      <c r="G257" s="227"/>
      <c r="H257" s="228"/>
    </row>
    <row r="258" spans="2:8" x14ac:dyDescent="0.25">
      <c r="B258" s="17" t="s">
        <v>412</v>
      </c>
      <c r="C258" s="222"/>
      <c r="D258" s="16"/>
      <c r="E258" s="223"/>
      <c r="F258" s="223"/>
      <c r="G258" s="223"/>
    </row>
    <row r="259" spans="2:8" x14ac:dyDescent="0.25">
      <c r="B259" s="11"/>
      <c r="C259" s="16" t="s">
        <v>388</v>
      </c>
      <c r="D259" s="16" t="s">
        <v>614</v>
      </c>
      <c r="E259" s="223">
        <v>11.88</v>
      </c>
      <c r="F259" s="223"/>
      <c r="G259" s="223"/>
      <c r="H259" s="224"/>
    </row>
    <row r="260" spans="2:8" x14ac:dyDescent="0.25">
      <c r="C260" s="226" t="s">
        <v>462</v>
      </c>
      <c r="D260" s="16" t="s">
        <v>627</v>
      </c>
      <c r="E260" s="223">
        <v>3.77</v>
      </c>
      <c r="F260" s="223"/>
      <c r="G260" s="223"/>
      <c r="H260" s="224"/>
    </row>
    <row r="261" spans="2:8" x14ac:dyDescent="0.25">
      <c r="C261" s="226" t="s">
        <v>463</v>
      </c>
      <c r="D261" s="16" t="s">
        <v>628</v>
      </c>
      <c r="E261" s="223">
        <v>8.08</v>
      </c>
      <c r="F261" s="223"/>
      <c r="G261" s="223"/>
      <c r="H261" s="224"/>
    </row>
    <row r="262" spans="2:8" x14ac:dyDescent="0.25">
      <c r="B262" s="17" t="s">
        <v>419</v>
      </c>
      <c r="C262" s="222"/>
      <c r="D262" s="16"/>
      <c r="E262" s="223"/>
      <c r="F262" s="223"/>
      <c r="G262" s="223"/>
    </row>
    <row r="263" spans="2:8" x14ac:dyDescent="0.25">
      <c r="B263" s="17"/>
      <c r="C263" s="226" t="s">
        <v>464</v>
      </c>
      <c r="D263" s="16" t="s">
        <v>615</v>
      </c>
      <c r="E263" s="223">
        <v>1.33</v>
      </c>
      <c r="F263" s="223"/>
      <c r="G263" s="223"/>
      <c r="H263" s="224"/>
    </row>
    <row r="264" spans="2:8" x14ac:dyDescent="0.25">
      <c r="B264" s="17"/>
      <c r="C264" s="226" t="s">
        <v>465</v>
      </c>
      <c r="D264" s="16" t="s">
        <v>616</v>
      </c>
      <c r="E264" s="223">
        <v>1.43</v>
      </c>
      <c r="F264" s="223"/>
      <c r="G264" s="223"/>
      <c r="H264" s="224"/>
    </row>
    <row r="265" spans="2:8" x14ac:dyDescent="0.25">
      <c r="B265" s="17"/>
      <c r="C265" s="226" t="s">
        <v>466</v>
      </c>
      <c r="D265" s="16" t="s">
        <v>617</v>
      </c>
      <c r="E265" s="223">
        <v>0.56000000000000005</v>
      </c>
      <c r="F265" s="223"/>
      <c r="G265" s="223"/>
      <c r="H265" s="224"/>
    </row>
    <row r="266" spans="2:8" x14ac:dyDescent="0.25">
      <c r="C266" s="226" t="s">
        <v>467</v>
      </c>
      <c r="D266" s="16" t="s">
        <v>629</v>
      </c>
      <c r="E266" s="223">
        <v>1.33</v>
      </c>
      <c r="F266" s="223"/>
      <c r="G266" s="223"/>
      <c r="H266" s="224"/>
    </row>
    <row r="267" spans="2:8" x14ac:dyDescent="0.25">
      <c r="C267" s="226" t="s">
        <v>468</v>
      </c>
      <c r="D267" s="16" t="s">
        <v>630</v>
      </c>
      <c r="E267" s="223">
        <v>1.43</v>
      </c>
      <c r="F267" s="223"/>
      <c r="G267" s="223"/>
      <c r="H267" s="224"/>
    </row>
    <row r="268" spans="2:8" x14ac:dyDescent="0.25">
      <c r="C268" s="226" t="s">
        <v>469</v>
      </c>
      <c r="D268" s="16" t="s">
        <v>631</v>
      </c>
      <c r="E268" s="223">
        <v>0.56000000000000005</v>
      </c>
      <c r="F268" s="223"/>
      <c r="G268" s="223"/>
      <c r="H268" s="224"/>
    </row>
    <row r="269" spans="2:8" x14ac:dyDescent="0.25">
      <c r="C269" s="226"/>
      <c r="D269" s="16"/>
      <c r="E269" s="223"/>
      <c r="F269" s="223"/>
      <c r="G269" s="223"/>
    </row>
    <row r="270" spans="2:8" x14ac:dyDescent="0.25">
      <c r="B270" s="219" t="s">
        <v>445</v>
      </c>
      <c r="C270" s="226"/>
      <c r="D270" s="16"/>
      <c r="E270" s="223"/>
      <c r="F270" s="223"/>
      <c r="G270" s="223"/>
    </row>
    <row r="271" spans="2:8" x14ac:dyDescent="0.25">
      <c r="C271" s="226" t="s">
        <v>388</v>
      </c>
      <c r="D271" s="16" t="s">
        <v>618</v>
      </c>
      <c r="E271" s="227">
        <v>2.0300000000000001E-3</v>
      </c>
      <c r="F271" s="223"/>
      <c r="G271" s="227"/>
      <c r="H271" s="228"/>
    </row>
    <row r="272" spans="2:8" x14ac:dyDescent="0.25">
      <c r="C272" s="226" t="s">
        <v>390</v>
      </c>
      <c r="D272" s="16" t="s">
        <v>922</v>
      </c>
      <c r="E272" s="227">
        <v>2.0300000000000001E-3</v>
      </c>
      <c r="F272" s="223"/>
      <c r="G272" s="227"/>
      <c r="H272" s="228"/>
    </row>
    <row r="273" spans="2:8" x14ac:dyDescent="0.25">
      <c r="C273" s="226"/>
      <c r="D273" s="16"/>
      <c r="E273" s="223"/>
      <c r="F273" s="223"/>
      <c r="G273" s="223"/>
    </row>
    <row r="274" spans="2:8" x14ac:dyDescent="0.25">
      <c r="B274" s="219" t="s">
        <v>446</v>
      </c>
      <c r="C274" s="226"/>
      <c r="E274" s="223"/>
      <c r="F274" s="223"/>
      <c r="G274" s="223"/>
    </row>
    <row r="275" spans="2:8" x14ac:dyDescent="0.25">
      <c r="C275" s="226" t="s">
        <v>388</v>
      </c>
      <c r="D275" s="16" t="s">
        <v>619</v>
      </c>
      <c r="E275" s="227">
        <v>-1.0200000000000001E-3</v>
      </c>
      <c r="F275" s="223"/>
      <c r="G275" s="227"/>
      <c r="H275" s="228"/>
    </row>
    <row r="276" spans="2:8" x14ac:dyDescent="0.25">
      <c r="C276" s="226" t="s">
        <v>390</v>
      </c>
      <c r="D276" s="16" t="s">
        <v>921</v>
      </c>
      <c r="E276" s="227">
        <v>-1.0200000000000001E-3</v>
      </c>
      <c r="F276" s="223"/>
      <c r="G276" s="227"/>
      <c r="H276" s="228"/>
    </row>
    <row r="277" spans="2:8" x14ac:dyDescent="0.25">
      <c r="C277" s="226"/>
      <c r="D277" s="16"/>
      <c r="E277" s="223"/>
      <c r="F277" s="223"/>
      <c r="G277" s="223"/>
    </row>
    <row r="278" spans="2:8" x14ac:dyDescent="0.25">
      <c r="B278" s="231" t="s">
        <v>452</v>
      </c>
      <c r="C278" s="226"/>
      <c r="D278" s="16"/>
      <c r="E278" s="223"/>
      <c r="F278" s="223"/>
      <c r="G278" s="223"/>
    </row>
    <row r="279" spans="2:8" x14ac:dyDescent="0.25">
      <c r="C279" s="16" t="s">
        <v>388</v>
      </c>
      <c r="D279" s="16" t="s">
        <v>620</v>
      </c>
      <c r="E279" s="223">
        <v>0.68</v>
      </c>
      <c r="F279" s="223"/>
      <c r="G279" s="223"/>
      <c r="H279" s="224"/>
    </row>
    <row r="280" spans="2:8" x14ac:dyDescent="0.25">
      <c r="C280" s="226" t="s">
        <v>399</v>
      </c>
      <c r="D280" s="16" t="s">
        <v>632</v>
      </c>
      <c r="E280" s="223">
        <v>0.68</v>
      </c>
      <c r="F280" s="223"/>
      <c r="G280" s="223"/>
      <c r="H280" s="224"/>
    </row>
    <row r="281" spans="2:8" x14ac:dyDescent="0.25">
      <c r="C281" s="226"/>
      <c r="D281" s="226"/>
      <c r="E281" s="223"/>
      <c r="F281" s="223"/>
      <c r="G281" s="223"/>
    </row>
    <row r="282" spans="2:8" x14ac:dyDescent="0.25">
      <c r="B282" s="17" t="s">
        <v>438</v>
      </c>
      <c r="C282" s="222"/>
      <c r="D282" s="222"/>
      <c r="E282" s="223"/>
      <c r="F282" s="223"/>
      <c r="G282" s="223"/>
    </row>
    <row r="283" spans="2:8" x14ac:dyDescent="0.25">
      <c r="B283" s="11"/>
      <c r="C283" s="16" t="s">
        <v>388</v>
      </c>
      <c r="D283" s="16" t="s">
        <v>610</v>
      </c>
      <c r="E283" s="32">
        <v>-0.01</v>
      </c>
      <c r="F283" s="32"/>
      <c r="G283" s="32"/>
      <c r="H283" s="232"/>
    </row>
    <row r="284" spans="2:8" x14ac:dyDescent="0.25">
      <c r="B284" s="11"/>
      <c r="C284" s="16" t="s">
        <v>470</v>
      </c>
      <c r="D284" s="16" t="s">
        <v>611</v>
      </c>
      <c r="E284" s="32">
        <v>-0.01</v>
      </c>
      <c r="F284" s="32"/>
      <c r="G284" s="32"/>
      <c r="H284" s="232"/>
    </row>
    <row r="285" spans="2:8" x14ac:dyDescent="0.25">
      <c r="C285" s="222"/>
      <c r="D285" s="222"/>
      <c r="E285" s="223"/>
      <c r="F285" s="223"/>
      <c r="G285" s="223"/>
    </row>
    <row r="286" spans="2:8" x14ac:dyDescent="0.25">
      <c r="B286" s="219" t="s">
        <v>471</v>
      </c>
      <c r="C286" s="16"/>
      <c r="D286" s="16"/>
      <c r="E286" s="223"/>
      <c r="F286" s="223"/>
      <c r="G286" s="223"/>
    </row>
    <row r="287" spans="2:8" x14ac:dyDescent="0.25">
      <c r="B287" s="219" t="s">
        <v>349</v>
      </c>
      <c r="C287" s="16"/>
      <c r="D287" s="16"/>
      <c r="E287" s="223"/>
      <c r="F287" s="223"/>
      <c r="G287" s="223"/>
    </row>
    <row r="288" spans="2:8" x14ac:dyDescent="0.25">
      <c r="C288" s="16" t="s">
        <v>454</v>
      </c>
      <c r="D288" s="16" t="s">
        <v>560</v>
      </c>
      <c r="E288" s="223">
        <v>84.73</v>
      </c>
      <c r="F288" s="223"/>
      <c r="G288" s="223"/>
      <c r="H288" s="224"/>
    </row>
    <row r="289" spans="2:8" x14ac:dyDescent="0.25">
      <c r="C289" s="16" t="s">
        <v>472</v>
      </c>
      <c r="D289" s="16" t="s">
        <v>561</v>
      </c>
      <c r="E289" s="223">
        <v>84.73</v>
      </c>
      <c r="F289" s="223"/>
      <c r="G289" s="223"/>
      <c r="H289" s="224"/>
    </row>
    <row r="290" spans="2:8" x14ac:dyDescent="0.25">
      <c r="B290" s="219" t="s">
        <v>401</v>
      </c>
      <c r="C290" s="16"/>
      <c r="D290" s="16"/>
      <c r="E290" s="223"/>
      <c r="F290" s="223"/>
      <c r="G290" s="223"/>
    </row>
    <row r="291" spans="2:8" x14ac:dyDescent="0.25">
      <c r="C291" s="16" t="s">
        <v>454</v>
      </c>
      <c r="D291" s="16" t="s">
        <v>562</v>
      </c>
      <c r="E291" s="227">
        <v>1.1509999999999999E-2</v>
      </c>
      <c r="F291" s="223"/>
      <c r="G291" s="227"/>
      <c r="H291" s="228"/>
    </row>
    <row r="292" spans="2:8" x14ac:dyDescent="0.25">
      <c r="C292" s="16" t="s">
        <v>404</v>
      </c>
      <c r="D292" s="16" t="s">
        <v>563</v>
      </c>
      <c r="E292" s="227">
        <v>1.3860000000000001E-2</v>
      </c>
      <c r="F292" s="223"/>
      <c r="G292" s="227"/>
      <c r="H292" s="228"/>
    </row>
    <row r="293" spans="2:8" x14ac:dyDescent="0.25">
      <c r="C293" s="16" t="s">
        <v>407</v>
      </c>
      <c r="D293" s="16" t="s">
        <v>564</v>
      </c>
      <c r="E293" s="227">
        <v>1.078E-2</v>
      </c>
      <c r="F293" s="223"/>
      <c r="G293" s="227"/>
      <c r="H293" s="228"/>
    </row>
    <row r="294" spans="2:8" x14ac:dyDescent="0.25">
      <c r="B294" s="219" t="s">
        <v>408</v>
      </c>
      <c r="C294" s="16"/>
      <c r="D294" s="16"/>
      <c r="E294" s="223"/>
      <c r="F294" s="223"/>
      <c r="G294" s="223"/>
      <c r="H294" s="234"/>
    </row>
    <row r="295" spans="2:8" x14ac:dyDescent="0.25">
      <c r="B295" s="219"/>
      <c r="C295" s="16" t="s">
        <v>473</v>
      </c>
      <c r="D295" s="16" t="s">
        <v>565</v>
      </c>
      <c r="E295" s="227">
        <v>8.5699999999999995E-3</v>
      </c>
      <c r="F295" s="223"/>
      <c r="G295" s="227"/>
      <c r="H295" s="228"/>
    </row>
    <row r="296" spans="2:8" x14ac:dyDescent="0.25">
      <c r="C296" s="16" t="s">
        <v>404</v>
      </c>
      <c r="D296" s="16" t="s">
        <v>566</v>
      </c>
      <c r="E296" s="227">
        <v>8.5699999999999995E-3</v>
      </c>
      <c r="F296" s="223"/>
      <c r="G296" s="227"/>
      <c r="H296" s="228"/>
    </row>
    <row r="297" spans="2:8" x14ac:dyDescent="0.25">
      <c r="C297" s="16" t="s">
        <v>407</v>
      </c>
      <c r="D297" s="16" t="s">
        <v>567</v>
      </c>
      <c r="E297" s="227">
        <v>8.5699999999999995E-3</v>
      </c>
      <c r="F297" s="223"/>
      <c r="G297" s="227"/>
      <c r="H297" s="228"/>
    </row>
    <row r="298" spans="2:8" x14ac:dyDescent="0.25">
      <c r="B298" s="219" t="s">
        <v>412</v>
      </c>
      <c r="C298" s="16"/>
      <c r="D298" s="16"/>
      <c r="E298" s="223"/>
      <c r="F298" s="223"/>
      <c r="G298" s="223"/>
    </row>
    <row r="299" spans="2:8" x14ac:dyDescent="0.25">
      <c r="C299" s="16" t="s">
        <v>454</v>
      </c>
      <c r="D299" s="16" t="s">
        <v>595</v>
      </c>
      <c r="E299" s="223">
        <v>9.2899999999999991</v>
      </c>
      <c r="F299" s="223"/>
      <c r="G299" s="223"/>
      <c r="H299" s="224"/>
    </row>
    <row r="300" spans="2:8" x14ac:dyDescent="0.25">
      <c r="C300" s="16" t="s">
        <v>474</v>
      </c>
      <c r="D300" s="16" t="s">
        <v>598</v>
      </c>
      <c r="E300" s="223">
        <v>2.95</v>
      </c>
      <c r="F300" s="223"/>
      <c r="G300" s="223"/>
      <c r="H300" s="224"/>
    </row>
    <row r="301" spans="2:8" x14ac:dyDescent="0.25">
      <c r="C301" s="16" t="s">
        <v>475</v>
      </c>
      <c r="D301" s="16" t="s">
        <v>599</v>
      </c>
      <c r="E301" s="223">
        <v>6.31</v>
      </c>
      <c r="F301" s="223"/>
      <c r="G301" s="223"/>
      <c r="H301" s="224"/>
    </row>
    <row r="302" spans="2:8" x14ac:dyDescent="0.25">
      <c r="B302" s="219" t="s">
        <v>419</v>
      </c>
      <c r="C302" s="16"/>
      <c r="D302" s="16"/>
      <c r="E302" s="223"/>
      <c r="F302" s="223"/>
      <c r="G302" s="223"/>
    </row>
    <row r="303" spans="2:8" x14ac:dyDescent="0.25">
      <c r="B303" s="219"/>
      <c r="C303" s="16" t="s">
        <v>476</v>
      </c>
      <c r="D303" s="16" t="s">
        <v>596</v>
      </c>
      <c r="E303" s="223">
        <v>0.86</v>
      </c>
      <c r="F303" s="223"/>
      <c r="G303" s="223"/>
      <c r="H303" s="224"/>
    </row>
    <row r="304" spans="2:8" x14ac:dyDescent="0.25">
      <c r="B304" s="219"/>
      <c r="C304" s="16" t="s">
        <v>477</v>
      </c>
      <c r="D304" s="16" t="s">
        <v>597</v>
      </c>
      <c r="E304" s="223">
        <v>1.1200000000000001</v>
      </c>
      <c r="F304" s="223"/>
      <c r="G304" s="223"/>
      <c r="H304" s="224"/>
    </row>
    <row r="305" spans="2:8" x14ac:dyDescent="0.25">
      <c r="B305" s="219"/>
      <c r="C305" s="16" t="s">
        <v>478</v>
      </c>
      <c r="D305" s="16" t="s">
        <v>600</v>
      </c>
      <c r="E305" s="223">
        <v>0.44</v>
      </c>
      <c r="F305" s="223"/>
      <c r="G305" s="223"/>
      <c r="H305" s="224"/>
    </row>
    <row r="306" spans="2:8" x14ac:dyDescent="0.25">
      <c r="C306" s="16" t="s">
        <v>479</v>
      </c>
      <c r="D306" s="16" t="s">
        <v>601</v>
      </c>
      <c r="E306" s="223">
        <v>0.86</v>
      </c>
      <c r="F306" s="223"/>
      <c r="G306" s="223"/>
      <c r="H306" s="224"/>
    </row>
    <row r="307" spans="2:8" x14ac:dyDescent="0.25">
      <c r="C307" s="16" t="s">
        <v>480</v>
      </c>
      <c r="D307" s="16" t="s">
        <v>602</v>
      </c>
      <c r="E307" s="223">
        <v>1.1200000000000001</v>
      </c>
      <c r="F307" s="223"/>
      <c r="G307" s="223"/>
      <c r="H307" s="224"/>
    </row>
    <row r="308" spans="2:8" x14ac:dyDescent="0.25">
      <c r="C308" s="16" t="s">
        <v>481</v>
      </c>
      <c r="D308" s="16" t="s">
        <v>603</v>
      </c>
      <c r="E308" s="223">
        <v>0.44</v>
      </c>
      <c r="F308" s="223"/>
      <c r="G308" s="223"/>
      <c r="H308" s="224"/>
    </row>
    <row r="309" spans="2:8" x14ac:dyDescent="0.25">
      <c r="C309" s="16"/>
      <c r="D309" s="16"/>
      <c r="E309" s="223"/>
      <c r="F309" s="223"/>
      <c r="G309" s="223"/>
    </row>
    <row r="310" spans="2:8" x14ac:dyDescent="0.25">
      <c r="B310" s="219" t="s">
        <v>445</v>
      </c>
      <c r="C310" s="16"/>
      <c r="D310" s="16"/>
      <c r="E310" s="223"/>
      <c r="F310" s="223"/>
      <c r="G310" s="223"/>
    </row>
    <row r="311" spans="2:8" x14ac:dyDescent="0.25">
      <c r="C311" s="16" t="s">
        <v>366</v>
      </c>
      <c r="D311" s="16" t="s">
        <v>604</v>
      </c>
      <c r="E311" s="227">
        <v>2.0300000000000001E-3</v>
      </c>
      <c r="F311" s="223"/>
      <c r="G311" s="227"/>
      <c r="H311" s="228"/>
    </row>
    <row r="312" spans="2:8" x14ac:dyDescent="0.25">
      <c r="C312" s="16" t="s">
        <v>373</v>
      </c>
      <c r="D312" s="16" t="s">
        <v>605</v>
      </c>
      <c r="E312" s="227">
        <v>2.0300000000000001E-3</v>
      </c>
      <c r="F312" s="223"/>
      <c r="G312" s="227"/>
      <c r="H312" s="228"/>
    </row>
    <row r="313" spans="2:8" x14ac:dyDescent="0.25">
      <c r="B313" s="219" t="s">
        <v>446</v>
      </c>
      <c r="C313" s="16"/>
      <c r="D313" s="16"/>
      <c r="E313" s="223"/>
      <c r="F313" s="223"/>
      <c r="G313" s="223"/>
    </row>
    <row r="314" spans="2:8" x14ac:dyDescent="0.25">
      <c r="C314" s="16" t="s">
        <v>366</v>
      </c>
      <c r="D314" s="16" t="s">
        <v>606</v>
      </c>
      <c r="E314" s="227">
        <v>-1.0200000000000001E-3</v>
      </c>
      <c r="F314" s="223"/>
      <c r="G314" s="227"/>
      <c r="H314" s="228"/>
    </row>
    <row r="315" spans="2:8" x14ac:dyDescent="0.25">
      <c r="C315" s="16" t="s">
        <v>373</v>
      </c>
      <c r="D315" s="16" t="s">
        <v>607</v>
      </c>
      <c r="E315" s="227">
        <v>-1.0200000000000001E-3</v>
      </c>
      <c r="F315" s="223"/>
      <c r="G315" s="227"/>
      <c r="H315" s="228"/>
    </row>
    <row r="316" spans="2:8" x14ac:dyDescent="0.25">
      <c r="C316" s="16"/>
      <c r="D316" s="16"/>
      <c r="E316" s="223"/>
      <c r="F316" s="223"/>
      <c r="G316" s="223"/>
    </row>
    <row r="317" spans="2:8" x14ac:dyDescent="0.25">
      <c r="B317" s="219" t="s">
        <v>452</v>
      </c>
      <c r="C317" s="16"/>
      <c r="D317" s="16"/>
      <c r="E317" s="223"/>
      <c r="F317" s="223"/>
      <c r="G317" s="223"/>
    </row>
    <row r="318" spans="2:8" x14ac:dyDescent="0.25">
      <c r="C318" s="16" t="s">
        <v>454</v>
      </c>
      <c r="D318" s="16" t="s">
        <v>608</v>
      </c>
      <c r="E318" s="223">
        <v>0.68</v>
      </c>
      <c r="F318" s="223"/>
      <c r="G318" s="223"/>
      <c r="H318" s="224"/>
    </row>
    <row r="319" spans="2:8" x14ac:dyDescent="0.25">
      <c r="C319" s="16" t="s">
        <v>400</v>
      </c>
      <c r="D319" s="16" t="s">
        <v>609</v>
      </c>
      <c r="E319" s="223">
        <v>0.68</v>
      </c>
      <c r="F319" s="223"/>
      <c r="G319" s="223"/>
      <c r="H319" s="224"/>
    </row>
    <row r="320" spans="2:8" x14ac:dyDescent="0.25">
      <c r="C320" s="16"/>
      <c r="D320" s="16"/>
      <c r="E320" s="223"/>
      <c r="F320" s="223"/>
      <c r="G320" s="223"/>
    </row>
    <row r="321" spans="2:8" x14ac:dyDescent="0.25">
      <c r="B321" s="219" t="s">
        <v>482</v>
      </c>
      <c r="C321" s="221"/>
      <c r="D321" s="221"/>
      <c r="E321" s="223"/>
      <c r="F321" s="223"/>
      <c r="G321" s="223"/>
    </row>
    <row r="322" spans="2:8" x14ac:dyDescent="0.25">
      <c r="C322" s="222"/>
      <c r="D322" s="222"/>
      <c r="E322" s="223"/>
      <c r="F322" s="223"/>
      <c r="G322" s="223"/>
    </row>
    <row r="323" spans="2:8" x14ac:dyDescent="0.25">
      <c r="B323" s="11" t="s">
        <v>483</v>
      </c>
      <c r="C323" s="222"/>
      <c r="D323" s="222" t="s">
        <v>550</v>
      </c>
      <c r="E323" s="223">
        <v>0.71</v>
      </c>
      <c r="F323" s="223"/>
      <c r="G323" s="223"/>
      <c r="H323" s="224"/>
    </row>
    <row r="324" spans="2:8" x14ac:dyDescent="0.25">
      <c r="C324" s="222"/>
      <c r="D324" s="222"/>
      <c r="E324" s="223"/>
      <c r="F324" s="223"/>
      <c r="G324" s="223"/>
    </row>
    <row r="325" spans="2:8" x14ac:dyDescent="0.25">
      <c r="B325" s="11" t="s">
        <v>343</v>
      </c>
      <c r="C325" s="222"/>
      <c r="D325" s="222" t="s">
        <v>498</v>
      </c>
      <c r="E325" s="227">
        <v>3.2599999999999997E-2</v>
      </c>
      <c r="F325" s="223"/>
      <c r="G325" s="227"/>
      <c r="H325" s="22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EA64-3F5F-4989-B3C5-F519186F836F}">
  <dimension ref="B2:G8"/>
  <sheetViews>
    <sheetView workbookViewId="0"/>
  </sheetViews>
  <sheetFormatPr defaultRowHeight="15" x14ac:dyDescent="0.25"/>
  <cols>
    <col min="2" max="2" width="21.85546875" bestFit="1" customWidth="1"/>
    <col min="3" max="3" width="22.7109375" bestFit="1" customWidth="1"/>
    <col min="4" max="4" width="35" bestFit="1" customWidth="1"/>
    <col min="5" max="5" width="24.140625" bestFit="1" customWidth="1"/>
    <col min="6" max="6" width="34" bestFit="1" customWidth="1"/>
    <col min="7" max="7" width="39.28515625" bestFit="1" customWidth="1"/>
  </cols>
  <sheetData>
    <row r="2" spans="2:7" x14ac:dyDescent="0.25">
      <c r="B2" s="216" t="s">
        <v>858</v>
      </c>
      <c r="C2" s="216" t="s">
        <v>926</v>
      </c>
      <c r="D2" s="216" t="s">
        <v>927</v>
      </c>
      <c r="E2" s="216" t="s">
        <v>928</v>
      </c>
      <c r="F2" s="216" t="s">
        <v>929</v>
      </c>
      <c r="G2" s="216" t="s">
        <v>930</v>
      </c>
    </row>
    <row r="3" spans="2:7" x14ac:dyDescent="0.25">
      <c r="B3" t="s">
        <v>931</v>
      </c>
      <c r="C3" s="556">
        <v>7.8619999999999995E-2</v>
      </c>
      <c r="D3" s="556">
        <v>0.11448999999999999</v>
      </c>
      <c r="E3" s="32">
        <v>1.4562452302213178</v>
      </c>
      <c r="F3" s="556">
        <v>-4.5379999999999997E-2</v>
      </c>
      <c r="G3" s="556">
        <v>-3.9100000000000003E-3</v>
      </c>
    </row>
    <row r="4" spans="2:7" x14ac:dyDescent="0.25">
      <c r="B4" t="s">
        <v>932</v>
      </c>
      <c r="C4" s="556">
        <v>7.3600000000000002E-3</v>
      </c>
      <c r="D4" s="556">
        <v>1.184E-2</v>
      </c>
      <c r="E4" s="32">
        <v>1.6086956521739131</v>
      </c>
      <c r="F4" s="556">
        <v>-4.2599999999999999E-3</v>
      </c>
      <c r="G4" s="556">
        <v>-3.5599999999999998E-3</v>
      </c>
    </row>
    <row r="5" spans="2:7" x14ac:dyDescent="0.25">
      <c r="B5" t="s">
        <v>933</v>
      </c>
      <c r="C5" s="556">
        <v>1.042E-2</v>
      </c>
      <c r="D5" s="556">
        <v>1.6990000000000002E-2</v>
      </c>
      <c r="E5" s="32">
        <v>1.6305182341650672</v>
      </c>
      <c r="F5" s="556">
        <v>-6.77E-3</v>
      </c>
      <c r="G5" s="556">
        <v>-4.1799999999999997E-3</v>
      </c>
    </row>
    <row r="6" spans="2:7" x14ac:dyDescent="0.25">
      <c r="B6" t="s">
        <v>934</v>
      </c>
      <c r="C6" s="556">
        <v>1.042E-2</v>
      </c>
      <c r="D6" s="556">
        <v>1.6910000000000001E-2</v>
      </c>
      <c r="E6" s="32">
        <v>1.6228406909788868</v>
      </c>
      <c r="F6" s="556">
        <v>-6.77E-3</v>
      </c>
      <c r="G6" s="556">
        <v>-4.1799999999999997E-3</v>
      </c>
    </row>
    <row r="7" spans="2:7" x14ac:dyDescent="0.25">
      <c r="B7" t="s">
        <v>935</v>
      </c>
      <c r="C7" s="556">
        <v>1.1509999999999999E-2</v>
      </c>
      <c r="D7" s="556">
        <v>2.0740000000000001E-2</v>
      </c>
      <c r="E7" s="32">
        <v>1.8019113814074721</v>
      </c>
      <c r="F7" s="556">
        <v>-1.072E-2</v>
      </c>
      <c r="G7" s="556">
        <v>-3.0400000000000002E-3</v>
      </c>
    </row>
    <row r="8" spans="2:7" x14ac:dyDescent="0.25">
      <c r="B8" t="s">
        <v>936</v>
      </c>
      <c r="C8" s="556">
        <v>1.1509999999999999E-2</v>
      </c>
      <c r="D8" s="556">
        <v>2.0719999999999999E-2</v>
      </c>
      <c r="E8" s="32">
        <v>1.8001737619461338</v>
      </c>
      <c r="F8" s="556">
        <v>-1.072E-2</v>
      </c>
      <c r="G8" s="556">
        <v>-3.0400000000000002E-3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B8A7-7BE9-42EC-9EE9-ACEC6DF0F915}">
  <dimension ref="A2:C164"/>
  <sheetViews>
    <sheetView workbookViewId="0"/>
  </sheetViews>
  <sheetFormatPr defaultRowHeight="15" x14ac:dyDescent="0.25"/>
  <cols>
    <col min="1" max="1" width="35.28515625" bestFit="1" customWidth="1"/>
    <col min="3" max="3" width="14" style="222" bestFit="1" customWidth="1"/>
  </cols>
  <sheetData>
    <row r="2" spans="1:3" x14ac:dyDescent="0.25">
      <c r="C2" s="552" t="s">
        <v>1473</v>
      </c>
    </row>
    <row r="3" spans="1:3" x14ac:dyDescent="0.25">
      <c r="A3" s="216" t="s">
        <v>497</v>
      </c>
      <c r="B3" s="553" t="s">
        <v>858</v>
      </c>
      <c r="C3" s="220">
        <v>2025</v>
      </c>
    </row>
    <row r="4" spans="1:3" x14ac:dyDescent="0.25">
      <c r="A4" t="s">
        <v>1474</v>
      </c>
      <c r="B4">
        <v>468</v>
      </c>
      <c r="C4" s="540" t="s">
        <v>1490</v>
      </c>
    </row>
    <row r="5" spans="1:3" x14ac:dyDescent="0.25">
      <c r="B5">
        <v>478</v>
      </c>
      <c r="C5" s="540" t="s">
        <v>1490</v>
      </c>
    </row>
    <row r="6" spans="1:3" x14ac:dyDescent="0.25">
      <c r="B6">
        <v>509</v>
      </c>
      <c r="C6" s="540" t="s">
        <v>1490</v>
      </c>
    </row>
    <row r="7" spans="1:3" x14ac:dyDescent="0.25">
      <c r="B7">
        <v>550</v>
      </c>
      <c r="C7" s="540" t="s">
        <v>1490</v>
      </c>
    </row>
    <row r="8" spans="1:3" x14ac:dyDescent="0.25">
      <c r="B8">
        <v>552</v>
      </c>
      <c r="C8" s="540" t="s">
        <v>1490</v>
      </c>
    </row>
    <row r="9" spans="1:3" x14ac:dyDescent="0.25">
      <c r="B9">
        <v>566</v>
      </c>
      <c r="C9" s="540" t="s">
        <v>1490</v>
      </c>
    </row>
    <row r="10" spans="1:3" x14ac:dyDescent="0.25">
      <c r="B10">
        <v>570</v>
      </c>
      <c r="C10" s="540" t="s">
        <v>1490</v>
      </c>
    </row>
    <row r="11" spans="1:3" x14ac:dyDescent="0.25">
      <c r="B11">
        <v>572</v>
      </c>
      <c r="C11" s="540" t="s">
        <v>1490</v>
      </c>
    </row>
    <row r="12" spans="1:3" x14ac:dyDescent="0.25">
      <c r="B12">
        <v>573</v>
      </c>
      <c r="C12" s="540" t="s">
        <v>1490</v>
      </c>
    </row>
    <row r="13" spans="1:3" x14ac:dyDescent="0.25">
      <c r="B13">
        <v>800</v>
      </c>
      <c r="C13" s="540" t="s">
        <v>1490</v>
      </c>
    </row>
    <row r="14" spans="1:3" x14ac:dyDescent="0.25">
      <c r="B14">
        <v>802</v>
      </c>
      <c r="C14" s="540" t="s">
        <v>1490</v>
      </c>
    </row>
    <row r="15" spans="1:3" x14ac:dyDescent="0.25">
      <c r="B15">
        <v>803</v>
      </c>
      <c r="C15" s="540" t="s">
        <v>1490</v>
      </c>
    </row>
    <row r="16" spans="1:3" x14ac:dyDescent="0.25">
      <c r="B16">
        <v>804</v>
      </c>
      <c r="C16" s="540" t="s">
        <v>1490</v>
      </c>
    </row>
    <row r="17" spans="1:3" x14ac:dyDescent="0.25">
      <c r="B17">
        <v>805</v>
      </c>
      <c r="C17" s="540" t="s">
        <v>1490</v>
      </c>
    </row>
    <row r="18" spans="1:3" x14ac:dyDescent="0.25">
      <c r="B18">
        <v>806</v>
      </c>
      <c r="C18" s="540" t="s">
        <v>1490</v>
      </c>
    </row>
    <row r="19" spans="1:3" x14ac:dyDescent="0.25">
      <c r="B19">
        <v>809</v>
      </c>
      <c r="C19" s="540" t="s">
        <v>1490</v>
      </c>
    </row>
    <row r="20" spans="1:3" x14ac:dyDescent="0.25">
      <c r="B20">
        <v>810</v>
      </c>
      <c r="C20" s="540" t="s">
        <v>1490</v>
      </c>
    </row>
    <row r="21" spans="1:3" x14ac:dyDescent="0.25">
      <c r="A21" t="s">
        <v>1224</v>
      </c>
      <c r="B21">
        <v>484</v>
      </c>
      <c r="C21" s="540" t="s">
        <v>1490</v>
      </c>
    </row>
    <row r="22" spans="1:3" x14ac:dyDescent="0.25">
      <c r="B22">
        <v>530</v>
      </c>
      <c r="C22" s="540" t="s">
        <v>1490</v>
      </c>
    </row>
    <row r="23" spans="1:3" x14ac:dyDescent="0.25">
      <c r="B23">
        <v>533</v>
      </c>
      <c r="C23" s="540" t="s">
        <v>1490</v>
      </c>
    </row>
    <row r="24" spans="1:3" x14ac:dyDescent="0.25">
      <c r="B24">
        <v>862</v>
      </c>
      <c r="C24" s="540" t="s">
        <v>1490</v>
      </c>
    </row>
    <row r="25" spans="1:3" x14ac:dyDescent="0.25">
      <c r="B25">
        <v>863</v>
      </c>
      <c r="C25" s="540" t="s">
        <v>1490</v>
      </c>
    </row>
    <row r="26" spans="1:3" x14ac:dyDescent="0.25">
      <c r="B26">
        <v>864</v>
      </c>
      <c r="C26" s="540" t="s">
        <v>1490</v>
      </c>
    </row>
    <row r="27" spans="1:3" x14ac:dyDescent="0.25">
      <c r="B27">
        <v>866</v>
      </c>
      <c r="C27" s="540" t="s">
        <v>1490</v>
      </c>
    </row>
    <row r="28" spans="1:3" x14ac:dyDescent="0.25">
      <c r="B28">
        <v>869</v>
      </c>
      <c r="C28" s="540" t="s">
        <v>1490</v>
      </c>
    </row>
    <row r="29" spans="1:3" x14ac:dyDescent="0.25">
      <c r="A29" t="s">
        <v>1475</v>
      </c>
      <c r="B29">
        <v>520</v>
      </c>
      <c r="C29" s="540" t="s">
        <v>1490</v>
      </c>
    </row>
    <row r="30" spans="1:3" x14ac:dyDescent="0.25">
      <c r="B30">
        <v>554</v>
      </c>
      <c r="C30" s="540" t="s">
        <v>1490</v>
      </c>
    </row>
    <row r="31" spans="1:3" x14ac:dyDescent="0.25">
      <c r="B31">
        <v>556</v>
      </c>
      <c r="C31" s="540" t="s">
        <v>1490</v>
      </c>
    </row>
    <row r="32" spans="1:3" x14ac:dyDescent="0.25">
      <c r="B32">
        <v>558</v>
      </c>
      <c r="C32" s="540" t="s">
        <v>1490</v>
      </c>
    </row>
    <row r="33" spans="1:3" x14ac:dyDescent="0.25">
      <c r="B33">
        <v>564</v>
      </c>
      <c r="C33" s="540" t="s">
        <v>1490</v>
      </c>
    </row>
    <row r="34" spans="1:3" x14ac:dyDescent="0.25">
      <c r="B34">
        <v>574</v>
      </c>
      <c r="C34" s="540" t="s">
        <v>1490</v>
      </c>
    </row>
    <row r="35" spans="1:3" x14ac:dyDescent="0.25">
      <c r="B35">
        <v>575</v>
      </c>
      <c r="C35" s="540" t="s">
        <v>1490</v>
      </c>
    </row>
    <row r="36" spans="1:3" x14ac:dyDescent="0.25">
      <c r="B36">
        <v>576</v>
      </c>
      <c r="C36" s="540" t="s">
        <v>1490</v>
      </c>
    </row>
    <row r="37" spans="1:3" x14ac:dyDescent="0.25">
      <c r="B37">
        <v>700</v>
      </c>
      <c r="C37" s="540" t="s">
        <v>1490</v>
      </c>
    </row>
    <row r="38" spans="1:3" x14ac:dyDescent="0.25">
      <c r="B38">
        <v>701</v>
      </c>
      <c r="C38" s="540" t="s">
        <v>1490</v>
      </c>
    </row>
    <row r="39" spans="1:3" x14ac:dyDescent="0.25">
      <c r="B39">
        <v>702</v>
      </c>
      <c r="C39" s="540" t="s">
        <v>1490</v>
      </c>
    </row>
    <row r="40" spans="1:3" x14ac:dyDescent="0.25">
      <c r="B40">
        <v>703</v>
      </c>
      <c r="C40" s="540" t="s">
        <v>1490</v>
      </c>
    </row>
    <row r="41" spans="1:3" x14ac:dyDescent="0.25">
      <c r="B41">
        <v>704</v>
      </c>
      <c r="C41" s="540" t="s">
        <v>1490</v>
      </c>
    </row>
    <row r="42" spans="1:3" x14ac:dyDescent="0.25">
      <c r="B42">
        <v>705</v>
      </c>
      <c r="C42" s="540" t="s">
        <v>1490</v>
      </c>
    </row>
    <row r="43" spans="1:3" x14ac:dyDescent="0.25">
      <c r="A43" t="s">
        <v>1242</v>
      </c>
      <c r="B43">
        <v>540</v>
      </c>
      <c r="C43" s="540" t="s">
        <v>1490</v>
      </c>
    </row>
    <row r="44" spans="1:3" x14ac:dyDescent="0.25">
      <c r="B44">
        <v>548</v>
      </c>
      <c r="C44" s="540" t="s">
        <v>1490</v>
      </c>
    </row>
    <row r="45" spans="1:3" x14ac:dyDescent="0.25">
      <c r="B45">
        <v>549</v>
      </c>
      <c r="C45" s="540" t="s">
        <v>1490</v>
      </c>
    </row>
    <row r="46" spans="1:3" x14ac:dyDescent="0.25">
      <c r="B46">
        <v>568</v>
      </c>
      <c r="C46" s="540" t="s">
        <v>1490</v>
      </c>
    </row>
    <row r="47" spans="1:3" x14ac:dyDescent="0.25">
      <c r="B47">
        <v>577</v>
      </c>
      <c r="C47" s="540" t="s">
        <v>1490</v>
      </c>
    </row>
    <row r="48" spans="1:3" x14ac:dyDescent="0.25">
      <c r="B48">
        <v>578</v>
      </c>
      <c r="C48" s="540" t="s">
        <v>1490</v>
      </c>
    </row>
    <row r="49" spans="1:3" x14ac:dyDescent="0.25">
      <c r="A49" t="s">
        <v>1476</v>
      </c>
      <c r="B49">
        <v>425</v>
      </c>
      <c r="C49" s="540">
        <v>287</v>
      </c>
    </row>
    <row r="50" spans="1:3" x14ac:dyDescent="0.25">
      <c r="B50">
        <v>594</v>
      </c>
      <c r="C50" s="540">
        <v>13487</v>
      </c>
    </row>
    <row r="51" spans="1:3" x14ac:dyDescent="0.25">
      <c r="B51">
        <v>597</v>
      </c>
      <c r="C51" s="540">
        <v>20808</v>
      </c>
    </row>
    <row r="52" spans="1:3" x14ac:dyDescent="0.25">
      <c r="B52">
        <v>626</v>
      </c>
      <c r="C52" s="540">
        <v>199058</v>
      </c>
    </row>
    <row r="53" spans="1:3" x14ac:dyDescent="0.25">
      <c r="B53">
        <v>627</v>
      </c>
      <c r="C53" s="540">
        <v>233468</v>
      </c>
    </row>
    <row r="54" spans="1:3" x14ac:dyDescent="0.25">
      <c r="B54">
        <v>637</v>
      </c>
      <c r="C54" s="540">
        <v>55862</v>
      </c>
    </row>
    <row r="55" spans="1:3" x14ac:dyDescent="0.25">
      <c r="B55">
        <v>422</v>
      </c>
      <c r="C55" s="540">
        <v>896</v>
      </c>
    </row>
    <row r="56" spans="1:3" x14ac:dyDescent="0.25">
      <c r="B56">
        <v>523</v>
      </c>
      <c r="C56" s="540">
        <v>1376</v>
      </c>
    </row>
    <row r="57" spans="1:3" x14ac:dyDescent="0.25">
      <c r="B57">
        <v>525</v>
      </c>
      <c r="C57" s="540">
        <v>43526</v>
      </c>
    </row>
    <row r="58" spans="1:3" x14ac:dyDescent="0.25">
      <c r="B58">
        <v>580</v>
      </c>
      <c r="C58" s="540">
        <v>1455</v>
      </c>
    </row>
    <row r="59" spans="1:3" x14ac:dyDescent="0.25">
      <c r="B59">
        <v>581</v>
      </c>
      <c r="C59" s="540">
        <v>537</v>
      </c>
    </row>
    <row r="60" spans="1:3" x14ac:dyDescent="0.25">
      <c r="B60">
        <v>582</v>
      </c>
      <c r="C60" s="540">
        <v>192212</v>
      </c>
    </row>
    <row r="61" spans="1:3" x14ac:dyDescent="0.25">
      <c r="B61">
        <v>583</v>
      </c>
      <c r="C61" s="540">
        <v>6517</v>
      </c>
    </row>
    <row r="62" spans="1:3" x14ac:dyDescent="0.25">
      <c r="B62">
        <v>584</v>
      </c>
      <c r="C62" s="540">
        <v>1695</v>
      </c>
    </row>
    <row r="63" spans="1:3" x14ac:dyDescent="0.25">
      <c r="B63">
        <v>585</v>
      </c>
      <c r="C63" s="540">
        <v>1463</v>
      </c>
    </row>
    <row r="64" spans="1:3" x14ac:dyDescent="0.25">
      <c r="B64">
        <v>586</v>
      </c>
      <c r="C64" s="540">
        <v>235155</v>
      </c>
    </row>
    <row r="65" spans="2:3" x14ac:dyDescent="0.25">
      <c r="B65">
        <v>588</v>
      </c>
      <c r="C65" s="540">
        <v>178974</v>
      </c>
    </row>
    <row r="66" spans="2:3" x14ac:dyDescent="0.25">
      <c r="B66">
        <v>589</v>
      </c>
      <c r="C66" s="540">
        <v>1512</v>
      </c>
    </row>
    <row r="67" spans="2:3" x14ac:dyDescent="0.25">
      <c r="B67">
        <v>590</v>
      </c>
      <c r="C67" s="540">
        <v>274</v>
      </c>
    </row>
    <row r="68" spans="2:3" x14ac:dyDescent="0.25">
      <c r="B68">
        <v>591</v>
      </c>
      <c r="C68" s="540">
        <v>17924</v>
      </c>
    </row>
    <row r="69" spans="2:3" x14ac:dyDescent="0.25">
      <c r="B69">
        <v>592</v>
      </c>
      <c r="C69" s="540">
        <v>11419</v>
      </c>
    </row>
    <row r="70" spans="2:3" x14ac:dyDescent="0.25">
      <c r="B70">
        <v>593</v>
      </c>
      <c r="C70" s="540">
        <v>92326</v>
      </c>
    </row>
    <row r="71" spans="2:3" x14ac:dyDescent="0.25">
      <c r="B71">
        <v>595</v>
      </c>
      <c r="C71" s="540">
        <v>4867</v>
      </c>
    </row>
    <row r="72" spans="2:3" x14ac:dyDescent="0.25">
      <c r="B72">
        <v>596</v>
      </c>
      <c r="C72" s="540">
        <v>19521</v>
      </c>
    </row>
    <row r="73" spans="2:3" x14ac:dyDescent="0.25">
      <c r="B73">
        <v>599</v>
      </c>
      <c r="C73" s="540">
        <v>593</v>
      </c>
    </row>
    <row r="74" spans="2:3" x14ac:dyDescent="0.25">
      <c r="B74">
        <v>607</v>
      </c>
      <c r="C74" s="540">
        <v>362275</v>
      </c>
    </row>
    <row r="75" spans="2:3" x14ac:dyDescent="0.25">
      <c r="B75">
        <v>612</v>
      </c>
      <c r="C75" s="540">
        <v>48585</v>
      </c>
    </row>
    <row r="76" spans="2:3" x14ac:dyDescent="0.25">
      <c r="B76">
        <v>614</v>
      </c>
      <c r="C76" s="540">
        <v>43498</v>
      </c>
    </row>
    <row r="77" spans="2:3" x14ac:dyDescent="0.25">
      <c r="B77">
        <v>615</v>
      </c>
      <c r="C77" s="540">
        <v>30346</v>
      </c>
    </row>
    <row r="78" spans="2:3" x14ac:dyDescent="0.25">
      <c r="B78">
        <v>616</v>
      </c>
      <c r="C78" s="540">
        <v>8599</v>
      </c>
    </row>
    <row r="79" spans="2:3" x14ac:dyDescent="0.25">
      <c r="B79">
        <v>622</v>
      </c>
      <c r="C79" s="540">
        <v>4223</v>
      </c>
    </row>
    <row r="80" spans="2:3" x14ac:dyDescent="0.25">
      <c r="B80">
        <v>623</v>
      </c>
      <c r="C80" s="540">
        <v>2416</v>
      </c>
    </row>
    <row r="81" spans="1:3" x14ac:dyDescent="0.25">
      <c r="B81">
        <v>624</v>
      </c>
      <c r="C81" s="540">
        <v>47131</v>
      </c>
    </row>
    <row r="82" spans="1:3" x14ac:dyDescent="0.25">
      <c r="B82">
        <v>641</v>
      </c>
      <c r="C82" s="540">
        <v>413</v>
      </c>
    </row>
    <row r="83" spans="1:3" x14ac:dyDescent="0.25">
      <c r="A83" t="s">
        <v>1477</v>
      </c>
      <c r="B83">
        <v>563</v>
      </c>
      <c r="C83" s="540">
        <v>120</v>
      </c>
    </row>
    <row r="84" spans="1:3" x14ac:dyDescent="0.25">
      <c r="A84" t="s">
        <v>1478</v>
      </c>
      <c r="B84">
        <v>569</v>
      </c>
      <c r="C84" s="540">
        <v>3360</v>
      </c>
    </row>
    <row r="85" spans="1:3" x14ac:dyDescent="0.25">
      <c r="A85" s="216" t="s">
        <v>1479</v>
      </c>
      <c r="B85" s="216">
        <v>290</v>
      </c>
      <c r="C85" s="554">
        <v>2831</v>
      </c>
    </row>
    <row r="86" spans="1:3" x14ac:dyDescent="0.25">
      <c r="A86" t="s">
        <v>1480</v>
      </c>
      <c r="B86">
        <v>820</v>
      </c>
      <c r="C86" s="540">
        <v>27841</v>
      </c>
    </row>
    <row r="87" spans="1:3" x14ac:dyDescent="0.25">
      <c r="B87">
        <v>821</v>
      </c>
      <c r="C87" s="540">
        <v>284</v>
      </c>
    </row>
    <row r="88" spans="1:3" x14ac:dyDescent="0.25">
      <c r="B88">
        <v>822</v>
      </c>
      <c r="C88" s="540">
        <v>391</v>
      </c>
    </row>
    <row r="89" spans="1:3" x14ac:dyDescent="0.25">
      <c r="B89">
        <v>823</v>
      </c>
      <c r="C89" s="540">
        <v>24904</v>
      </c>
    </row>
    <row r="90" spans="1:3" x14ac:dyDescent="0.25">
      <c r="B90">
        <v>824</v>
      </c>
      <c r="C90" s="540">
        <v>38356</v>
      </c>
    </row>
    <row r="91" spans="1:3" x14ac:dyDescent="0.25">
      <c r="B91">
        <v>825</v>
      </c>
      <c r="C91" s="540">
        <v>13109</v>
      </c>
    </row>
    <row r="92" spans="1:3" x14ac:dyDescent="0.25">
      <c r="B92">
        <v>826</v>
      </c>
      <c r="C92" s="540">
        <v>8301</v>
      </c>
    </row>
    <row r="93" spans="1:3" x14ac:dyDescent="0.25">
      <c r="B93">
        <v>827</v>
      </c>
      <c r="C93" s="540">
        <v>67227</v>
      </c>
    </row>
    <row r="94" spans="1:3" x14ac:dyDescent="0.25">
      <c r="B94">
        <v>828</v>
      </c>
      <c r="C94" s="540">
        <v>18438</v>
      </c>
    </row>
    <row r="95" spans="1:3" x14ac:dyDescent="0.25">
      <c r="B95">
        <v>829</v>
      </c>
      <c r="C95" s="540">
        <v>5139</v>
      </c>
    </row>
    <row r="96" spans="1:3" x14ac:dyDescent="0.25">
      <c r="B96">
        <v>830</v>
      </c>
      <c r="C96" s="540">
        <v>2013</v>
      </c>
    </row>
    <row r="97" spans="1:3" x14ac:dyDescent="0.25">
      <c r="B97">
        <v>831</v>
      </c>
      <c r="C97" s="540">
        <v>2511</v>
      </c>
    </row>
    <row r="98" spans="1:3" x14ac:dyDescent="0.25">
      <c r="B98">
        <v>832</v>
      </c>
      <c r="C98" s="540">
        <v>15193</v>
      </c>
    </row>
    <row r="99" spans="1:3" x14ac:dyDescent="0.25">
      <c r="B99">
        <v>833</v>
      </c>
      <c r="C99" s="540">
        <v>663</v>
      </c>
    </row>
    <row r="100" spans="1:3" x14ac:dyDescent="0.25">
      <c r="B100">
        <v>834</v>
      </c>
      <c r="C100" s="540">
        <v>225</v>
      </c>
    </row>
    <row r="101" spans="1:3" x14ac:dyDescent="0.25">
      <c r="B101">
        <v>835</v>
      </c>
      <c r="C101" s="540">
        <v>7792</v>
      </c>
    </row>
    <row r="102" spans="1:3" x14ac:dyDescent="0.25">
      <c r="B102">
        <v>836</v>
      </c>
      <c r="C102" s="540">
        <v>2049</v>
      </c>
    </row>
    <row r="103" spans="1:3" x14ac:dyDescent="0.25">
      <c r="A103" t="s">
        <v>1481</v>
      </c>
      <c r="B103">
        <v>840</v>
      </c>
      <c r="C103" s="540" t="s">
        <v>1490</v>
      </c>
    </row>
    <row r="104" spans="1:3" x14ac:dyDescent="0.25">
      <c r="B104">
        <v>841</v>
      </c>
      <c r="C104" s="540">
        <v>47</v>
      </c>
    </row>
    <row r="105" spans="1:3" x14ac:dyDescent="0.25">
      <c r="B105">
        <v>842</v>
      </c>
      <c r="C105" s="540" t="s">
        <v>1490</v>
      </c>
    </row>
    <row r="106" spans="1:3" x14ac:dyDescent="0.25">
      <c r="B106">
        <v>843</v>
      </c>
      <c r="C106" s="540" t="s">
        <v>1490</v>
      </c>
    </row>
    <row r="107" spans="1:3" x14ac:dyDescent="0.25">
      <c r="B107">
        <v>844</v>
      </c>
      <c r="C107" s="540">
        <v>47</v>
      </c>
    </row>
    <row r="108" spans="1:3" x14ac:dyDescent="0.25">
      <c r="B108">
        <v>845</v>
      </c>
      <c r="C108" s="540" t="s">
        <v>1490</v>
      </c>
    </row>
    <row r="109" spans="1:3" x14ac:dyDescent="0.25">
      <c r="B109">
        <v>846</v>
      </c>
      <c r="C109" s="540">
        <v>154</v>
      </c>
    </row>
    <row r="110" spans="1:3" x14ac:dyDescent="0.25">
      <c r="B110">
        <v>847</v>
      </c>
      <c r="C110" s="540">
        <v>12</v>
      </c>
    </row>
    <row r="111" spans="1:3" x14ac:dyDescent="0.25">
      <c r="B111">
        <v>848</v>
      </c>
      <c r="C111" s="540">
        <v>12</v>
      </c>
    </row>
    <row r="112" spans="1:3" x14ac:dyDescent="0.25">
      <c r="B112">
        <v>849</v>
      </c>
      <c r="C112" s="540" t="s">
        <v>1490</v>
      </c>
    </row>
    <row r="113" spans="1:3" x14ac:dyDescent="0.25">
      <c r="B113">
        <v>850</v>
      </c>
      <c r="C113" s="540" t="s">
        <v>1490</v>
      </c>
    </row>
    <row r="114" spans="1:3" x14ac:dyDescent="0.25">
      <c r="B114">
        <v>851</v>
      </c>
      <c r="C114" s="540" t="s">
        <v>1490</v>
      </c>
    </row>
    <row r="115" spans="1:3" x14ac:dyDescent="0.25">
      <c r="B115">
        <v>852</v>
      </c>
      <c r="C115" s="540" t="s">
        <v>1490</v>
      </c>
    </row>
    <row r="116" spans="1:3" x14ac:dyDescent="0.25">
      <c r="B116">
        <v>853</v>
      </c>
      <c r="C116" s="540" t="s">
        <v>1490</v>
      </c>
    </row>
    <row r="117" spans="1:3" x14ac:dyDescent="0.25">
      <c r="B117">
        <v>854</v>
      </c>
      <c r="C117" s="540" t="s">
        <v>1490</v>
      </c>
    </row>
    <row r="118" spans="1:3" x14ac:dyDescent="0.25">
      <c r="B118">
        <v>855</v>
      </c>
      <c r="C118" s="540" t="s">
        <v>1490</v>
      </c>
    </row>
    <row r="119" spans="1:3" x14ac:dyDescent="0.25">
      <c r="B119">
        <v>856</v>
      </c>
      <c r="C119" s="540" t="s">
        <v>1490</v>
      </c>
    </row>
    <row r="120" spans="1:3" x14ac:dyDescent="0.25">
      <c r="A120" t="s">
        <v>1482</v>
      </c>
      <c r="B120">
        <v>669</v>
      </c>
      <c r="C120" s="540" t="s">
        <v>1490</v>
      </c>
    </row>
    <row r="121" spans="1:3" x14ac:dyDescent="0.25">
      <c r="A121" t="s">
        <v>1483</v>
      </c>
      <c r="B121">
        <v>912</v>
      </c>
      <c r="C121" s="540">
        <v>193669</v>
      </c>
    </row>
    <row r="122" spans="1:3" x14ac:dyDescent="0.25">
      <c r="B122">
        <v>914</v>
      </c>
      <c r="C122" s="540">
        <v>1161670</v>
      </c>
    </row>
    <row r="123" spans="1:3" x14ac:dyDescent="0.25">
      <c r="B123">
        <v>921</v>
      </c>
      <c r="C123" s="540">
        <v>28917</v>
      </c>
    </row>
    <row r="124" spans="1:3" x14ac:dyDescent="0.25">
      <c r="B124">
        <v>926</v>
      </c>
      <c r="C124" s="540">
        <v>195343</v>
      </c>
    </row>
    <row r="125" spans="1:3" x14ac:dyDescent="0.25">
      <c r="B125">
        <v>932</v>
      </c>
      <c r="C125" s="540">
        <v>27969</v>
      </c>
    </row>
    <row r="126" spans="1:3" x14ac:dyDescent="0.25">
      <c r="B126">
        <v>935</v>
      </c>
      <c r="C126" s="540">
        <v>1372</v>
      </c>
    </row>
    <row r="127" spans="1:3" x14ac:dyDescent="0.25">
      <c r="B127">
        <v>937</v>
      </c>
      <c r="C127" s="540">
        <v>223725</v>
      </c>
    </row>
    <row r="128" spans="1:3" x14ac:dyDescent="0.25">
      <c r="B128">
        <v>941</v>
      </c>
      <c r="C128" s="540">
        <v>184781</v>
      </c>
    </row>
    <row r="129" spans="1:3" x14ac:dyDescent="0.25">
      <c r="B129">
        <v>945</v>
      </c>
      <c r="C129" s="540">
        <v>55509</v>
      </c>
    </row>
    <row r="130" spans="1:3" x14ac:dyDescent="0.25">
      <c r="B130">
        <v>947</v>
      </c>
      <c r="C130" s="540">
        <v>31222</v>
      </c>
    </row>
    <row r="131" spans="1:3" x14ac:dyDescent="0.25">
      <c r="B131">
        <v>951</v>
      </c>
      <c r="C131" s="540">
        <v>41702</v>
      </c>
    </row>
    <row r="132" spans="1:3" x14ac:dyDescent="0.25">
      <c r="B132">
        <v>953</v>
      </c>
      <c r="C132" s="540">
        <v>16111</v>
      </c>
    </row>
    <row r="133" spans="1:3" x14ac:dyDescent="0.25">
      <c r="B133">
        <v>956</v>
      </c>
      <c r="C133" s="540">
        <v>7911</v>
      </c>
    </row>
    <row r="134" spans="1:3" x14ac:dyDescent="0.25">
      <c r="B134">
        <v>958</v>
      </c>
      <c r="C134" s="540">
        <v>653</v>
      </c>
    </row>
    <row r="135" spans="1:3" x14ac:dyDescent="0.25">
      <c r="B135">
        <v>965</v>
      </c>
      <c r="C135" s="540">
        <v>55535</v>
      </c>
    </row>
    <row r="136" spans="1:3" x14ac:dyDescent="0.25">
      <c r="B136" s="555" t="s">
        <v>1484</v>
      </c>
      <c r="C136" s="540" t="s">
        <v>1490</v>
      </c>
    </row>
    <row r="137" spans="1:3" x14ac:dyDescent="0.25">
      <c r="B137">
        <v>967</v>
      </c>
      <c r="C137" s="540">
        <v>86866</v>
      </c>
    </row>
    <row r="138" spans="1:3" x14ac:dyDescent="0.25">
      <c r="B138" s="555">
        <v>968</v>
      </c>
      <c r="C138" s="540">
        <v>22465</v>
      </c>
    </row>
    <row r="139" spans="1:3" x14ac:dyDescent="0.25">
      <c r="B139">
        <v>971</v>
      </c>
      <c r="C139" s="540">
        <v>292404</v>
      </c>
    </row>
    <row r="140" spans="1:3" x14ac:dyDescent="0.25">
      <c r="B140">
        <v>972</v>
      </c>
      <c r="C140" s="540">
        <v>4071</v>
      </c>
    </row>
    <row r="141" spans="1:3" x14ac:dyDescent="0.25">
      <c r="B141" s="555">
        <v>973</v>
      </c>
      <c r="C141" s="540">
        <v>757</v>
      </c>
    </row>
    <row r="142" spans="1:3" x14ac:dyDescent="0.25">
      <c r="B142">
        <v>975</v>
      </c>
      <c r="C142" s="540">
        <v>52903</v>
      </c>
    </row>
    <row r="143" spans="1:3" x14ac:dyDescent="0.25">
      <c r="A143" t="s">
        <v>1485</v>
      </c>
      <c r="B143">
        <v>901</v>
      </c>
      <c r="C143" s="540" t="s">
        <v>1490</v>
      </c>
    </row>
    <row r="144" spans="1:3" x14ac:dyDescent="0.25">
      <c r="B144">
        <v>902</v>
      </c>
      <c r="C144" s="540" t="s">
        <v>1490</v>
      </c>
    </row>
    <row r="145" spans="2:3" x14ac:dyDescent="0.25">
      <c r="B145">
        <v>903</v>
      </c>
      <c r="C145" s="540">
        <v>12</v>
      </c>
    </row>
    <row r="146" spans="2:3" x14ac:dyDescent="0.25">
      <c r="B146">
        <v>904</v>
      </c>
      <c r="C146" s="540" t="s">
        <v>1490</v>
      </c>
    </row>
    <row r="147" spans="2:3" x14ac:dyDescent="0.25">
      <c r="B147">
        <v>905</v>
      </c>
      <c r="C147" s="540" t="s">
        <v>1490</v>
      </c>
    </row>
    <row r="148" spans="2:3" x14ac:dyDescent="0.25">
      <c r="B148">
        <v>906</v>
      </c>
      <c r="C148" s="540" t="s">
        <v>1490</v>
      </c>
    </row>
    <row r="149" spans="2:3" x14ac:dyDescent="0.25">
      <c r="B149">
        <v>907</v>
      </c>
      <c r="C149" s="540" t="s">
        <v>1490</v>
      </c>
    </row>
    <row r="150" spans="2:3" x14ac:dyDescent="0.25">
      <c r="B150">
        <v>981</v>
      </c>
      <c r="C150" s="540">
        <v>156</v>
      </c>
    </row>
    <row r="151" spans="2:3" x14ac:dyDescent="0.25">
      <c r="B151">
        <v>982</v>
      </c>
      <c r="C151" s="540">
        <v>317</v>
      </c>
    </row>
    <row r="152" spans="2:3" x14ac:dyDescent="0.25">
      <c r="B152">
        <v>983</v>
      </c>
      <c r="C152" s="540">
        <v>449</v>
      </c>
    </row>
    <row r="153" spans="2:3" x14ac:dyDescent="0.25">
      <c r="B153">
        <v>984</v>
      </c>
      <c r="C153" s="540">
        <v>593</v>
      </c>
    </row>
    <row r="154" spans="2:3" x14ac:dyDescent="0.25">
      <c r="B154">
        <v>985</v>
      </c>
      <c r="C154" s="540">
        <v>96</v>
      </c>
    </row>
    <row r="155" spans="2:3" x14ac:dyDescent="0.25">
      <c r="B155">
        <v>986</v>
      </c>
      <c r="C155" s="540">
        <v>60</v>
      </c>
    </row>
    <row r="156" spans="2:3" x14ac:dyDescent="0.25">
      <c r="B156">
        <v>987</v>
      </c>
      <c r="C156" s="540">
        <v>12</v>
      </c>
    </row>
    <row r="157" spans="2:3" x14ac:dyDescent="0.25">
      <c r="B157">
        <v>988</v>
      </c>
      <c r="C157" s="540" t="s">
        <v>1490</v>
      </c>
    </row>
    <row r="158" spans="2:3" x14ac:dyDescent="0.25">
      <c r="B158" s="555" t="s">
        <v>1486</v>
      </c>
      <c r="C158" s="540" t="s">
        <v>1490</v>
      </c>
    </row>
    <row r="159" spans="2:3" x14ac:dyDescent="0.25">
      <c r="B159">
        <v>990</v>
      </c>
      <c r="C159" s="540">
        <v>473</v>
      </c>
    </row>
    <row r="160" spans="2:3" x14ac:dyDescent="0.25">
      <c r="B160">
        <v>991</v>
      </c>
      <c r="C160" s="540" t="s">
        <v>1490</v>
      </c>
    </row>
    <row r="161" spans="2:3" x14ac:dyDescent="0.25">
      <c r="B161">
        <v>992</v>
      </c>
      <c r="C161" s="540">
        <v>12</v>
      </c>
    </row>
    <row r="162" spans="2:3" x14ac:dyDescent="0.25">
      <c r="B162">
        <v>993</v>
      </c>
      <c r="C162" s="540" t="s">
        <v>1490</v>
      </c>
    </row>
    <row r="163" spans="2:3" x14ac:dyDescent="0.25">
      <c r="B163">
        <v>994</v>
      </c>
      <c r="C163" s="540" t="s">
        <v>1490</v>
      </c>
    </row>
    <row r="164" spans="2:3" x14ac:dyDescent="0.25">
      <c r="B164" t="s">
        <v>1487</v>
      </c>
      <c r="C164" s="540">
        <v>4811303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31DA-7A9D-48CE-BA9A-16EC784612E1}">
  <dimension ref="A1:G176"/>
  <sheetViews>
    <sheetView workbookViewId="0"/>
  </sheetViews>
  <sheetFormatPr defaultRowHeight="15" x14ac:dyDescent="0.25"/>
  <cols>
    <col min="2" max="2" width="14" bestFit="1" customWidth="1"/>
    <col min="3" max="3" width="19.42578125" bestFit="1" customWidth="1"/>
  </cols>
  <sheetData>
    <row r="1" spans="1:7" x14ac:dyDescent="0.25">
      <c r="A1" t="s">
        <v>1174</v>
      </c>
      <c r="B1" t="s">
        <v>1488</v>
      </c>
      <c r="C1" t="s">
        <v>1489</v>
      </c>
    </row>
    <row r="2" spans="1:7" x14ac:dyDescent="0.25">
      <c r="A2">
        <v>800</v>
      </c>
      <c r="B2" s="224">
        <v>4.54</v>
      </c>
      <c r="C2" s="224">
        <v>2.48</v>
      </c>
      <c r="F2" s="224"/>
      <c r="G2" s="224"/>
    </row>
    <row r="3" spans="1:7" x14ac:dyDescent="0.25">
      <c r="A3">
        <v>802</v>
      </c>
      <c r="B3" s="224">
        <v>4.6100000000000003</v>
      </c>
      <c r="C3" s="224">
        <v>2.11</v>
      </c>
      <c r="F3" s="224"/>
      <c r="G3" s="224"/>
    </row>
    <row r="4" spans="1:7" x14ac:dyDescent="0.25">
      <c r="A4">
        <v>803</v>
      </c>
      <c r="B4" s="224">
        <v>5.22</v>
      </c>
      <c r="C4" s="224">
        <v>2.33</v>
      </c>
      <c r="F4" s="224"/>
      <c r="G4" s="224"/>
    </row>
    <row r="5" spans="1:7" x14ac:dyDescent="0.25">
      <c r="A5">
        <v>804</v>
      </c>
      <c r="B5" s="224">
        <v>6.01</v>
      </c>
      <c r="C5" s="224">
        <v>2.02</v>
      </c>
      <c r="F5" s="224"/>
      <c r="G5" s="224"/>
    </row>
    <row r="6" spans="1:7" x14ac:dyDescent="0.25">
      <c r="A6">
        <v>805</v>
      </c>
      <c r="B6" s="224">
        <v>7.01</v>
      </c>
      <c r="C6" s="224">
        <v>2.6</v>
      </c>
      <c r="F6" s="224"/>
      <c r="G6" s="224"/>
    </row>
    <row r="7" spans="1:7" x14ac:dyDescent="0.25">
      <c r="A7">
        <v>806</v>
      </c>
      <c r="B7" s="224">
        <v>7.32</v>
      </c>
      <c r="C7" s="224">
        <v>2.99</v>
      </c>
      <c r="F7" s="224"/>
      <c r="G7" s="224"/>
    </row>
    <row r="8" spans="1:7" x14ac:dyDescent="0.25">
      <c r="A8">
        <v>468</v>
      </c>
      <c r="B8" s="224">
        <v>7.72</v>
      </c>
      <c r="C8" s="224">
        <v>2.6</v>
      </c>
      <c r="F8" s="224"/>
      <c r="G8" s="224"/>
    </row>
    <row r="9" spans="1:7" x14ac:dyDescent="0.25">
      <c r="A9">
        <v>478</v>
      </c>
      <c r="B9" s="224">
        <v>8.2200000000000006</v>
      </c>
      <c r="C9" s="224">
        <v>3</v>
      </c>
      <c r="F9" s="224"/>
      <c r="G9" s="224"/>
    </row>
    <row r="10" spans="1:7" x14ac:dyDescent="0.25">
      <c r="A10">
        <v>809</v>
      </c>
      <c r="B10" s="224">
        <v>9.35</v>
      </c>
      <c r="C10" s="224">
        <v>3.02</v>
      </c>
      <c r="F10" s="224"/>
      <c r="G10" s="224"/>
    </row>
    <row r="11" spans="1:7" x14ac:dyDescent="0.25">
      <c r="A11">
        <v>509</v>
      </c>
      <c r="B11" s="224">
        <v>4.43</v>
      </c>
      <c r="C11" s="224">
        <v>2.48</v>
      </c>
      <c r="F11" s="224"/>
      <c r="G11" s="224"/>
    </row>
    <row r="12" spans="1:7" x14ac:dyDescent="0.25">
      <c r="A12">
        <v>570</v>
      </c>
      <c r="B12" s="224">
        <v>17.05</v>
      </c>
      <c r="C12" s="224">
        <v>1.89</v>
      </c>
      <c r="F12" s="224"/>
      <c r="G12" s="224"/>
    </row>
    <row r="13" spans="1:7" x14ac:dyDescent="0.25">
      <c r="A13">
        <v>810</v>
      </c>
      <c r="B13" s="224">
        <v>6.78</v>
      </c>
      <c r="C13" s="224">
        <v>2.11</v>
      </c>
      <c r="F13" s="224"/>
      <c r="G13" s="224"/>
    </row>
    <row r="14" spans="1:7" x14ac:dyDescent="0.25">
      <c r="A14">
        <v>572</v>
      </c>
      <c r="B14" s="224">
        <v>13.08</v>
      </c>
      <c r="C14" s="224">
        <v>1.89</v>
      </c>
      <c r="F14" s="224"/>
      <c r="G14" s="224"/>
    </row>
    <row r="15" spans="1:7" x14ac:dyDescent="0.25">
      <c r="A15">
        <v>573</v>
      </c>
      <c r="B15" s="224">
        <v>12.99</v>
      </c>
      <c r="C15" s="224">
        <v>1.89</v>
      </c>
      <c r="F15" s="224"/>
      <c r="G15" s="224"/>
    </row>
    <row r="16" spans="1:7" x14ac:dyDescent="0.25">
      <c r="A16">
        <v>550</v>
      </c>
      <c r="B16" s="224">
        <v>11.53</v>
      </c>
      <c r="C16" s="224">
        <v>1.89</v>
      </c>
      <c r="F16" s="224"/>
      <c r="G16" s="224"/>
    </row>
    <row r="17" spans="1:7" x14ac:dyDescent="0.25">
      <c r="A17">
        <v>566</v>
      </c>
      <c r="B17" s="224">
        <v>12.5</v>
      </c>
      <c r="C17" s="224">
        <v>3.18</v>
      </c>
      <c r="F17" s="224"/>
      <c r="G17" s="224"/>
    </row>
    <row r="18" spans="1:7" x14ac:dyDescent="0.25">
      <c r="A18">
        <v>552</v>
      </c>
      <c r="B18" s="224">
        <v>10.6</v>
      </c>
      <c r="C18" s="224">
        <v>2.44</v>
      </c>
      <c r="F18" s="224"/>
      <c r="G18" s="224"/>
    </row>
    <row r="19" spans="1:7" x14ac:dyDescent="0.25">
      <c r="A19">
        <v>704</v>
      </c>
      <c r="B19" s="224">
        <v>10.83</v>
      </c>
      <c r="C19" s="224">
        <v>4.99</v>
      </c>
      <c r="F19" s="224"/>
      <c r="G19" s="224"/>
    </row>
    <row r="20" spans="1:7" x14ac:dyDescent="0.25">
      <c r="A20">
        <v>520</v>
      </c>
      <c r="B20" s="224">
        <v>8.67</v>
      </c>
      <c r="C20" s="224">
        <v>4.01</v>
      </c>
      <c r="F20" s="224"/>
      <c r="G20" s="224"/>
    </row>
    <row r="21" spans="1:7" x14ac:dyDescent="0.25">
      <c r="A21">
        <v>705</v>
      </c>
      <c r="B21" s="224">
        <v>12.3</v>
      </c>
      <c r="C21" s="224">
        <v>5.04</v>
      </c>
      <c r="F21" s="224"/>
      <c r="G21" s="224"/>
    </row>
    <row r="22" spans="1:7" x14ac:dyDescent="0.25">
      <c r="A22">
        <v>556</v>
      </c>
      <c r="B22" s="224">
        <v>12.04</v>
      </c>
      <c r="C22" s="224">
        <v>4.0199999999999996</v>
      </c>
      <c r="F22" s="224"/>
      <c r="G22" s="224"/>
    </row>
    <row r="23" spans="1:7" x14ac:dyDescent="0.25">
      <c r="A23">
        <v>558</v>
      </c>
      <c r="B23" s="224">
        <v>15.11</v>
      </c>
      <c r="C23" s="224">
        <v>8.17</v>
      </c>
      <c r="F23" s="224"/>
      <c r="G23" s="224"/>
    </row>
    <row r="24" spans="1:7" x14ac:dyDescent="0.25">
      <c r="A24">
        <v>701</v>
      </c>
      <c r="B24" s="224">
        <v>15.25</v>
      </c>
      <c r="C24" s="224">
        <v>3.92</v>
      </c>
      <c r="F24" s="224"/>
      <c r="G24" s="224"/>
    </row>
    <row r="25" spans="1:7" x14ac:dyDescent="0.25">
      <c r="A25">
        <v>574</v>
      </c>
      <c r="B25" s="224">
        <v>15.68</v>
      </c>
      <c r="C25" s="224">
        <v>3.73</v>
      </c>
      <c r="F25" s="224"/>
      <c r="G25" s="224"/>
    </row>
    <row r="26" spans="1:7" x14ac:dyDescent="0.25">
      <c r="A26">
        <v>700</v>
      </c>
      <c r="B26" s="224">
        <v>13.42</v>
      </c>
      <c r="C26" s="224">
        <v>3.92</v>
      </c>
      <c r="F26" s="224"/>
      <c r="G26" s="224"/>
    </row>
    <row r="27" spans="1:7" x14ac:dyDescent="0.25">
      <c r="A27">
        <v>575</v>
      </c>
      <c r="B27" s="224">
        <v>13.49</v>
      </c>
      <c r="C27" s="224">
        <v>3.74</v>
      </c>
      <c r="F27" s="224"/>
      <c r="G27" s="224"/>
    </row>
    <row r="28" spans="1:7" x14ac:dyDescent="0.25">
      <c r="A28">
        <v>702</v>
      </c>
      <c r="B28" s="224">
        <v>10.38</v>
      </c>
      <c r="C28" s="224">
        <v>3.92</v>
      </c>
      <c r="F28" s="224"/>
      <c r="G28" s="224"/>
    </row>
    <row r="29" spans="1:7" x14ac:dyDescent="0.25">
      <c r="A29">
        <v>564</v>
      </c>
      <c r="B29" s="224">
        <v>11.44</v>
      </c>
      <c r="C29" s="224">
        <v>3.7</v>
      </c>
      <c r="F29" s="224"/>
      <c r="G29" s="224"/>
    </row>
    <row r="30" spans="1:7" x14ac:dyDescent="0.25">
      <c r="A30">
        <v>703</v>
      </c>
      <c r="B30" s="224">
        <v>13.74</v>
      </c>
      <c r="C30" s="224">
        <v>4.93</v>
      </c>
      <c r="F30" s="224"/>
      <c r="G30" s="224"/>
    </row>
    <row r="31" spans="1:7" x14ac:dyDescent="0.25">
      <c r="A31">
        <v>554</v>
      </c>
      <c r="B31" s="224">
        <v>14.41</v>
      </c>
      <c r="C31" s="224">
        <v>3.97</v>
      </c>
      <c r="F31" s="224"/>
      <c r="G31" s="224"/>
    </row>
    <row r="32" spans="1:7" x14ac:dyDescent="0.25">
      <c r="A32">
        <v>576</v>
      </c>
      <c r="B32" s="224">
        <v>23.74</v>
      </c>
      <c r="C32" s="224">
        <v>8.17</v>
      </c>
      <c r="F32" s="224"/>
      <c r="G32" s="224"/>
    </row>
    <row r="33" spans="1:7" x14ac:dyDescent="0.25">
      <c r="A33">
        <v>860</v>
      </c>
      <c r="B33" s="224">
        <v>4.54</v>
      </c>
      <c r="C33" s="224">
        <v>2.48</v>
      </c>
      <c r="F33" s="224"/>
      <c r="G33" s="224"/>
    </row>
    <row r="34" spans="1:7" x14ac:dyDescent="0.25">
      <c r="A34">
        <v>862</v>
      </c>
      <c r="B34" s="224">
        <v>4.6100000000000003</v>
      </c>
      <c r="C34" s="224">
        <v>2.11</v>
      </c>
      <c r="F34" s="224"/>
      <c r="G34" s="224"/>
    </row>
    <row r="35" spans="1:7" x14ac:dyDescent="0.25">
      <c r="A35">
        <v>863</v>
      </c>
      <c r="B35" s="224">
        <v>5.22</v>
      </c>
      <c r="C35" s="224">
        <v>2.33</v>
      </c>
      <c r="F35" s="224"/>
      <c r="G35" s="224"/>
    </row>
    <row r="36" spans="1:7" x14ac:dyDescent="0.25">
      <c r="A36">
        <v>864</v>
      </c>
      <c r="B36" s="224">
        <v>6.01</v>
      </c>
      <c r="C36" s="224">
        <v>2.02</v>
      </c>
      <c r="F36" s="224"/>
      <c r="G36" s="224"/>
    </row>
    <row r="37" spans="1:7" x14ac:dyDescent="0.25">
      <c r="A37">
        <v>865</v>
      </c>
      <c r="B37" s="224">
        <v>7.01</v>
      </c>
      <c r="C37" s="224">
        <v>2.6</v>
      </c>
      <c r="F37" s="224"/>
      <c r="G37" s="224"/>
    </row>
    <row r="38" spans="1:7" x14ac:dyDescent="0.25">
      <c r="A38">
        <v>866</v>
      </c>
      <c r="B38" s="224">
        <v>7.32</v>
      </c>
      <c r="C38" s="224">
        <v>2.99</v>
      </c>
      <c r="F38" s="224"/>
      <c r="G38" s="224"/>
    </row>
    <row r="39" spans="1:7" x14ac:dyDescent="0.25">
      <c r="A39">
        <v>454</v>
      </c>
      <c r="B39" s="224">
        <v>7.72</v>
      </c>
      <c r="C39" s="224">
        <v>2.6</v>
      </c>
      <c r="F39" s="224"/>
      <c r="G39" s="224"/>
    </row>
    <row r="40" spans="1:7" x14ac:dyDescent="0.25">
      <c r="A40">
        <v>484</v>
      </c>
      <c r="B40" s="224">
        <v>8.2200000000000006</v>
      </c>
      <c r="C40" s="224">
        <v>3</v>
      </c>
      <c r="F40" s="224"/>
      <c r="G40" s="224"/>
    </row>
    <row r="41" spans="1:7" x14ac:dyDescent="0.25">
      <c r="A41">
        <v>869</v>
      </c>
      <c r="B41" s="224">
        <v>9.35</v>
      </c>
      <c r="C41" s="224">
        <v>3.02</v>
      </c>
      <c r="F41" s="224"/>
      <c r="G41" s="224"/>
    </row>
    <row r="42" spans="1:7" x14ac:dyDescent="0.25">
      <c r="A42">
        <v>508</v>
      </c>
      <c r="B42" s="224">
        <v>4.43</v>
      </c>
      <c r="C42" s="224">
        <v>2.48</v>
      </c>
      <c r="F42" s="224"/>
      <c r="G42" s="224"/>
    </row>
    <row r="43" spans="1:7" x14ac:dyDescent="0.25">
      <c r="A43">
        <v>530</v>
      </c>
      <c r="B43" s="224">
        <v>17.05</v>
      </c>
      <c r="C43" s="224">
        <v>1.89</v>
      </c>
      <c r="F43" s="224"/>
      <c r="G43" s="224"/>
    </row>
    <row r="44" spans="1:7" x14ac:dyDescent="0.25">
      <c r="A44">
        <v>870</v>
      </c>
      <c r="B44" s="224">
        <v>6.78</v>
      </c>
      <c r="C44" s="224">
        <v>2.11</v>
      </c>
      <c r="F44" s="224"/>
      <c r="G44" s="224"/>
    </row>
    <row r="45" spans="1:7" x14ac:dyDescent="0.25">
      <c r="A45">
        <v>532</v>
      </c>
      <c r="B45" s="224">
        <v>13.08</v>
      </c>
      <c r="C45" s="224">
        <v>1.89</v>
      </c>
      <c r="F45" s="224"/>
      <c r="G45" s="224"/>
    </row>
    <row r="46" spans="1:7" x14ac:dyDescent="0.25">
      <c r="A46">
        <v>533</v>
      </c>
      <c r="B46" s="224">
        <v>12.99</v>
      </c>
      <c r="C46" s="224">
        <v>1.89</v>
      </c>
      <c r="F46" s="224"/>
      <c r="G46" s="224"/>
    </row>
    <row r="47" spans="1:7" x14ac:dyDescent="0.25">
      <c r="A47">
        <v>534</v>
      </c>
      <c r="B47" s="224">
        <v>11.53</v>
      </c>
      <c r="C47" s="224">
        <v>1.89</v>
      </c>
      <c r="F47" s="224"/>
      <c r="G47" s="224"/>
    </row>
    <row r="48" spans="1:7" x14ac:dyDescent="0.25">
      <c r="A48">
        <v>536</v>
      </c>
      <c r="B48" s="224">
        <v>12.5</v>
      </c>
      <c r="C48" s="224">
        <v>3.18</v>
      </c>
      <c r="F48" s="224"/>
      <c r="G48" s="224"/>
    </row>
    <row r="49" spans="1:7" x14ac:dyDescent="0.25">
      <c r="A49">
        <v>538</v>
      </c>
      <c r="B49" s="224">
        <v>10.6</v>
      </c>
      <c r="C49" s="224">
        <v>2.44</v>
      </c>
      <c r="F49" s="224"/>
      <c r="G49" s="224"/>
    </row>
    <row r="50" spans="1:7" x14ac:dyDescent="0.25">
      <c r="A50">
        <v>724</v>
      </c>
      <c r="B50" s="224">
        <v>10.83</v>
      </c>
      <c r="C50" s="224">
        <v>4.99</v>
      </c>
      <c r="F50" s="224"/>
      <c r="G50" s="224"/>
    </row>
    <row r="51" spans="1:7" x14ac:dyDescent="0.25">
      <c r="A51">
        <v>522</v>
      </c>
      <c r="B51" s="224">
        <v>8.67</v>
      </c>
      <c r="C51" s="224">
        <v>4.01</v>
      </c>
      <c r="F51" s="224"/>
      <c r="G51" s="224"/>
    </row>
    <row r="52" spans="1:7" x14ac:dyDescent="0.25">
      <c r="A52">
        <v>725</v>
      </c>
      <c r="B52" s="224">
        <v>12.3</v>
      </c>
      <c r="C52" s="224">
        <v>5.04</v>
      </c>
      <c r="F52" s="224"/>
      <c r="G52" s="224"/>
    </row>
    <row r="53" spans="1:7" x14ac:dyDescent="0.25">
      <c r="A53">
        <v>541</v>
      </c>
      <c r="B53" s="224">
        <v>12.04</v>
      </c>
      <c r="C53" s="224">
        <v>4.0199999999999996</v>
      </c>
      <c r="F53" s="224"/>
      <c r="G53" s="224"/>
    </row>
    <row r="54" spans="1:7" x14ac:dyDescent="0.25">
      <c r="A54">
        <v>578</v>
      </c>
      <c r="B54" s="224">
        <v>15.11</v>
      </c>
      <c r="C54" s="224">
        <v>8.17</v>
      </c>
      <c r="F54" s="224"/>
      <c r="G54" s="224"/>
    </row>
    <row r="55" spans="1:7" x14ac:dyDescent="0.25">
      <c r="A55">
        <v>721</v>
      </c>
      <c r="B55" s="224">
        <v>15.25</v>
      </c>
      <c r="C55" s="224">
        <v>3.92</v>
      </c>
      <c r="F55" s="224"/>
      <c r="G55" s="224"/>
    </row>
    <row r="56" spans="1:7" x14ac:dyDescent="0.25">
      <c r="A56">
        <v>548</v>
      </c>
      <c r="B56" s="224">
        <v>15.68</v>
      </c>
      <c r="C56" s="224">
        <v>3.73</v>
      </c>
      <c r="F56" s="224"/>
      <c r="G56" s="224"/>
    </row>
    <row r="57" spans="1:7" x14ac:dyDescent="0.25">
      <c r="A57">
        <v>720</v>
      </c>
      <c r="B57" s="224">
        <v>13.42</v>
      </c>
      <c r="C57" s="224">
        <v>3.92</v>
      </c>
      <c r="F57" s="224"/>
      <c r="G57" s="224"/>
    </row>
    <row r="58" spans="1:7" x14ac:dyDescent="0.25">
      <c r="A58">
        <v>568</v>
      </c>
      <c r="B58" s="224">
        <v>13.49</v>
      </c>
      <c r="C58" s="224">
        <v>3.74</v>
      </c>
      <c r="F58" s="224"/>
      <c r="G58" s="224"/>
    </row>
    <row r="59" spans="1:7" x14ac:dyDescent="0.25">
      <c r="A59">
        <v>722</v>
      </c>
      <c r="B59" s="224">
        <v>10.38</v>
      </c>
      <c r="C59" s="224">
        <v>3.92</v>
      </c>
      <c r="F59" s="224"/>
      <c r="G59" s="224"/>
    </row>
    <row r="60" spans="1:7" x14ac:dyDescent="0.25">
      <c r="A60">
        <v>549</v>
      </c>
      <c r="B60" s="224">
        <v>11.44</v>
      </c>
      <c r="C60" s="224">
        <v>3.7</v>
      </c>
      <c r="F60" s="224"/>
      <c r="G60" s="224"/>
    </row>
    <row r="61" spans="1:7" x14ac:dyDescent="0.25">
      <c r="A61">
        <v>723</v>
      </c>
      <c r="B61" s="224">
        <v>13.74</v>
      </c>
      <c r="C61" s="224">
        <v>4.93</v>
      </c>
      <c r="F61" s="224"/>
      <c r="G61" s="224"/>
    </row>
    <row r="62" spans="1:7" x14ac:dyDescent="0.25">
      <c r="A62">
        <v>540</v>
      </c>
      <c r="B62" s="224">
        <v>14.41</v>
      </c>
      <c r="C62" s="224">
        <v>3.97</v>
      </c>
      <c r="F62" s="224"/>
      <c r="G62" s="224"/>
    </row>
    <row r="63" spans="1:7" x14ac:dyDescent="0.25">
      <c r="A63">
        <v>577</v>
      </c>
      <c r="B63" s="224">
        <v>23.74</v>
      </c>
      <c r="C63" s="224">
        <v>8.17</v>
      </c>
      <c r="F63" s="224"/>
      <c r="G63" s="224"/>
    </row>
    <row r="64" spans="1:7" x14ac:dyDescent="0.25">
      <c r="A64">
        <v>828</v>
      </c>
      <c r="B64" s="224">
        <v>11.03</v>
      </c>
      <c r="C64" s="224">
        <v>1.74</v>
      </c>
      <c r="F64" s="224"/>
      <c r="G64" s="224"/>
    </row>
    <row r="65" spans="1:7" x14ac:dyDescent="0.25">
      <c r="A65">
        <v>820</v>
      </c>
      <c r="B65" s="224">
        <v>16.59</v>
      </c>
      <c r="C65" s="224">
        <v>1.19</v>
      </c>
      <c r="F65" s="224"/>
      <c r="G65" s="224"/>
    </row>
    <row r="66" spans="1:7" x14ac:dyDescent="0.25">
      <c r="A66">
        <v>821</v>
      </c>
      <c r="B66" s="224">
        <v>16.59</v>
      </c>
      <c r="C66" s="224">
        <v>1.2</v>
      </c>
      <c r="F66" s="224"/>
      <c r="G66" s="224"/>
    </row>
    <row r="67" spans="1:7" x14ac:dyDescent="0.25">
      <c r="A67">
        <v>829</v>
      </c>
      <c r="B67" s="224">
        <v>16.53</v>
      </c>
      <c r="C67" s="224">
        <v>2.2599999999999998</v>
      </c>
      <c r="F67" s="224"/>
      <c r="G67" s="224"/>
    </row>
    <row r="68" spans="1:7" x14ac:dyDescent="0.25">
      <c r="A68">
        <v>822</v>
      </c>
      <c r="B68" s="224">
        <v>20.97</v>
      </c>
      <c r="C68" s="224">
        <v>1.26</v>
      </c>
      <c r="F68" s="224"/>
      <c r="G68" s="224"/>
    </row>
    <row r="69" spans="1:7" x14ac:dyDescent="0.25">
      <c r="A69">
        <v>823</v>
      </c>
      <c r="B69" s="224">
        <v>24.17</v>
      </c>
      <c r="C69" s="224">
        <v>1.38</v>
      </c>
      <c r="F69" s="224"/>
      <c r="G69" s="224"/>
    </row>
    <row r="70" spans="1:7" x14ac:dyDescent="0.25">
      <c r="A70">
        <v>835</v>
      </c>
      <c r="B70" s="224">
        <v>23.77</v>
      </c>
      <c r="C70" s="224">
        <v>2.2799999999999998</v>
      </c>
      <c r="F70" s="224"/>
      <c r="G70" s="224"/>
    </row>
    <row r="71" spans="1:7" x14ac:dyDescent="0.25">
      <c r="A71">
        <v>824</v>
      </c>
      <c r="B71" s="224">
        <v>28.02</v>
      </c>
      <c r="C71" s="224">
        <v>1.54</v>
      </c>
      <c r="F71" s="224"/>
      <c r="G71" s="224"/>
    </row>
    <row r="72" spans="1:7" x14ac:dyDescent="0.25">
      <c r="A72">
        <v>825</v>
      </c>
      <c r="B72" s="224">
        <v>29.51</v>
      </c>
      <c r="C72" s="224">
        <v>1.56</v>
      </c>
      <c r="F72" s="224"/>
      <c r="G72" s="224"/>
    </row>
    <row r="73" spans="1:7" x14ac:dyDescent="0.25">
      <c r="A73">
        <v>836</v>
      </c>
      <c r="B73" s="224">
        <v>24.02</v>
      </c>
      <c r="C73" s="224">
        <v>2.2799999999999998</v>
      </c>
      <c r="F73" s="224"/>
      <c r="G73" s="224"/>
    </row>
    <row r="74" spans="1:7" x14ac:dyDescent="0.25">
      <c r="A74">
        <v>830</v>
      </c>
      <c r="B74" s="224">
        <v>21.37</v>
      </c>
      <c r="C74" s="224">
        <v>2.5099999999999998</v>
      </c>
      <c r="F74" s="224"/>
      <c r="G74" s="224"/>
    </row>
    <row r="75" spans="1:7" x14ac:dyDescent="0.25">
      <c r="A75">
        <v>826</v>
      </c>
      <c r="B75" s="224">
        <v>27.49</v>
      </c>
      <c r="C75" s="224">
        <v>1.41</v>
      </c>
      <c r="F75" s="224"/>
      <c r="G75" s="224"/>
    </row>
    <row r="76" spans="1:7" x14ac:dyDescent="0.25">
      <c r="A76">
        <v>827</v>
      </c>
      <c r="B76" s="224">
        <v>29.65</v>
      </c>
      <c r="C76" s="224">
        <v>1.55</v>
      </c>
      <c r="F76" s="224"/>
      <c r="G76" s="224"/>
    </row>
    <row r="77" spans="1:7" x14ac:dyDescent="0.25">
      <c r="A77">
        <v>831</v>
      </c>
      <c r="B77" s="224">
        <v>22.88</v>
      </c>
      <c r="C77" s="224">
        <v>3.45</v>
      </c>
      <c r="F77" s="224"/>
      <c r="G77" s="224"/>
    </row>
    <row r="78" spans="1:7" x14ac:dyDescent="0.25">
      <c r="A78">
        <v>832</v>
      </c>
      <c r="B78" s="224">
        <v>27.56</v>
      </c>
      <c r="C78" s="224">
        <v>4.0999999999999996</v>
      </c>
      <c r="F78" s="224"/>
      <c r="G78" s="224"/>
    </row>
    <row r="79" spans="1:7" x14ac:dyDescent="0.25">
      <c r="A79">
        <v>833</v>
      </c>
      <c r="B79" s="224">
        <v>21.16</v>
      </c>
      <c r="C79" s="224">
        <v>3.04</v>
      </c>
      <c r="F79" s="224"/>
      <c r="G79" s="224"/>
    </row>
    <row r="80" spans="1:7" x14ac:dyDescent="0.25">
      <c r="A80">
        <v>834</v>
      </c>
      <c r="B80" s="224">
        <v>23.47</v>
      </c>
      <c r="C80" s="224">
        <v>3.6</v>
      </c>
      <c r="F80" s="224"/>
      <c r="G80" s="224"/>
    </row>
    <row r="81" spans="1:7" x14ac:dyDescent="0.25">
      <c r="A81">
        <v>848</v>
      </c>
      <c r="B81" s="224">
        <v>11.03</v>
      </c>
      <c r="C81" s="224">
        <v>1.74</v>
      </c>
      <c r="F81" s="224"/>
      <c r="G81" s="224"/>
    </row>
    <row r="82" spans="1:7" x14ac:dyDescent="0.25">
      <c r="A82">
        <v>840</v>
      </c>
      <c r="B82" s="224">
        <v>16.59</v>
      </c>
      <c r="C82" s="224">
        <v>1.19</v>
      </c>
      <c r="F82" s="224"/>
      <c r="G82" s="224"/>
    </row>
    <row r="83" spans="1:7" x14ac:dyDescent="0.25">
      <c r="A83">
        <v>841</v>
      </c>
      <c r="B83" s="224">
        <v>16.59</v>
      </c>
      <c r="C83" s="224">
        <v>1.2</v>
      </c>
      <c r="F83" s="224"/>
      <c r="G83" s="224"/>
    </row>
    <row r="84" spans="1:7" x14ac:dyDescent="0.25">
      <c r="A84">
        <v>849</v>
      </c>
      <c r="B84" s="224">
        <v>16.53</v>
      </c>
      <c r="C84" s="224">
        <v>2.2599999999999998</v>
      </c>
      <c r="F84" s="224"/>
      <c r="G84" s="224"/>
    </row>
    <row r="85" spans="1:7" x14ac:dyDescent="0.25">
      <c r="A85">
        <v>842</v>
      </c>
      <c r="B85" s="224">
        <v>20.97</v>
      </c>
      <c r="C85" s="224">
        <v>1.26</v>
      </c>
      <c r="F85" s="224"/>
      <c r="G85" s="224"/>
    </row>
    <row r="86" spans="1:7" x14ac:dyDescent="0.25">
      <c r="A86">
        <v>843</v>
      </c>
      <c r="B86" s="224">
        <v>24.17</v>
      </c>
      <c r="C86" s="224">
        <v>1.38</v>
      </c>
      <c r="F86" s="224"/>
      <c r="G86" s="224"/>
    </row>
    <row r="87" spans="1:7" x14ac:dyDescent="0.25">
      <c r="A87">
        <v>855</v>
      </c>
      <c r="B87" s="224">
        <v>23.77</v>
      </c>
      <c r="C87" s="224">
        <v>2.2799999999999998</v>
      </c>
      <c r="F87" s="224"/>
      <c r="G87" s="224"/>
    </row>
    <row r="88" spans="1:7" x14ac:dyDescent="0.25">
      <c r="A88">
        <v>844</v>
      </c>
      <c r="B88" s="224">
        <v>28.02</v>
      </c>
      <c r="C88" s="224">
        <v>1.54</v>
      </c>
      <c r="F88" s="224"/>
      <c r="G88" s="224"/>
    </row>
    <row r="89" spans="1:7" x14ac:dyDescent="0.25">
      <c r="A89">
        <v>845</v>
      </c>
      <c r="B89" s="224">
        <v>29.51</v>
      </c>
      <c r="C89" s="224">
        <v>1.56</v>
      </c>
      <c r="F89" s="224"/>
      <c r="G89" s="224"/>
    </row>
    <row r="90" spans="1:7" x14ac:dyDescent="0.25">
      <c r="A90">
        <v>856</v>
      </c>
      <c r="B90" s="224">
        <v>24.02</v>
      </c>
      <c r="C90" s="224">
        <v>2.2799999999999998</v>
      </c>
      <c r="F90" s="224"/>
      <c r="G90" s="224"/>
    </row>
    <row r="91" spans="1:7" x14ac:dyDescent="0.25">
      <c r="A91">
        <v>850</v>
      </c>
      <c r="B91" s="224">
        <v>21.37</v>
      </c>
      <c r="C91" s="224">
        <v>2.5099999999999998</v>
      </c>
      <c r="F91" s="224"/>
      <c r="G91" s="224"/>
    </row>
    <row r="92" spans="1:7" x14ac:dyDescent="0.25">
      <c r="A92">
        <v>846</v>
      </c>
      <c r="B92" s="224">
        <v>27.49</v>
      </c>
      <c r="C92" s="224">
        <v>1.41</v>
      </c>
      <c r="F92" s="224"/>
      <c r="G92" s="224"/>
    </row>
    <row r="93" spans="1:7" x14ac:dyDescent="0.25">
      <c r="A93">
        <v>847</v>
      </c>
      <c r="B93" s="224">
        <v>29.65</v>
      </c>
      <c r="C93" s="224">
        <v>1.55</v>
      </c>
      <c r="F93" s="224"/>
      <c r="G93" s="224"/>
    </row>
    <row r="94" spans="1:7" x14ac:dyDescent="0.25">
      <c r="A94">
        <v>851</v>
      </c>
      <c r="B94" s="224">
        <v>22.88</v>
      </c>
      <c r="C94" s="224">
        <v>3.45</v>
      </c>
      <c r="F94" s="224"/>
      <c r="G94" s="224"/>
    </row>
    <row r="95" spans="1:7" x14ac:dyDescent="0.25">
      <c r="A95">
        <v>852</v>
      </c>
      <c r="B95" s="224">
        <v>27.56</v>
      </c>
      <c r="C95" s="224">
        <v>4.0999999999999996</v>
      </c>
      <c r="F95" s="224"/>
      <c r="G95" s="224"/>
    </row>
    <row r="96" spans="1:7" x14ac:dyDescent="0.25">
      <c r="A96">
        <v>853</v>
      </c>
      <c r="B96" s="224">
        <v>21.16</v>
      </c>
      <c r="C96" s="224">
        <v>3.04</v>
      </c>
      <c r="F96" s="224"/>
      <c r="G96" s="224"/>
    </row>
    <row r="97" spans="1:7" x14ac:dyDescent="0.25">
      <c r="A97">
        <v>854</v>
      </c>
      <c r="B97" s="224">
        <v>23.47</v>
      </c>
      <c r="C97" s="224">
        <v>3.6</v>
      </c>
      <c r="F97" s="224"/>
      <c r="G97" s="224"/>
    </row>
    <row r="98" spans="1:7" x14ac:dyDescent="0.25">
      <c r="A98">
        <v>912</v>
      </c>
      <c r="B98" s="224">
        <v>7.72</v>
      </c>
      <c r="C98" s="224">
        <v>1.74</v>
      </c>
      <c r="F98" s="224"/>
      <c r="G98" s="224"/>
    </row>
    <row r="99" spans="1:7" x14ac:dyDescent="0.25">
      <c r="A99">
        <v>914</v>
      </c>
      <c r="B99" s="224">
        <v>7.64</v>
      </c>
      <c r="C99" s="224">
        <v>1.74</v>
      </c>
      <c r="F99" s="224"/>
      <c r="G99" s="224"/>
    </row>
    <row r="100" spans="1:7" x14ac:dyDescent="0.25">
      <c r="A100">
        <v>921</v>
      </c>
      <c r="B100" s="224">
        <v>11.82</v>
      </c>
      <c r="C100" s="224">
        <v>1.74</v>
      </c>
      <c r="F100" s="224"/>
      <c r="G100" s="224"/>
    </row>
    <row r="101" spans="1:7" x14ac:dyDescent="0.25">
      <c r="A101">
        <v>926</v>
      </c>
      <c r="B101" s="224">
        <v>10.85</v>
      </c>
      <c r="C101" s="224">
        <v>1.19</v>
      </c>
      <c r="F101" s="224"/>
      <c r="G101" s="224"/>
    </row>
    <row r="102" spans="1:7" x14ac:dyDescent="0.25">
      <c r="A102">
        <v>932</v>
      </c>
      <c r="B102" s="224">
        <v>20.41</v>
      </c>
      <c r="C102" s="224">
        <v>1.38</v>
      </c>
      <c r="F102" s="224"/>
      <c r="G102" s="224"/>
    </row>
    <row r="103" spans="1:7" x14ac:dyDescent="0.25">
      <c r="A103">
        <v>935</v>
      </c>
      <c r="B103" s="224">
        <v>15.21</v>
      </c>
      <c r="C103" s="224">
        <v>1.41</v>
      </c>
      <c r="F103" s="224"/>
      <c r="G103" s="224"/>
    </row>
    <row r="104" spans="1:7" x14ac:dyDescent="0.25">
      <c r="A104">
        <v>937</v>
      </c>
      <c r="B104" s="224">
        <v>11.57</v>
      </c>
      <c r="C104" s="224">
        <v>2.2599999999999998</v>
      </c>
      <c r="F104" s="224"/>
      <c r="G104" s="224"/>
    </row>
    <row r="105" spans="1:7" x14ac:dyDescent="0.25">
      <c r="A105">
        <v>941</v>
      </c>
      <c r="B105" s="224">
        <v>14.74</v>
      </c>
      <c r="C105" s="224">
        <v>2.5099999999999998</v>
      </c>
      <c r="F105" s="224"/>
      <c r="G105" s="224"/>
    </row>
    <row r="106" spans="1:7" x14ac:dyDescent="0.25">
      <c r="A106">
        <v>945</v>
      </c>
      <c r="B106" s="224">
        <v>21.2</v>
      </c>
      <c r="C106" s="224">
        <v>2.5099999999999998</v>
      </c>
      <c r="F106" s="224"/>
      <c r="G106" s="224"/>
    </row>
    <row r="107" spans="1:7" x14ac:dyDescent="0.25">
      <c r="A107">
        <v>947</v>
      </c>
      <c r="B107" s="224">
        <v>26.6</v>
      </c>
      <c r="C107" s="224">
        <v>1.55</v>
      </c>
      <c r="F107" s="224"/>
      <c r="G107" s="224"/>
    </row>
    <row r="108" spans="1:7" x14ac:dyDescent="0.25">
      <c r="A108">
        <v>951</v>
      </c>
      <c r="B108" s="224">
        <v>16.510000000000002</v>
      </c>
      <c r="C108" s="224">
        <v>3.45</v>
      </c>
      <c r="F108" s="224"/>
      <c r="G108" s="224"/>
    </row>
    <row r="109" spans="1:7" x14ac:dyDescent="0.25">
      <c r="A109">
        <v>953</v>
      </c>
      <c r="B109" s="224">
        <v>27.78</v>
      </c>
      <c r="C109" s="224">
        <v>4.0999999999999996</v>
      </c>
      <c r="F109" s="224"/>
      <c r="G109" s="224"/>
    </row>
    <row r="110" spans="1:7" x14ac:dyDescent="0.25">
      <c r="A110">
        <v>956</v>
      </c>
      <c r="B110" s="224">
        <v>17.77</v>
      </c>
      <c r="C110" s="224">
        <v>3.04</v>
      </c>
      <c r="F110" s="224"/>
      <c r="G110" s="224"/>
    </row>
    <row r="111" spans="1:7" x14ac:dyDescent="0.25">
      <c r="A111">
        <v>958</v>
      </c>
      <c r="B111" s="224">
        <v>22.22</v>
      </c>
      <c r="C111" s="224">
        <v>3.6</v>
      </c>
      <c r="F111" s="224"/>
      <c r="G111" s="224"/>
    </row>
    <row r="112" spans="1:7" x14ac:dyDescent="0.25">
      <c r="A112">
        <v>965</v>
      </c>
      <c r="B112" s="224">
        <v>8.4700000000000006</v>
      </c>
      <c r="C112" s="224">
        <v>2.2799999999999998</v>
      </c>
      <c r="F112" s="224"/>
      <c r="G112" s="224"/>
    </row>
    <row r="113" spans="1:7" x14ac:dyDescent="0.25">
      <c r="A113">
        <v>967</v>
      </c>
      <c r="B113" s="224">
        <v>18.5</v>
      </c>
      <c r="C113" s="224">
        <v>2.2799999999999998</v>
      </c>
      <c r="F113" s="224"/>
      <c r="G113" s="224"/>
    </row>
    <row r="114" spans="1:7" x14ac:dyDescent="0.25">
      <c r="A114">
        <v>968</v>
      </c>
      <c r="B114" s="224">
        <v>22.1</v>
      </c>
      <c r="C114" s="224">
        <v>2.2799999999999998</v>
      </c>
      <c r="F114" s="224"/>
      <c r="G114" s="224"/>
    </row>
    <row r="115" spans="1:7" x14ac:dyDescent="0.25">
      <c r="A115">
        <v>971</v>
      </c>
      <c r="B115" s="224">
        <v>15.07</v>
      </c>
      <c r="C115" s="224">
        <v>1.54</v>
      </c>
      <c r="F115" s="224"/>
      <c r="G115" s="224"/>
    </row>
    <row r="116" spans="1:7" x14ac:dyDescent="0.25">
      <c r="A116">
        <v>972</v>
      </c>
      <c r="B116" s="224">
        <v>20.239999999999998</v>
      </c>
      <c r="C116" s="224">
        <v>2.2799999999999998</v>
      </c>
      <c r="F116" s="224"/>
      <c r="G116" s="224"/>
    </row>
    <row r="117" spans="1:7" x14ac:dyDescent="0.25">
      <c r="A117">
        <v>973</v>
      </c>
      <c r="B117" s="224">
        <v>23.76</v>
      </c>
      <c r="C117" s="224">
        <v>2.2799999999999998</v>
      </c>
      <c r="F117" s="224"/>
      <c r="G117" s="224"/>
    </row>
    <row r="118" spans="1:7" x14ac:dyDescent="0.25">
      <c r="A118">
        <v>975</v>
      </c>
      <c r="B118" s="224">
        <v>19.57</v>
      </c>
      <c r="C118" s="224">
        <v>1.54</v>
      </c>
      <c r="F118" s="224"/>
      <c r="G118" s="224"/>
    </row>
    <row r="119" spans="1:7" x14ac:dyDescent="0.25">
      <c r="A119">
        <v>901</v>
      </c>
      <c r="B119" s="224">
        <v>7.64</v>
      </c>
      <c r="C119" s="224">
        <v>1.74</v>
      </c>
      <c r="F119" s="224"/>
      <c r="G119" s="224"/>
    </row>
    <row r="120" spans="1:7" x14ac:dyDescent="0.25">
      <c r="A120">
        <v>902</v>
      </c>
      <c r="B120" s="224">
        <v>11.82</v>
      </c>
      <c r="C120" s="224">
        <v>1.74</v>
      </c>
      <c r="F120" s="224"/>
      <c r="G120" s="224"/>
    </row>
    <row r="121" spans="1:7" x14ac:dyDescent="0.25">
      <c r="A121">
        <v>903</v>
      </c>
      <c r="B121" s="224">
        <v>20.41</v>
      </c>
      <c r="C121" s="224">
        <v>1.38</v>
      </c>
      <c r="F121" s="224"/>
      <c r="G121" s="224"/>
    </row>
    <row r="122" spans="1:7" x14ac:dyDescent="0.25">
      <c r="A122">
        <v>904</v>
      </c>
      <c r="B122" s="224">
        <v>15.21</v>
      </c>
      <c r="C122" s="224">
        <v>1.41</v>
      </c>
      <c r="F122" s="224"/>
      <c r="G122" s="224"/>
    </row>
    <row r="123" spans="1:7" x14ac:dyDescent="0.25">
      <c r="A123">
        <v>905</v>
      </c>
      <c r="B123" s="224">
        <v>11.57</v>
      </c>
      <c r="C123" s="224">
        <v>2.2599999999999998</v>
      </c>
      <c r="F123" s="224"/>
      <c r="G123" s="224"/>
    </row>
    <row r="124" spans="1:7" x14ac:dyDescent="0.25">
      <c r="A124">
        <v>906</v>
      </c>
      <c r="B124" s="224">
        <v>21.2</v>
      </c>
      <c r="C124" s="224">
        <v>2.5099999999999998</v>
      </c>
      <c r="F124" s="224"/>
      <c r="G124" s="224"/>
    </row>
    <row r="125" spans="1:7" x14ac:dyDescent="0.25">
      <c r="A125">
        <v>907</v>
      </c>
      <c r="B125" s="224">
        <v>22.22</v>
      </c>
      <c r="C125" s="224">
        <v>3.6</v>
      </c>
      <c r="F125" s="224"/>
      <c r="G125" s="224"/>
    </row>
    <row r="126" spans="1:7" x14ac:dyDescent="0.25">
      <c r="A126">
        <v>981</v>
      </c>
      <c r="B126" s="224">
        <v>7.72</v>
      </c>
      <c r="C126" s="224">
        <v>1.74</v>
      </c>
      <c r="F126" s="224"/>
      <c r="G126" s="224"/>
    </row>
    <row r="127" spans="1:7" x14ac:dyDescent="0.25">
      <c r="A127">
        <v>982</v>
      </c>
      <c r="B127" s="224">
        <v>10.85</v>
      </c>
      <c r="C127" s="224">
        <v>1.19</v>
      </c>
      <c r="F127" s="224"/>
      <c r="G127" s="224"/>
    </row>
    <row r="128" spans="1:7" x14ac:dyDescent="0.25">
      <c r="A128">
        <v>983</v>
      </c>
      <c r="B128" s="224">
        <v>14.74</v>
      </c>
      <c r="C128" s="224">
        <v>2.5099999999999998</v>
      </c>
      <c r="F128" s="224"/>
      <c r="G128" s="224"/>
    </row>
    <row r="129" spans="1:7" x14ac:dyDescent="0.25">
      <c r="A129">
        <v>984</v>
      </c>
      <c r="B129" s="224">
        <v>26.6</v>
      </c>
      <c r="C129" s="224">
        <v>1.55</v>
      </c>
      <c r="F129" s="224"/>
      <c r="G129" s="224"/>
    </row>
    <row r="130" spans="1:7" x14ac:dyDescent="0.25">
      <c r="A130">
        <v>985</v>
      </c>
      <c r="B130" s="224">
        <v>16.510000000000002</v>
      </c>
      <c r="C130" s="224">
        <v>3.45</v>
      </c>
      <c r="F130" s="224"/>
      <c r="G130" s="224"/>
    </row>
    <row r="131" spans="1:7" x14ac:dyDescent="0.25">
      <c r="A131">
        <v>986</v>
      </c>
      <c r="B131" s="224">
        <v>27.78</v>
      </c>
      <c r="C131" s="224">
        <v>4.0999999999999996</v>
      </c>
      <c r="F131" s="224"/>
      <c r="G131" s="224"/>
    </row>
    <row r="132" spans="1:7" x14ac:dyDescent="0.25">
      <c r="A132">
        <v>987</v>
      </c>
      <c r="B132" s="224">
        <v>17.77</v>
      </c>
      <c r="C132" s="224">
        <v>3.04</v>
      </c>
      <c r="F132" s="224"/>
      <c r="G132" s="224"/>
    </row>
    <row r="133" spans="1:7" x14ac:dyDescent="0.25">
      <c r="A133">
        <v>988</v>
      </c>
      <c r="B133" s="224">
        <v>18.5</v>
      </c>
      <c r="C133" s="224">
        <v>2.2799999999999998</v>
      </c>
      <c r="F133" s="224"/>
      <c r="G133" s="224"/>
    </row>
    <row r="134" spans="1:7" x14ac:dyDescent="0.25">
      <c r="A134">
        <v>989</v>
      </c>
      <c r="B134" s="224">
        <v>22.1</v>
      </c>
      <c r="C134" s="224">
        <v>2.2799999999999998</v>
      </c>
      <c r="F134" s="224"/>
      <c r="G134" s="224"/>
    </row>
    <row r="135" spans="1:7" x14ac:dyDescent="0.25">
      <c r="A135">
        <v>990</v>
      </c>
      <c r="B135" s="224">
        <v>19.57</v>
      </c>
      <c r="C135" s="224">
        <v>1.54</v>
      </c>
      <c r="F135" s="224"/>
      <c r="G135" s="224"/>
    </row>
    <row r="136" spans="1:7" x14ac:dyDescent="0.25">
      <c r="A136">
        <v>991</v>
      </c>
      <c r="B136" s="224">
        <v>8.4700000000000006</v>
      </c>
      <c r="C136" s="224">
        <v>2.2799999999999998</v>
      </c>
      <c r="F136" s="224"/>
      <c r="G136" s="224"/>
    </row>
    <row r="137" spans="1:7" x14ac:dyDescent="0.25">
      <c r="A137">
        <v>992</v>
      </c>
      <c r="B137" s="224">
        <v>15.07</v>
      </c>
      <c r="C137" s="224">
        <v>1.54</v>
      </c>
      <c r="F137" s="224"/>
      <c r="G137" s="224"/>
    </row>
    <row r="138" spans="1:7" x14ac:dyDescent="0.25">
      <c r="A138">
        <v>993</v>
      </c>
      <c r="B138" s="224">
        <v>20.239999999999998</v>
      </c>
      <c r="C138" s="224">
        <v>2.2799999999999998</v>
      </c>
      <c r="F138" s="224"/>
      <c r="G138" s="224"/>
    </row>
    <row r="139" spans="1:7" x14ac:dyDescent="0.25">
      <c r="A139">
        <v>994</v>
      </c>
      <c r="B139" s="224">
        <v>23.76</v>
      </c>
      <c r="C139" s="224">
        <v>2.2799999999999998</v>
      </c>
      <c r="F139" s="224"/>
      <c r="G139" s="224"/>
    </row>
    <row r="140" spans="1:7" x14ac:dyDescent="0.25">
      <c r="A140">
        <v>425</v>
      </c>
      <c r="B140" s="224">
        <v>7.83</v>
      </c>
      <c r="C140" s="224">
        <v>0.17</v>
      </c>
      <c r="F140" s="224"/>
      <c r="G140" s="224"/>
    </row>
    <row r="141" spans="1:7" x14ac:dyDescent="0.25">
      <c r="A141">
        <v>626</v>
      </c>
      <c r="B141" s="224">
        <v>3.87</v>
      </c>
      <c r="C141" s="224">
        <v>0.17</v>
      </c>
      <c r="F141" s="224"/>
      <c r="G141" s="224"/>
    </row>
    <row r="142" spans="1:7" x14ac:dyDescent="0.25">
      <c r="A142">
        <v>627</v>
      </c>
      <c r="B142" s="224">
        <v>4.58</v>
      </c>
      <c r="C142" s="224">
        <v>0.17</v>
      </c>
      <c r="F142" s="224"/>
      <c r="G142" s="224"/>
    </row>
    <row r="143" spans="1:7" x14ac:dyDescent="0.25">
      <c r="A143">
        <v>597</v>
      </c>
      <c r="B143" s="224">
        <v>9.7799999999999994</v>
      </c>
      <c r="C143" s="224">
        <v>0.31</v>
      </c>
      <c r="F143" s="224"/>
      <c r="G143" s="224"/>
    </row>
    <row r="144" spans="1:7" x14ac:dyDescent="0.25">
      <c r="A144">
        <v>637</v>
      </c>
      <c r="B144" s="224">
        <v>8.19</v>
      </c>
      <c r="C144" s="224">
        <v>0.17</v>
      </c>
      <c r="F144" s="224"/>
      <c r="G144" s="224"/>
    </row>
    <row r="145" spans="1:7" x14ac:dyDescent="0.25">
      <c r="A145">
        <v>594</v>
      </c>
      <c r="B145" s="224">
        <v>15.68</v>
      </c>
      <c r="C145" s="224">
        <v>0.31</v>
      </c>
      <c r="F145" s="224"/>
      <c r="G145" s="224"/>
    </row>
    <row r="146" spans="1:7" x14ac:dyDescent="0.25">
      <c r="A146">
        <v>599</v>
      </c>
      <c r="B146" s="224">
        <v>22.6</v>
      </c>
      <c r="C146" s="224">
        <v>0.14000000000000001</v>
      </c>
      <c r="F146" s="224"/>
      <c r="G146" s="224"/>
    </row>
    <row r="147" spans="1:7" x14ac:dyDescent="0.25">
      <c r="A147">
        <v>595</v>
      </c>
      <c r="B147" s="224">
        <v>31.03</v>
      </c>
      <c r="C147" s="224">
        <v>0.14000000000000001</v>
      </c>
      <c r="F147" s="224"/>
      <c r="G147" s="224"/>
    </row>
    <row r="148" spans="1:7" x14ac:dyDescent="0.25">
      <c r="A148">
        <v>588</v>
      </c>
      <c r="B148" s="224">
        <v>32.53</v>
      </c>
      <c r="C148" s="224">
        <v>0.34</v>
      </c>
      <c r="F148" s="224"/>
      <c r="G148" s="224"/>
    </row>
    <row r="149" spans="1:7" x14ac:dyDescent="0.25">
      <c r="A149">
        <v>607</v>
      </c>
      <c r="B149" s="224">
        <v>16.63</v>
      </c>
      <c r="C149" s="224">
        <v>0.34</v>
      </c>
      <c r="F149" s="224"/>
      <c r="G149" s="224"/>
    </row>
    <row r="150" spans="1:7" x14ac:dyDescent="0.25">
      <c r="A150">
        <v>612</v>
      </c>
      <c r="B150" s="224">
        <v>22.29</v>
      </c>
      <c r="C150" s="224">
        <v>0.34</v>
      </c>
      <c r="F150" s="224"/>
      <c r="G150" s="224"/>
    </row>
    <row r="151" spans="1:7" x14ac:dyDescent="0.25">
      <c r="A151">
        <v>614</v>
      </c>
      <c r="B151" s="224">
        <v>33.64</v>
      </c>
      <c r="C151" s="224">
        <v>0.34</v>
      </c>
      <c r="F151" s="224"/>
      <c r="G151" s="224"/>
    </row>
    <row r="152" spans="1:7" x14ac:dyDescent="0.25">
      <c r="A152">
        <v>596</v>
      </c>
      <c r="B152" s="224">
        <v>37.9</v>
      </c>
      <c r="C152" s="224">
        <v>0.14000000000000001</v>
      </c>
      <c r="F152" s="224"/>
      <c r="G152" s="224"/>
    </row>
    <row r="153" spans="1:7" x14ac:dyDescent="0.25">
      <c r="A153">
        <v>523</v>
      </c>
      <c r="B153" s="224">
        <v>30.45</v>
      </c>
      <c r="C153" s="224">
        <v>0.14000000000000001</v>
      </c>
      <c r="F153" s="224"/>
      <c r="G153" s="224"/>
    </row>
    <row r="154" spans="1:7" x14ac:dyDescent="0.25">
      <c r="A154">
        <v>591</v>
      </c>
      <c r="B154" s="224">
        <v>41.94</v>
      </c>
      <c r="C154" s="224">
        <v>0.14000000000000001</v>
      </c>
      <c r="F154" s="224"/>
      <c r="G154" s="224"/>
    </row>
    <row r="155" spans="1:7" x14ac:dyDescent="0.25">
      <c r="A155">
        <v>592</v>
      </c>
      <c r="B155" s="224">
        <v>36.01</v>
      </c>
      <c r="C155" s="224">
        <v>0.14000000000000001</v>
      </c>
      <c r="F155" s="224"/>
      <c r="G155" s="224"/>
    </row>
    <row r="156" spans="1:7" x14ac:dyDescent="0.25">
      <c r="A156">
        <v>593</v>
      </c>
      <c r="B156" s="224">
        <v>20.260000000000002</v>
      </c>
      <c r="C156" s="224">
        <v>1.1000000000000001</v>
      </c>
      <c r="F156" s="224"/>
      <c r="G156" s="224"/>
    </row>
    <row r="157" spans="1:7" x14ac:dyDescent="0.25">
      <c r="A157">
        <v>583</v>
      </c>
      <c r="B157" s="224">
        <v>30.44</v>
      </c>
      <c r="C157" s="224">
        <v>0.14000000000000001</v>
      </c>
      <c r="F157" s="224"/>
      <c r="G157" s="224"/>
    </row>
    <row r="158" spans="1:7" x14ac:dyDescent="0.25">
      <c r="A158">
        <v>422</v>
      </c>
      <c r="B158" s="224">
        <v>12.46</v>
      </c>
      <c r="C158" s="224">
        <v>1.3</v>
      </c>
      <c r="F158" s="224"/>
      <c r="G158" s="224"/>
    </row>
    <row r="159" spans="1:7" x14ac:dyDescent="0.25">
      <c r="A159">
        <v>616</v>
      </c>
      <c r="B159" s="224">
        <v>41.39</v>
      </c>
      <c r="C159" s="224">
        <v>0.34</v>
      </c>
      <c r="F159" s="224"/>
      <c r="G159" s="224"/>
    </row>
    <row r="160" spans="1:7" x14ac:dyDescent="0.25">
      <c r="A160">
        <v>615</v>
      </c>
      <c r="B160" s="224">
        <v>17.78</v>
      </c>
      <c r="C160" s="224">
        <v>0.34</v>
      </c>
      <c r="F160" s="224"/>
      <c r="G160" s="224"/>
    </row>
    <row r="161" spans="1:7" x14ac:dyDescent="0.25">
      <c r="A161">
        <v>622</v>
      </c>
      <c r="B161" s="224">
        <v>56.67</v>
      </c>
      <c r="C161" s="224">
        <v>0.34</v>
      </c>
      <c r="F161" s="224"/>
      <c r="G161" s="224"/>
    </row>
    <row r="162" spans="1:7" x14ac:dyDescent="0.25">
      <c r="A162">
        <v>623</v>
      </c>
      <c r="B162" s="224">
        <v>48.78</v>
      </c>
      <c r="C162" s="224">
        <v>3.85</v>
      </c>
      <c r="F162" s="224"/>
      <c r="G162" s="224"/>
    </row>
    <row r="163" spans="1:7" x14ac:dyDescent="0.25">
      <c r="A163">
        <v>584</v>
      </c>
      <c r="B163" s="224">
        <v>23.38</v>
      </c>
      <c r="C163" s="224">
        <v>1.1000000000000001</v>
      </c>
      <c r="F163" s="224"/>
      <c r="G163" s="224"/>
    </row>
    <row r="164" spans="1:7" x14ac:dyDescent="0.25">
      <c r="A164">
        <v>581</v>
      </c>
      <c r="B164" s="224">
        <v>35.69</v>
      </c>
      <c r="C164" s="224">
        <v>1.1000000000000001</v>
      </c>
      <c r="F164" s="224"/>
      <c r="G164" s="224"/>
    </row>
    <row r="165" spans="1:7" x14ac:dyDescent="0.25">
      <c r="A165">
        <v>586</v>
      </c>
      <c r="B165" s="224">
        <v>27.22</v>
      </c>
      <c r="C165" s="224">
        <v>1.1000000000000001</v>
      </c>
      <c r="F165" s="224"/>
      <c r="G165" s="224"/>
    </row>
    <row r="166" spans="1:7" x14ac:dyDescent="0.25">
      <c r="A166">
        <v>585</v>
      </c>
      <c r="B166" s="224">
        <v>35.630000000000003</v>
      </c>
      <c r="C166" s="224">
        <v>1.1000000000000001</v>
      </c>
      <c r="F166" s="224"/>
      <c r="G166" s="224"/>
    </row>
    <row r="167" spans="1:7" x14ac:dyDescent="0.25">
      <c r="A167">
        <v>590</v>
      </c>
      <c r="B167" s="224">
        <v>30.8</v>
      </c>
      <c r="C167" s="224">
        <v>1.1000000000000001</v>
      </c>
      <c r="F167" s="224"/>
      <c r="G167" s="224"/>
    </row>
    <row r="168" spans="1:7" x14ac:dyDescent="0.25">
      <c r="A168">
        <v>580</v>
      </c>
      <c r="B168" s="224">
        <v>25.79</v>
      </c>
      <c r="C168" s="224">
        <v>1.1000000000000001</v>
      </c>
      <c r="F168" s="224"/>
      <c r="G168" s="224"/>
    </row>
    <row r="169" spans="1:7" x14ac:dyDescent="0.25">
      <c r="A169">
        <v>587</v>
      </c>
      <c r="B169" s="224">
        <v>27.23</v>
      </c>
      <c r="C169" s="224">
        <v>1.1000000000000001</v>
      </c>
      <c r="F169" s="224"/>
      <c r="G169" s="224"/>
    </row>
    <row r="170" spans="1:7" x14ac:dyDescent="0.25">
      <c r="A170">
        <v>589</v>
      </c>
      <c r="B170" s="224">
        <v>51.02</v>
      </c>
      <c r="C170" s="224">
        <v>1.68</v>
      </c>
      <c r="F170" s="224"/>
      <c r="G170" s="224"/>
    </row>
    <row r="171" spans="1:7" x14ac:dyDescent="0.25">
      <c r="A171">
        <v>624</v>
      </c>
      <c r="B171" s="224">
        <v>10.84</v>
      </c>
      <c r="C171" s="224">
        <v>1.3</v>
      </c>
      <c r="F171" s="224"/>
      <c r="G171" s="224"/>
    </row>
    <row r="172" spans="1:7" x14ac:dyDescent="0.25">
      <c r="A172">
        <v>582</v>
      </c>
      <c r="B172" s="224">
        <v>19.72</v>
      </c>
      <c r="C172" s="224">
        <v>1.1000000000000001</v>
      </c>
      <c r="F172" s="224"/>
      <c r="G172" s="224"/>
    </row>
    <row r="173" spans="1:7" x14ac:dyDescent="0.25">
      <c r="A173">
        <v>525</v>
      </c>
      <c r="B173" s="224">
        <v>32.49</v>
      </c>
      <c r="C173" s="224">
        <v>1.1000000000000001</v>
      </c>
      <c r="F173" s="224"/>
      <c r="G173" s="224"/>
    </row>
    <row r="174" spans="1:7" x14ac:dyDescent="0.25">
      <c r="A174">
        <v>641</v>
      </c>
      <c r="B174" s="224">
        <v>6.94</v>
      </c>
      <c r="C174" s="224">
        <v>0.34</v>
      </c>
      <c r="F174" s="224"/>
      <c r="G174" s="224"/>
    </row>
    <row r="175" spans="1:7" x14ac:dyDescent="0.25">
      <c r="A175">
        <v>563</v>
      </c>
      <c r="B175" s="224">
        <v>8.39</v>
      </c>
      <c r="C175" s="224">
        <v>1.43</v>
      </c>
      <c r="F175" s="224"/>
      <c r="G175" s="224"/>
    </row>
    <row r="176" spans="1:7" x14ac:dyDescent="0.25">
      <c r="A176">
        <v>569</v>
      </c>
      <c r="B176" s="224">
        <v>4.75</v>
      </c>
      <c r="C176" s="224">
        <v>0.06</v>
      </c>
      <c r="F176" s="224"/>
      <c r="G176" s="224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0" ma:contentTypeDescription="Create a new document." ma:contentTypeScope="" ma:versionID="f3467a3060f415fe6e81f988c750fe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f9ca9ed2b1b526ffdf70859b84e6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DB5448-EAAF-4DA1-A65D-D1DF599AFA78}"/>
</file>

<file path=customXml/itemProps2.xml><?xml version="1.0" encoding="utf-8"?>
<ds:datastoreItem xmlns:ds="http://schemas.openxmlformats.org/officeDocument/2006/customXml" ds:itemID="{2B2148CD-7363-4560-B82B-F08E5A2913F5}"/>
</file>

<file path=customXml/itemProps3.xml><?xml version="1.0" encoding="utf-8"?>
<ds:datastoreItem xmlns:ds="http://schemas.openxmlformats.org/officeDocument/2006/customXml" ds:itemID="{47E4E5D7-925E-498C-AA9B-E44F8A7B9F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13</vt:i4>
      </vt:variant>
    </vt:vector>
  </HeadingPairs>
  <TitlesOfParts>
    <vt:vector size="43" baseType="lpstr">
      <vt:lpstr>2025 Org Base Case BDs</vt:lpstr>
      <vt:lpstr>2025 Billing Determinants</vt:lpstr>
      <vt:lpstr>2025 Calendar Year BDs</vt:lpstr>
      <vt:lpstr>AMI Opt Out</vt:lpstr>
      <vt:lpstr>CISR &amp; EDR</vt:lpstr>
      <vt:lpstr>2024 Base Rates</vt:lpstr>
      <vt:lpstr>Time of Day Inputs</vt:lpstr>
      <vt:lpstr>2025 Lighting BDs</vt:lpstr>
      <vt:lpstr>2024 Lighting Rates</vt:lpstr>
      <vt:lpstr>LS-2 Facilities Input</vt:lpstr>
      <vt:lpstr>Operating Revenue Requirement</vt:lpstr>
      <vt:lpstr>Service Charges Allocation Fact</vt:lpstr>
      <vt:lpstr>A-2 for RS_GS_GSD</vt:lpstr>
      <vt:lpstr>A-2 FOR GSLDPR_GSLDTPR_GSLDSU</vt:lpstr>
      <vt:lpstr>A-3</vt:lpstr>
      <vt:lpstr>E-5</vt:lpstr>
      <vt:lpstr>E-8</vt:lpstr>
      <vt:lpstr>E-12</vt:lpstr>
      <vt:lpstr>E-13a</vt:lpstr>
      <vt:lpstr>Cover Page E-13c</vt:lpstr>
      <vt:lpstr>2025 RS Rate Class E-13c</vt:lpstr>
      <vt:lpstr>2025 GS Rate Class E-13c</vt:lpstr>
      <vt:lpstr>2025 GSD Rate Class E-13c</vt:lpstr>
      <vt:lpstr>2025 GSLDPR Rate Class E-13c</vt:lpstr>
      <vt:lpstr>2025 GSLDSU Rate Class E-13c</vt:lpstr>
      <vt:lpstr>2025 LS Rate Class E-13c</vt:lpstr>
      <vt:lpstr>E-13d</vt:lpstr>
      <vt:lpstr>E-14 Supp A Pages 1-9</vt:lpstr>
      <vt:lpstr>Unit Cost Rate Design Input</vt:lpstr>
      <vt:lpstr>2025 Base Rates</vt:lpstr>
      <vt:lpstr>'2025 GS Rate Class E-13c'!Print_Area</vt:lpstr>
      <vt:lpstr>'2025 GSD Rate Class E-13c'!Print_Area</vt:lpstr>
      <vt:lpstr>'2025 GSLDPR Rate Class E-13c'!Print_Area</vt:lpstr>
      <vt:lpstr>'2025 GSLDSU Rate Class E-13c'!Print_Area</vt:lpstr>
      <vt:lpstr>'2025 LS Rate Class E-13c'!Print_Area</vt:lpstr>
      <vt:lpstr>'2025 RS Rate Class E-13c'!Print_Area</vt:lpstr>
      <vt:lpstr>'A-2 FOR GSLDPR_GSLDTPR_GSLDSU'!Print_Area</vt:lpstr>
      <vt:lpstr>'A-2 for RS_GS_GSD'!Print_Area</vt:lpstr>
      <vt:lpstr>'Cover Page E-13c'!Print_Area</vt:lpstr>
      <vt:lpstr>'E-12'!Print_Area</vt:lpstr>
      <vt:lpstr>'E-13a'!Print_Area</vt:lpstr>
      <vt:lpstr>'E-13d'!Print_Area</vt:lpstr>
      <vt:lpstr>'E-14 Supp A Pages 1-9'!Print_Area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Williams, Jordan M.</dc:creator>
  <cp:lastModifiedBy>Williams, Jordan M.</cp:lastModifiedBy>
  <cp:lastPrinted>2024-03-13T00:50:54Z</cp:lastPrinted>
  <dcterms:created xsi:type="dcterms:W3CDTF">2022-07-06T14:06:05Z</dcterms:created>
  <dcterms:modified xsi:type="dcterms:W3CDTF">2024-04-01T18:56:06Z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2022-07-06T14:06:05Z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3a65b1d2-551c-419d-a262-49f4a98cd6d2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  <property fmtid="{D5CDD505-2E9C-101B-9397-08002B2CF9AE}" pid="10" name="Order">
    <vt:r8>771300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