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olors1.xml" ContentType="application/vnd.ms-office.chartcolor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2.xml" ContentType="application/vnd.openxmlformats-officedocument.spreadsheetml.comments+xml"/>
  <Override PartName="/xl/externalLinks/externalLink4.xml" ContentType="application/vnd.openxmlformats-officedocument.spreadsheetml.externalLink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omments3.xml" ContentType="application/vnd.openxmlformats-officedocument.spreadsheetml.comment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11.bin" ContentType="application/vnd.openxmlformats-officedocument.spreadsheetml.customProperty"/>
  <Override PartName="/xl/comments5.xml" ContentType="application/vnd.openxmlformats-officedocument.spreadsheetml.comments+xml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docProps/app.xml" ContentType="application/vnd.openxmlformats-officedocument.extended-properties+xml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xl/customProperty10.bin" ContentType="application/vnd.openxmlformats-officedocument.spreadsheetml.customProperty"/>
  <Override PartName="/docProps/custom.xml" ContentType="application/vnd.openxmlformats-officedocument.custom-propertie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:\FORECASTING\Databases\_Peaks\"/>
    </mc:Choice>
  </mc:AlternateContent>
  <xr:revisionPtr revIDLastSave="0" documentId="13_ncr:1_{621050C8-FCB0-4245-BFFC-BA40DE5702C3}" xr6:coauthVersionLast="47" xr6:coauthVersionMax="47" xr10:uidLastSave="{00000000-0000-0000-0000-000000000000}"/>
  <bookViews>
    <workbookView xWindow="-120" yWindow="-120" windowWidth="29040" windowHeight="15840" tabRatio="830" activeTab="1" xr2:uid="{00000000-000D-0000-FFFF-FFFF00000000}"/>
  </bookViews>
  <sheets>
    <sheet name="Instant Old no Delete" sheetId="1" r:id="rId1"/>
    <sheet name="Instant" sheetId="15" r:id="rId2"/>
    <sheet name="Total Retail" sheetId="2" r:id="rId3"/>
    <sheet name="graphs" sheetId="16" r:id="rId4"/>
    <sheet name="NormalTemps" sheetId="14" r:id="rId5"/>
    <sheet name="Load Served" sheetId="13" r:id="rId6"/>
    <sheet name="30yrs" sheetId="3" r:id="rId7"/>
    <sheet name="20yrs" sheetId="4" r:id="rId8"/>
    <sheet name="Interruptible" sheetId="5" r:id="rId9"/>
    <sheet name="LM" sheetId="6" r:id="rId10"/>
    <sheet name="Firm Calculated" sheetId="7" r:id="rId11"/>
    <sheet name="Firm Retail" sheetId="8" r:id="rId12"/>
    <sheet name="Distr. Factors" sheetId="9" r:id="rId13"/>
    <sheet name="Conversion Fact" sheetId="10" r:id="rId14"/>
    <sheet name="LoadFactors" sheetId="11" r:id="rId15"/>
    <sheet name="README!!!!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\A">'Firm Retail'!$AA$126</definedName>
    <definedName name="\S">'20yrs'!$N$4</definedName>
    <definedName name="\Z">'Distr. Factors'!$E$146</definedName>
    <definedName name="_xlnm.Print_Area">'20yrs'!$A$1:$AB$33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9" i="15" l="1"/>
  <c r="AC55" i="15"/>
  <c r="AD55" i="15"/>
  <c r="AE55" i="15"/>
  <c r="AF55" i="15"/>
  <c r="AG55" i="15"/>
  <c r="AH55" i="15"/>
  <c r="U57" i="15"/>
  <c r="T57" i="15"/>
  <c r="T56" i="15"/>
  <c r="S57" i="15"/>
  <c r="R57" i="15" l="1"/>
  <c r="B328" i="15" l="1"/>
  <c r="A167" i="8"/>
  <c r="A168" i="8"/>
  <c r="A112" i="8"/>
  <c r="AA173" i="2"/>
  <c r="AA177" i="2" s="1"/>
  <c r="Z173" i="2"/>
  <c r="Z176" i="2" s="1"/>
  <c r="Y173" i="2"/>
  <c r="Y176" i="2" s="1"/>
  <c r="X173" i="2"/>
  <c r="X177" i="2" s="1"/>
  <c r="C447" i="2"/>
  <c r="D447" i="2"/>
  <c r="C448" i="2"/>
  <c r="D448" i="2"/>
  <c r="C449" i="2"/>
  <c r="D449" i="2"/>
  <c r="C450" i="2"/>
  <c r="D450" i="2"/>
  <c r="C451" i="2"/>
  <c r="D451" i="2"/>
  <c r="C452" i="2"/>
  <c r="D452" i="2"/>
  <c r="C453" i="2"/>
  <c r="D453" i="2"/>
  <c r="C454" i="2"/>
  <c r="D454" i="2"/>
  <c r="C455" i="2"/>
  <c r="D455" i="2"/>
  <c r="C456" i="2"/>
  <c r="D456" i="2"/>
  <c r="B447" i="2"/>
  <c r="E447" i="2"/>
  <c r="F447" i="2"/>
  <c r="G447" i="2"/>
  <c r="H447" i="2"/>
  <c r="I447" i="2"/>
  <c r="J447" i="2"/>
  <c r="K447" i="2"/>
  <c r="L447" i="2"/>
  <c r="M447" i="2"/>
  <c r="B448" i="2"/>
  <c r="E448" i="2"/>
  <c r="F448" i="2"/>
  <c r="G448" i="2"/>
  <c r="H448" i="2"/>
  <c r="I448" i="2"/>
  <c r="J448" i="2"/>
  <c r="K448" i="2"/>
  <c r="L448" i="2"/>
  <c r="M448" i="2"/>
  <c r="B449" i="2"/>
  <c r="E449" i="2"/>
  <c r="F449" i="2"/>
  <c r="G449" i="2"/>
  <c r="H449" i="2"/>
  <c r="I449" i="2"/>
  <c r="J449" i="2"/>
  <c r="K449" i="2"/>
  <c r="L449" i="2"/>
  <c r="M449" i="2"/>
  <c r="B450" i="2"/>
  <c r="E450" i="2"/>
  <c r="F450" i="2"/>
  <c r="G450" i="2"/>
  <c r="H450" i="2"/>
  <c r="I450" i="2"/>
  <c r="J450" i="2"/>
  <c r="K450" i="2"/>
  <c r="L450" i="2"/>
  <c r="M450" i="2"/>
  <c r="B451" i="2"/>
  <c r="E451" i="2"/>
  <c r="F451" i="2"/>
  <c r="G451" i="2"/>
  <c r="H451" i="2"/>
  <c r="I451" i="2"/>
  <c r="J451" i="2"/>
  <c r="K451" i="2"/>
  <c r="L451" i="2"/>
  <c r="M451" i="2"/>
  <c r="B452" i="2"/>
  <c r="E452" i="2"/>
  <c r="F452" i="2"/>
  <c r="G452" i="2"/>
  <c r="H452" i="2"/>
  <c r="I452" i="2"/>
  <c r="J452" i="2"/>
  <c r="K452" i="2"/>
  <c r="L452" i="2"/>
  <c r="M452" i="2"/>
  <c r="B453" i="2"/>
  <c r="E453" i="2"/>
  <c r="F453" i="2"/>
  <c r="G453" i="2"/>
  <c r="H453" i="2"/>
  <c r="I453" i="2"/>
  <c r="J453" i="2"/>
  <c r="K453" i="2"/>
  <c r="L453" i="2"/>
  <c r="M453" i="2"/>
  <c r="B454" i="2"/>
  <c r="E454" i="2"/>
  <c r="F454" i="2"/>
  <c r="G454" i="2"/>
  <c r="H454" i="2"/>
  <c r="I454" i="2"/>
  <c r="J454" i="2"/>
  <c r="K454" i="2"/>
  <c r="L454" i="2"/>
  <c r="M454" i="2"/>
  <c r="B455" i="2"/>
  <c r="E455" i="2"/>
  <c r="F455" i="2"/>
  <c r="G455" i="2"/>
  <c r="H455" i="2"/>
  <c r="I455" i="2"/>
  <c r="J455" i="2"/>
  <c r="K455" i="2"/>
  <c r="L455" i="2"/>
  <c r="M455" i="2"/>
  <c r="B456" i="2"/>
  <c r="E456" i="2"/>
  <c r="F456" i="2"/>
  <c r="G456" i="2"/>
  <c r="H456" i="2"/>
  <c r="I456" i="2"/>
  <c r="J456" i="2"/>
  <c r="K456" i="2"/>
  <c r="L456" i="2"/>
  <c r="M456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A456" i="2"/>
  <c r="A457" i="2"/>
  <c r="S58" i="2"/>
  <c r="T58" i="2"/>
  <c r="U58" i="2"/>
  <c r="S57" i="2"/>
  <c r="T57" i="2"/>
  <c r="U57" i="2"/>
  <c r="B49" i="7"/>
  <c r="C49" i="7"/>
  <c r="D49" i="7"/>
  <c r="E49" i="7"/>
  <c r="F49" i="7"/>
  <c r="G49" i="7"/>
  <c r="H49" i="7"/>
  <c r="I49" i="7"/>
  <c r="J49" i="7"/>
  <c r="K49" i="7"/>
  <c r="L49" i="7"/>
  <c r="M49" i="7"/>
  <c r="B50" i="7"/>
  <c r="C50" i="7"/>
  <c r="D50" i="7"/>
  <c r="E50" i="7"/>
  <c r="F50" i="7"/>
  <c r="G50" i="7"/>
  <c r="H50" i="7"/>
  <c r="I50" i="7"/>
  <c r="J50" i="7"/>
  <c r="K50" i="7"/>
  <c r="L50" i="7"/>
  <c r="M50" i="7"/>
  <c r="B51" i="7"/>
  <c r="C51" i="7"/>
  <c r="D51" i="7"/>
  <c r="E51" i="7"/>
  <c r="F51" i="7"/>
  <c r="G51" i="7"/>
  <c r="H51" i="7"/>
  <c r="I51" i="7"/>
  <c r="J51" i="7"/>
  <c r="K51" i="7"/>
  <c r="L51" i="7"/>
  <c r="M51" i="7"/>
  <c r="B52" i="7"/>
  <c r="C52" i="7"/>
  <c r="D52" i="7"/>
  <c r="E52" i="7"/>
  <c r="F52" i="7"/>
  <c r="G52" i="7"/>
  <c r="H52" i="7"/>
  <c r="I52" i="7"/>
  <c r="J52" i="7"/>
  <c r="K52" i="7"/>
  <c r="L52" i="7"/>
  <c r="M52" i="7"/>
  <c r="B53" i="7"/>
  <c r="C53" i="7"/>
  <c r="D53" i="7"/>
  <c r="E53" i="7"/>
  <c r="F53" i="7"/>
  <c r="G53" i="7"/>
  <c r="H53" i="7"/>
  <c r="I53" i="7"/>
  <c r="J53" i="7"/>
  <c r="K53" i="7"/>
  <c r="L53" i="7"/>
  <c r="M53" i="7"/>
  <c r="B54" i="7"/>
  <c r="C54" i="7"/>
  <c r="D54" i="7"/>
  <c r="E54" i="7"/>
  <c r="F54" i="7"/>
  <c r="G54" i="7"/>
  <c r="H54" i="7"/>
  <c r="I54" i="7"/>
  <c r="J54" i="7"/>
  <c r="K54" i="7"/>
  <c r="L54" i="7"/>
  <c r="M54" i="7"/>
  <c r="B55" i="7"/>
  <c r="C55" i="7"/>
  <c r="D55" i="7"/>
  <c r="E55" i="7"/>
  <c r="F55" i="7"/>
  <c r="G55" i="7"/>
  <c r="H55" i="7"/>
  <c r="I55" i="7"/>
  <c r="J55" i="7"/>
  <c r="K55" i="7"/>
  <c r="L55" i="7"/>
  <c r="M55" i="7"/>
  <c r="B56" i="7"/>
  <c r="C56" i="7"/>
  <c r="D56" i="7"/>
  <c r="E56" i="7"/>
  <c r="F56" i="7"/>
  <c r="G56" i="7"/>
  <c r="H56" i="7"/>
  <c r="I56" i="7"/>
  <c r="J56" i="7"/>
  <c r="K56" i="7"/>
  <c r="L56" i="7"/>
  <c r="M56" i="7"/>
  <c r="A55" i="13"/>
  <c r="R54" i="8"/>
  <c r="S54" i="8"/>
  <c r="T54" i="8"/>
  <c r="R55" i="8"/>
  <c r="S55" i="8"/>
  <c r="Q55" i="8" s="1"/>
  <c r="T55" i="8"/>
  <c r="R56" i="8"/>
  <c r="S56" i="8"/>
  <c r="T56" i="8"/>
  <c r="P297" i="2"/>
  <c r="Q297" i="2"/>
  <c r="Q276" i="2"/>
  <c r="O245" i="2"/>
  <c r="Q322" i="2"/>
  <c r="Q246" i="2"/>
  <c r="B259" i="2"/>
  <c r="B252" i="2"/>
  <c r="Q221" i="2"/>
  <c r="Q197" i="2"/>
  <c r="P199" i="2"/>
  <c r="N197" i="2"/>
  <c r="AA176" i="2" l="1"/>
  <c r="Z177" i="2"/>
  <c r="Y177" i="2"/>
  <c r="X176" i="2"/>
  <c r="R57" i="2"/>
  <c r="R58" i="2"/>
  <c r="Q56" i="8"/>
  <c r="Q54" i="8"/>
  <c r="AE332" i="15"/>
  <c r="AE257" i="15"/>
  <c r="AE255" i="15"/>
  <c r="AE254" i="15"/>
  <c r="AE253" i="15"/>
  <c r="AC198" i="15"/>
  <c r="S173" i="15"/>
  <c r="T173" i="15"/>
  <c r="U173" i="15"/>
  <c r="V173" i="15"/>
  <c r="V173" i="2" l="1"/>
  <c r="U173" i="2"/>
  <c r="T173" i="2"/>
  <c r="P177" i="1" l="1"/>
  <c r="AA189" i="1"/>
  <c r="AA190" i="1" s="1"/>
  <c r="AA191" i="1" s="1"/>
  <c r="Z189" i="1"/>
  <c r="Z190" i="1" s="1"/>
  <c r="Z191" i="1" s="1"/>
  <c r="Y189" i="1"/>
  <c r="Y190" i="1" s="1"/>
  <c r="Y191" i="1" s="1"/>
  <c r="X189" i="1"/>
  <c r="X190" i="1" s="1"/>
  <c r="X191" i="1" s="1"/>
  <c r="W189" i="1"/>
  <c r="W190" i="1" s="1"/>
  <c r="W191" i="1" s="1"/>
  <c r="V189" i="1"/>
  <c r="V190" i="1" s="1"/>
  <c r="V191" i="1" s="1"/>
  <c r="U189" i="1"/>
  <c r="U190" i="1" s="1"/>
  <c r="U191" i="1" s="1"/>
  <c r="T189" i="1"/>
  <c r="T190" i="1" s="1"/>
  <c r="T191" i="1" s="1"/>
  <c r="S189" i="1"/>
  <c r="S190" i="1" s="1"/>
  <c r="S191" i="1" s="1"/>
  <c r="R189" i="1"/>
  <c r="R190" i="1" s="1"/>
  <c r="R191" i="1" s="1"/>
  <c r="Q189" i="1"/>
  <c r="Q190" i="1" s="1"/>
  <c r="Q191" i="1" s="1"/>
  <c r="P189" i="1"/>
  <c r="P190" i="1" s="1"/>
  <c r="P191" i="1" s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U186" i="1"/>
  <c r="U187" i="1" s="1"/>
  <c r="AA185" i="1"/>
  <c r="AA186" i="1" s="1"/>
  <c r="AA187" i="1" s="1"/>
  <c r="Z185" i="1"/>
  <c r="Z186" i="1" s="1"/>
  <c r="Z187" i="1" s="1"/>
  <c r="Y185" i="1"/>
  <c r="Y186" i="1" s="1"/>
  <c r="Y187" i="1" s="1"/>
  <c r="X185" i="1"/>
  <c r="X186" i="1" s="1"/>
  <c r="X187" i="1" s="1"/>
  <c r="W185" i="1"/>
  <c r="W186" i="1" s="1"/>
  <c r="W187" i="1" s="1"/>
  <c r="V185" i="1"/>
  <c r="V186" i="1" s="1"/>
  <c r="V187" i="1" s="1"/>
  <c r="U185" i="1"/>
  <c r="T185" i="1"/>
  <c r="T186" i="1" s="1"/>
  <c r="T187" i="1" s="1"/>
  <c r="S185" i="1"/>
  <c r="S186" i="1" s="1"/>
  <c r="S187" i="1" s="1"/>
  <c r="R185" i="1"/>
  <c r="R186" i="1" s="1"/>
  <c r="R187" i="1" s="1"/>
  <c r="Q185" i="1"/>
  <c r="Q186" i="1" s="1"/>
  <c r="Q187" i="1" s="1"/>
  <c r="P185" i="1"/>
  <c r="P186" i="1" s="1"/>
  <c r="P187" i="1" s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AA181" i="1"/>
  <c r="AA182" i="1" s="1"/>
  <c r="M182" i="1" s="1"/>
  <c r="M183" i="1" s="1"/>
  <c r="Z181" i="1"/>
  <c r="Z182" i="1" s="1"/>
  <c r="L182" i="1" s="1"/>
  <c r="L183" i="1" s="1"/>
  <c r="Y181" i="1"/>
  <c r="Y182" i="1" s="1"/>
  <c r="K182" i="1" s="1"/>
  <c r="K183" i="1" s="1"/>
  <c r="X181" i="1"/>
  <c r="X182" i="1" s="1"/>
  <c r="J182" i="1" s="1"/>
  <c r="J183" i="1" s="1"/>
  <c r="W181" i="1"/>
  <c r="W182" i="1" s="1"/>
  <c r="I182" i="1" s="1"/>
  <c r="I183" i="1" s="1"/>
  <c r="V181" i="1"/>
  <c r="V182" i="1" s="1"/>
  <c r="H182" i="1" s="1"/>
  <c r="H183" i="1" s="1"/>
  <c r="U181" i="1"/>
  <c r="U182" i="1" s="1"/>
  <c r="G182" i="1" s="1"/>
  <c r="G183" i="1" s="1"/>
  <c r="T181" i="1"/>
  <c r="T182" i="1" s="1"/>
  <c r="F182" i="1" s="1"/>
  <c r="F183" i="1" s="1"/>
  <c r="S181" i="1"/>
  <c r="R181" i="1"/>
  <c r="R182" i="1" s="1"/>
  <c r="D182" i="1" s="1"/>
  <c r="D183" i="1" s="1"/>
  <c r="Q181" i="1"/>
  <c r="Q182" i="1" s="1"/>
  <c r="C182" i="1" s="1"/>
  <c r="C183" i="1" s="1"/>
  <c r="P181" i="1"/>
  <c r="P182" i="1" s="1"/>
  <c r="B182" i="1" s="1"/>
  <c r="B183" i="1" s="1"/>
  <c r="AA180" i="1"/>
  <c r="Z180" i="1"/>
  <c r="Y180" i="1"/>
  <c r="X180" i="1"/>
  <c r="W180" i="1"/>
  <c r="V180" i="1"/>
  <c r="U180" i="1"/>
  <c r="T180" i="1"/>
  <c r="S180" i="1"/>
  <c r="S182" i="1" s="1"/>
  <c r="E182" i="1" s="1"/>
  <c r="E183" i="1" s="1"/>
  <c r="R180" i="1"/>
  <c r="Q180" i="1"/>
  <c r="P180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A177" i="1"/>
  <c r="Z177" i="1"/>
  <c r="Y177" i="1"/>
  <c r="X177" i="1"/>
  <c r="W177" i="1"/>
  <c r="V177" i="1"/>
  <c r="U177" i="1"/>
  <c r="T177" i="1"/>
  <c r="S177" i="1"/>
  <c r="R177" i="1"/>
  <c r="Q177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P193" i="1"/>
  <c r="AA8" i="15"/>
  <c r="T23" i="1"/>
  <c r="N25" i="15"/>
  <c r="R8" i="1"/>
  <c r="T8" i="15"/>
  <c r="R10" i="1"/>
  <c r="V226" i="15" l="1"/>
  <c r="K464" i="15"/>
  <c r="J464" i="15"/>
  <c r="I464" i="15"/>
  <c r="H464" i="15"/>
  <c r="G464" i="15"/>
  <c r="F464" i="15"/>
  <c r="E464" i="15"/>
  <c r="S461" i="15"/>
  <c r="S460" i="15"/>
  <c r="S459" i="15"/>
  <c r="R454" i="15"/>
  <c r="O454" i="15"/>
  <c r="M454" i="15"/>
  <c r="L454" i="15"/>
  <c r="Q454" i="15" s="1"/>
  <c r="K454" i="15"/>
  <c r="J454" i="15"/>
  <c r="I454" i="15"/>
  <c r="H454" i="15"/>
  <c r="G454" i="15"/>
  <c r="F454" i="15"/>
  <c r="E454" i="15"/>
  <c r="D454" i="15"/>
  <c r="T454" i="15" s="1"/>
  <c r="C454" i="15"/>
  <c r="B454" i="15"/>
  <c r="R453" i="15"/>
  <c r="O453" i="15"/>
  <c r="M453" i="15"/>
  <c r="L453" i="15"/>
  <c r="Q453" i="15" s="1"/>
  <c r="K453" i="15"/>
  <c r="J453" i="15"/>
  <c r="I453" i="15"/>
  <c r="H453" i="15"/>
  <c r="G453" i="15"/>
  <c r="F453" i="15"/>
  <c r="E453" i="15"/>
  <c r="D453" i="15"/>
  <c r="T453" i="15" s="1"/>
  <c r="C453" i="15"/>
  <c r="B453" i="15"/>
  <c r="R452" i="15"/>
  <c r="O452" i="15"/>
  <c r="M452" i="15"/>
  <c r="L452" i="15"/>
  <c r="Q452" i="15" s="1"/>
  <c r="K452" i="15"/>
  <c r="J452" i="15"/>
  <c r="I452" i="15"/>
  <c r="H452" i="15"/>
  <c r="G452" i="15"/>
  <c r="F452" i="15"/>
  <c r="E452" i="15"/>
  <c r="D452" i="15"/>
  <c r="T452" i="15" s="1"/>
  <c r="C452" i="15"/>
  <c r="B452" i="15"/>
  <c r="R451" i="15"/>
  <c r="O451" i="15"/>
  <c r="M451" i="15"/>
  <c r="L451" i="15"/>
  <c r="Q451" i="15" s="1"/>
  <c r="K451" i="15"/>
  <c r="J451" i="15"/>
  <c r="I451" i="15"/>
  <c r="H451" i="15"/>
  <c r="G451" i="15"/>
  <c r="F451" i="15"/>
  <c r="E451" i="15"/>
  <c r="D451" i="15"/>
  <c r="T451" i="15" s="1"/>
  <c r="C451" i="15"/>
  <c r="B451" i="15"/>
  <c r="R450" i="15"/>
  <c r="O450" i="15"/>
  <c r="M450" i="15"/>
  <c r="L450" i="15"/>
  <c r="Q450" i="15" s="1"/>
  <c r="K450" i="15"/>
  <c r="J450" i="15"/>
  <c r="I450" i="15"/>
  <c r="H450" i="15"/>
  <c r="G450" i="15"/>
  <c r="F450" i="15"/>
  <c r="E450" i="15"/>
  <c r="D450" i="15"/>
  <c r="T450" i="15" s="1"/>
  <c r="C450" i="15"/>
  <c r="B450" i="15"/>
  <c r="R449" i="15"/>
  <c r="O449" i="15"/>
  <c r="M449" i="15"/>
  <c r="L449" i="15"/>
  <c r="K449" i="15"/>
  <c r="J449" i="15"/>
  <c r="I449" i="15"/>
  <c r="H449" i="15"/>
  <c r="G449" i="15"/>
  <c r="F449" i="15"/>
  <c r="E449" i="15"/>
  <c r="D449" i="15"/>
  <c r="T449" i="15" s="1"/>
  <c r="C449" i="15"/>
  <c r="B449" i="15"/>
  <c r="R448" i="15"/>
  <c r="O448" i="15"/>
  <c r="M448" i="15"/>
  <c r="L448" i="15"/>
  <c r="Q448" i="15" s="1"/>
  <c r="K448" i="15"/>
  <c r="J448" i="15"/>
  <c r="I448" i="15"/>
  <c r="H448" i="15"/>
  <c r="G448" i="15"/>
  <c r="F448" i="15"/>
  <c r="E448" i="15"/>
  <c r="D448" i="15"/>
  <c r="T448" i="15" s="1"/>
  <c r="C448" i="15"/>
  <c r="B448" i="15"/>
  <c r="R447" i="15"/>
  <c r="O447" i="15"/>
  <c r="M447" i="15"/>
  <c r="L447" i="15"/>
  <c r="Q447" i="15" s="1"/>
  <c r="K447" i="15"/>
  <c r="J447" i="15"/>
  <c r="I447" i="15"/>
  <c r="H447" i="15"/>
  <c r="G447" i="15"/>
  <c r="F447" i="15"/>
  <c r="E447" i="15"/>
  <c r="D447" i="15"/>
  <c r="T447" i="15" s="1"/>
  <c r="C447" i="15"/>
  <c r="B447" i="15"/>
  <c r="R446" i="15"/>
  <c r="O446" i="15"/>
  <c r="M446" i="15"/>
  <c r="L446" i="15"/>
  <c r="Q446" i="15" s="1"/>
  <c r="K446" i="15"/>
  <c r="J446" i="15"/>
  <c r="I446" i="15"/>
  <c r="H446" i="15"/>
  <c r="G446" i="15"/>
  <c r="F446" i="15"/>
  <c r="E446" i="15"/>
  <c r="D446" i="15"/>
  <c r="T446" i="15" s="1"/>
  <c r="C446" i="15"/>
  <c r="B446" i="15"/>
  <c r="R445" i="15"/>
  <c r="O445" i="15"/>
  <c r="M445" i="15"/>
  <c r="L445" i="15"/>
  <c r="Q445" i="15" s="1"/>
  <c r="K445" i="15"/>
  <c r="J445" i="15"/>
  <c r="I445" i="15"/>
  <c r="H445" i="15"/>
  <c r="G445" i="15"/>
  <c r="F445" i="15"/>
  <c r="E445" i="15"/>
  <c r="D445" i="15"/>
  <c r="C445" i="15"/>
  <c r="B445" i="15"/>
  <c r="R444" i="15"/>
  <c r="O444" i="15"/>
  <c r="M444" i="15"/>
  <c r="L444" i="15"/>
  <c r="Q444" i="15" s="1"/>
  <c r="K444" i="15"/>
  <c r="J444" i="15"/>
  <c r="I444" i="15"/>
  <c r="H444" i="15"/>
  <c r="G444" i="15"/>
  <c r="F444" i="15"/>
  <c r="E444" i="15"/>
  <c r="D444" i="15"/>
  <c r="C444" i="15"/>
  <c r="B444" i="15"/>
  <c r="R443" i="15"/>
  <c r="O443" i="15"/>
  <c r="M443" i="15"/>
  <c r="L443" i="15"/>
  <c r="K443" i="15"/>
  <c r="J443" i="15"/>
  <c r="I443" i="15"/>
  <c r="H443" i="15"/>
  <c r="G443" i="15"/>
  <c r="F443" i="15"/>
  <c r="E443" i="15"/>
  <c r="D443" i="15"/>
  <c r="T443" i="15" s="1"/>
  <c r="C443" i="15"/>
  <c r="B443" i="15"/>
  <c r="R442" i="15"/>
  <c r="O442" i="15"/>
  <c r="M442" i="15"/>
  <c r="L442" i="15"/>
  <c r="Q442" i="15" s="1"/>
  <c r="K442" i="15"/>
  <c r="J442" i="15"/>
  <c r="I442" i="15"/>
  <c r="H442" i="15"/>
  <c r="G442" i="15"/>
  <c r="F442" i="15"/>
  <c r="E442" i="15"/>
  <c r="D442" i="15"/>
  <c r="T442" i="15" s="1"/>
  <c r="C442" i="15"/>
  <c r="B442" i="15"/>
  <c r="R441" i="15"/>
  <c r="O441" i="15"/>
  <c r="M441" i="15"/>
  <c r="L441" i="15"/>
  <c r="Q441" i="15" s="1"/>
  <c r="K441" i="15"/>
  <c r="J441" i="15"/>
  <c r="I441" i="15"/>
  <c r="H441" i="15"/>
  <c r="G441" i="15"/>
  <c r="F441" i="15"/>
  <c r="E441" i="15"/>
  <c r="D441" i="15"/>
  <c r="T441" i="15" s="1"/>
  <c r="C441" i="15"/>
  <c r="B441" i="15"/>
  <c r="R440" i="15"/>
  <c r="O440" i="15"/>
  <c r="M440" i="15"/>
  <c r="L440" i="15"/>
  <c r="Q440" i="15" s="1"/>
  <c r="K440" i="15"/>
  <c r="J440" i="15"/>
  <c r="I440" i="15"/>
  <c r="H440" i="15"/>
  <c r="G440" i="15"/>
  <c r="F440" i="15"/>
  <c r="E440" i="15"/>
  <c r="D440" i="15"/>
  <c r="C440" i="15"/>
  <c r="B440" i="15"/>
  <c r="R439" i="15"/>
  <c r="O439" i="15"/>
  <c r="M439" i="15"/>
  <c r="L439" i="15"/>
  <c r="Q439" i="15" s="1"/>
  <c r="K439" i="15"/>
  <c r="J439" i="15"/>
  <c r="I439" i="15"/>
  <c r="H439" i="15"/>
  <c r="G439" i="15"/>
  <c r="F439" i="15"/>
  <c r="E439" i="15"/>
  <c r="D439" i="15"/>
  <c r="T439" i="15" s="1"/>
  <c r="C439" i="15"/>
  <c r="B439" i="15"/>
  <c r="R438" i="15"/>
  <c r="O438" i="15"/>
  <c r="M438" i="15"/>
  <c r="L438" i="15"/>
  <c r="Q438" i="15" s="1"/>
  <c r="K438" i="15"/>
  <c r="J438" i="15"/>
  <c r="I438" i="15"/>
  <c r="H438" i="15"/>
  <c r="G438" i="15"/>
  <c r="F438" i="15"/>
  <c r="E438" i="15"/>
  <c r="D438" i="15"/>
  <c r="T438" i="15" s="1"/>
  <c r="C438" i="15"/>
  <c r="B438" i="15"/>
  <c r="R437" i="15"/>
  <c r="O437" i="15"/>
  <c r="M437" i="15"/>
  <c r="L437" i="15"/>
  <c r="Q437" i="15" s="1"/>
  <c r="K437" i="15"/>
  <c r="J437" i="15"/>
  <c r="I437" i="15"/>
  <c r="H437" i="15"/>
  <c r="G437" i="15"/>
  <c r="F437" i="15"/>
  <c r="E437" i="15"/>
  <c r="D437" i="15"/>
  <c r="C437" i="15"/>
  <c r="B437" i="15"/>
  <c r="R436" i="15"/>
  <c r="O436" i="15"/>
  <c r="M436" i="15"/>
  <c r="L436" i="15"/>
  <c r="Q436" i="15" s="1"/>
  <c r="K436" i="15"/>
  <c r="J436" i="15"/>
  <c r="I436" i="15"/>
  <c r="H436" i="15"/>
  <c r="G436" i="15"/>
  <c r="F436" i="15"/>
  <c r="E436" i="15"/>
  <c r="D436" i="15"/>
  <c r="T436" i="15" s="1"/>
  <c r="C436" i="15"/>
  <c r="B436" i="15"/>
  <c r="R435" i="15"/>
  <c r="O435" i="15"/>
  <c r="M435" i="15"/>
  <c r="L435" i="15"/>
  <c r="K435" i="15"/>
  <c r="J435" i="15"/>
  <c r="I435" i="15"/>
  <c r="H435" i="15"/>
  <c r="G435" i="15"/>
  <c r="F435" i="15"/>
  <c r="E435" i="15"/>
  <c r="D435" i="15"/>
  <c r="T435" i="15" s="1"/>
  <c r="C435" i="15"/>
  <c r="B435" i="15"/>
  <c r="R434" i="15"/>
  <c r="O434" i="15"/>
  <c r="M434" i="15"/>
  <c r="L434" i="15"/>
  <c r="Q434" i="15" s="1"/>
  <c r="K434" i="15"/>
  <c r="J434" i="15"/>
  <c r="I434" i="15"/>
  <c r="H434" i="15"/>
  <c r="G434" i="15"/>
  <c r="F434" i="15"/>
  <c r="E434" i="15"/>
  <c r="D434" i="15"/>
  <c r="C434" i="15"/>
  <c r="B434" i="15"/>
  <c r="R433" i="15"/>
  <c r="O433" i="15"/>
  <c r="M433" i="15"/>
  <c r="L433" i="15"/>
  <c r="Q433" i="15" s="1"/>
  <c r="K433" i="15"/>
  <c r="J433" i="15"/>
  <c r="I433" i="15"/>
  <c r="H433" i="15"/>
  <c r="G433" i="15"/>
  <c r="F433" i="15"/>
  <c r="E433" i="15"/>
  <c r="D433" i="15"/>
  <c r="C433" i="15"/>
  <c r="B433" i="15"/>
  <c r="R432" i="15"/>
  <c r="O432" i="15"/>
  <c r="M432" i="15"/>
  <c r="L432" i="15"/>
  <c r="K432" i="15"/>
  <c r="J432" i="15"/>
  <c r="I432" i="15"/>
  <c r="H432" i="15"/>
  <c r="G432" i="15"/>
  <c r="F432" i="15"/>
  <c r="E432" i="15"/>
  <c r="D432" i="15"/>
  <c r="T432" i="15" s="1"/>
  <c r="C432" i="15"/>
  <c r="B432" i="15"/>
  <c r="R431" i="15"/>
  <c r="O431" i="15"/>
  <c r="M431" i="15"/>
  <c r="L431" i="15"/>
  <c r="Q431" i="15" s="1"/>
  <c r="K431" i="15"/>
  <c r="J431" i="15"/>
  <c r="I431" i="15"/>
  <c r="H431" i="15"/>
  <c r="G431" i="15"/>
  <c r="F431" i="15"/>
  <c r="E431" i="15"/>
  <c r="D431" i="15"/>
  <c r="C431" i="15"/>
  <c r="B431" i="15"/>
  <c r="R430" i="15"/>
  <c r="O430" i="15"/>
  <c r="M430" i="15"/>
  <c r="L430" i="15"/>
  <c r="Q430" i="15" s="1"/>
  <c r="K430" i="15"/>
  <c r="J430" i="15"/>
  <c r="I430" i="15"/>
  <c r="H430" i="15"/>
  <c r="G430" i="15"/>
  <c r="F430" i="15"/>
  <c r="E430" i="15"/>
  <c r="D430" i="15"/>
  <c r="C430" i="15"/>
  <c r="B430" i="15"/>
  <c r="R429" i="15"/>
  <c r="O429" i="15"/>
  <c r="M429" i="15"/>
  <c r="L429" i="15"/>
  <c r="Q429" i="15" s="1"/>
  <c r="K429" i="15"/>
  <c r="J429" i="15"/>
  <c r="I429" i="15"/>
  <c r="H429" i="15"/>
  <c r="G429" i="15"/>
  <c r="F429" i="15"/>
  <c r="E429" i="15"/>
  <c r="D429" i="15"/>
  <c r="T429" i="15" s="1"/>
  <c r="C429" i="15"/>
  <c r="B429" i="15"/>
  <c r="R428" i="15"/>
  <c r="O428" i="15"/>
  <c r="M428" i="15"/>
  <c r="L428" i="15"/>
  <c r="Q428" i="15" s="1"/>
  <c r="K428" i="15"/>
  <c r="J428" i="15"/>
  <c r="I428" i="15"/>
  <c r="H428" i="15"/>
  <c r="G428" i="15"/>
  <c r="F428" i="15"/>
  <c r="E428" i="15"/>
  <c r="D428" i="15"/>
  <c r="C428" i="15"/>
  <c r="B428" i="15"/>
  <c r="R427" i="15"/>
  <c r="O427" i="15"/>
  <c r="M427" i="15"/>
  <c r="L427" i="15"/>
  <c r="Q427" i="15" s="1"/>
  <c r="K427" i="15"/>
  <c r="J427" i="15"/>
  <c r="I427" i="15"/>
  <c r="H427" i="15"/>
  <c r="G427" i="15"/>
  <c r="F427" i="15"/>
  <c r="E427" i="15"/>
  <c r="D427" i="15"/>
  <c r="C427" i="15"/>
  <c r="B427" i="15"/>
  <c r="R426" i="15"/>
  <c r="O426" i="15"/>
  <c r="M426" i="15"/>
  <c r="L426" i="15"/>
  <c r="K426" i="15"/>
  <c r="J426" i="15"/>
  <c r="I426" i="15"/>
  <c r="H426" i="15"/>
  <c r="G426" i="15"/>
  <c r="F426" i="15"/>
  <c r="E426" i="15"/>
  <c r="D426" i="15"/>
  <c r="C426" i="15"/>
  <c r="B426" i="15"/>
  <c r="R425" i="15"/>
  <c r="O425" i="15"/>
  <c r="M425" i="15"/>
  <c r="L425" i="15"/>
  <c r="Q425" i="15" s="1"/>
  <c r="K425" i="15"/>
  <c r="J425" i="15"/>
  <c r="I425" i="15"/>
  <c r="H425" i="15"/>
  <c r="G425" i="15"/>
  <c r="F425" i="15"/>
  <c r="E425" i="15"/>
  <c r="D425" i="15"/>
  <c r="T425" i="15" s="1"/>
  <c r="C425" i="15"/>
  <c r="B425" i="15"/>
  <c r="R424" i="15"/>
  <c r="O424" i="15"/>
  <c r="M424" i="15"/>
  <c r="L424" i="15"/>
  <c r="Q424" i="15" s="1"/>
  <c r="K424" i="15"/>
  <c r="J424" i="15"/>
  <c r="I424" i="15"/>
  <c r="H424" i="15"/>
  <c r="G424" i="15"/>
  <c r="F424" i="15"/>
  <c r="E424" i="15"/>
  <c r="D424" i="15"/>
  <c r="C424" i="15"/>
  <c r="B424" i="15"/>
  <c r="R423" i="15"/>
  <c r="O423" i="15"/>
  <c r="M423" i="15"/>
  <c r="L423" i="15"/>
  <c r="Q423" i="15" s="1"/>
  <c r="K423" i="15"/>
  <c r="J423" i="15"/>
  <c r="I423" i="15"/>
  <c r="H423" i="15"/>
  <c r="G423" i="15"/>
  <c r="F423" i="15"/>
  <c r="E423" i="15"/>
  <c r="D423" i="15"/>
  <c r="C423" i="15"/>
  <c r="B423" i="15"/>
  <c r="R422" i="15"/>
  <c r="O422" i="15"/>
  <c r="M422" i="15"/>
  <c r="L422" i="15"/>
  <c r="Q422" i="15" s="1"/>
  <c r="K422" i="15"/>
  <c r="J422" i="15"/>
  <c r="I422" i="15"/>
  <c r="H422" i="15"/>
  <c r="G422" i="15"/>
  <c r="F422" i="15"/>
  <c r="E422" i="15"/>
  <c r="D422" i="15"/>
  <c r="C422" i="15"/>
  <c r="B422" i="15"/>
  <c r="R421" i="15"/>
  <c r="O421" i="15"/>
  <c r="M421" i="15"/>
  <c r="L421" i="15"/>
  <c r="Q421" i="15" s="1"/>
  <c r="K421" i="15"/>
  <c r="J421" i="15"/>
  <c r="I421" i="15"/>
  <c r="H421" i="15"/>
  <c r="G421" i="15"/>
  <c r="F421" i="15"/>
  <c r="E421" i="15"/>
  <c r="D421" i="15"/>
  <c r="C421" i="15"/>
  <c r="B421" i="15"/>
  <c r="R420" i="15"/>
  <c r="O420" i="15"/>
  <c r="M420" i="15"/>
  <c r="L420" i="15"/>
  <c r="Q420" i="15" s="1"/>
  <c r="K420" i="15"/>
  <c r="J420" i="15"/>
  <c r="I420" i="15"/>
  <c r="H420" i="15"/>
  <c r="G420" i="15"/>
  <c r="F420" i="15"/>
  <c r="E420" i="15"/>
  <c r="D420" i="15"/>
  <c r="C420" i="15"/>
  <c r="B420" i="15"/>
  <c r="R419" i="15"/>
  <c r="O419" i="15"/>
  <c r="M419" i="15"/>
  <c r="L419" i="15"/>
  <c r="K419" i="15"/>
  <c r="J419" i="15"/>
  <c r="I419" i="15"/>
  <c r="H419" i="15"/>
  <c r="G419" i="15"/>
  <c r="F419" i="15"/>
  <c r="E419" i="15"/>
  <c r="D419" i="15"/>
  <c r="C419" i="15"/>
  <c r="B419" i="15"/>
  <c r="R418" i="15"/>
  <c r="O418" i="15"/>
  <c r="M418" i="15"/>
  <c r="L418" i="15"/>
  <c r="K418" i="15"/>
  <c r="J418" i="15"/>
  <c r="I418" i="15"/>
  <c r="H418" i="15"/>
  <c r="G418" i="15"/>
  <c r="F418" i="15"/>
  <c r="E418" i="15"/>
  <c r="D418" i="15"/>
  <c r="C418" i="15"/>
  <c r="B418" i="15"/>
  <c r="R417" i="15"/>
  <c r="O417" i="15"/>
  <c r="M417" i="15"/>
  <c r="L417" i="15"/>
  <c r="Q417" i="15" s="1"/>
  <c r="K417" i="15"/>
  <c r="J417" i="15"/>
  <c r="I417" i="15"/>
  <c r="H417" i="15"/>
  <c r="G417" i="15"/>
  <c r="F417" i="15"/>
  <c r="E417" i="15"/>
  <c r="D417" i="15"/>
  <c r="C417" i="15"/>
  <c r="B417" i="15"/>
  <c r="R416" i="15"/>
  <c r="O416" i="15"/>
  <c r="M416" i="15"/>
  <c r="L416" i="15"/>
  <c r="K416" i="15"/>
  <c r="J416" i="15"/>
  <c r="I416" i="15"/>
  <c r="H416" i="15"/>
  <c r="G416" i="15"/>
  <c r="F416" i="15"/>
  <c r="E416" i="15"/>
  <c r="D416" i="15"/>
  <c r="C416" i="15"/>
  <c r="B416" i="15"/>
  <c r="R415" i="15"/>
  <c r="O415" i="15"/>
  <c r="M415" i="15"/>
  <c r="L415" i="15"/>
  <c r="Q415" i="15" s="1"/>
  <c r="K415" i="15"/>
  <c r="J415" i="15"/>
  <c r="I415" i="15"/>
  <c r="H415" i="15"/>
  <c r="G415" i="15"/>
  <c r="F415" i="15"/>
  <c r="E415" i="15"/>
  <c r="D415" i="15"/>
  <c r="C415" i="15"/>
  <c r="B415" i="15"/>
  <c r="R414" i="15"/>
  <c r="O414" i="15"/>
  <c r="M414" i="15"/>
  <c r="L414" i="15"/>
  <c r="Q414" i="15" s="1"/>
  <c r="K414" i="15"/>
  <c r="J414" i="15"/>
  <c r="I414" i="15"/>
  <c r="H414" i="15"/>
  <c r="G414" i="15"/>
  <c r="F414" i="15"/>
  <c r="E414" i="15"/>
  <c r="D414" i="15"/>
  <c r="C414" i="15"/>
  <c r="B414" i="15"/>
  <c r="R413" i="15"/>
  <c r="O413" i="15"/>
  <c r="M413" i="15"/>
  <c r="L413" i="15"/>
  <c r="Q413" i="15" s="1"/>
  <c r="K413" i="15"/>
  <c r="J413" i="15"/>
  <c r="I413" i="15"/>
  <c r="H413" i="15"/>
  <c r="G413" i="15"/>
  <c r="F413" i="15"/>
  <c r="E413" i="15"/>
  <c r="D413" i="15"/>
  <c r="C413" i="15"/>
  <c r="B413" i="15"/>
  <c r="R412" i="15"/>
  <c r="O412" i="15"/>
  <c r="M412" i="15"/>
  <c r="L412" i="15"/>
  <c r="Q412" i="15" s="1"/>
  <c r="K412" i="15"/>
  <c r="J412" i="15"/>
  <c r="I412" i="15"/>
  <c r="H412" i="15"/>
  <c r="G412" i="15"/>
  <c r="F412" i="15"/>
  <c r="E412" i="15"/>
  <c r="D412" i="15"/>
  <c r="T412" i="15" s="1"/>
  <c r="C412" i="15"/>
  <c r="B412" i="15"/>
  <c r="R411" i="15"/>
  <c r="O411" i="15"/>
  <c r="M411" i="15"/>
  <c r="L411" i="15"/>
  <c r="Q411" i="15" s="1"/>
  <c r="K411" i="15"/>
  <c r="J411" i="15"/>
  <c r="I411" i="15"/>
  <c r="H411" i="15"/>
  <c r="G411" i="15"/>
  <c r="F411" i="15"/>
  <c r="E411" i="15"/>
  <c r="D411" i="15"/>
  <c r="T411" i="15" s="1"/>
  <c r="C411" i="15"/>
  <c r="B411" i="15"/>
  <c r="R410" i="15"/>
  <c r="O410" i="15"/>
  <c r="M410" i="15"/>
  <c r="L410" i="15"/>
  <c r="K410" i="15"/>
  <c r="J410" i="15"/>
  <c r="I410" i="15"/>
  <c r="H410" i="15"/>
  <c r="G410" i="15"/>
  <c r="F410" i="15"/>
  <c r="E410" i="15"/>
  <c r="D410" i="15"/>
  <c r="C410" i="15"/>
  <c r="B410" i="15"/>
  <c r="R409" i="15"/>
  <c r="O409" i="15"/>
  <c r="M409" i="15"/>
  <c r="L409" i="15"/>
  <c r="Q409" i="15" s="1"/>
  <c r="K409" i="15"/>
  <c r="J409" i="15"/>
  <c r="I409" i="15"/>
  <c r="H409" i="15"/>
  <c r="G409" i="15"/>
  <c r="F409" i="15"/>
  <c r="E409" i="15"/>
  <c r="D409" i="15"/>
  <c r="T409" i="15" s="1"/>
  <c r="C409" i="15"/>
  <c r="B409" i="15"/>
  <c r="R408" i="15"/>
  <c r="O408" i="15"/>
  <c r="M408" i="15"/>
  <c r="L408" i="15"/>
  <c r="Q408" i="15" s="1"/>
  <c r="K408" i="15"/>
  <c r="J408" i="15"/>
  <c r="I408" i="15"/>
  <c r="H408" i="15"/>
  <c r="G408" i="15"/>
  <c r="F408" i="15"/>
  <c r="E408" i="15"/>
  <c r="D408" i="15"/>
  <c r="T408" i="15" s="1"/>
  <c r="C408" i="15"/>
  <c r="B408" i="15"/>
  <c r="M403" i="15"/>
  <c r="D403" i="15"/>
  <c r="C403" i="15"/>
  <c r="B403" i="15"/>
  <c r="U400" i="15"/>
  <c r="R400" i="15"/>
  <c r="Q400" i="15"/>
  <c r="R399" i="15"/>
  <c r="R398" i="15"/>
  <c r="S393" i="15"/>
  <c r="M393" i="15"/>
  <c r="L393" i="15"/>
  <c r="K393" i="15"/>
  <c r="J393" i="15"/>
  <c r="I393" i="15"/>
  <c r="H393" i="15"/>
  <c r="G393" i="15"/>
  <c r="F393" i="15"/>
  <c r="E393" i="15"/>
  <c r="D393" i="15"/>
  <c r="C393" i="15"/>
  <c r="B393" i="15"/>
  <c r="S392" i="15"/>
  <c r="O392" i="15"/>
  <c r="O391" i="15" s="1"/>
  <c r="O390" i="15" s="1"/>
  <c r="O389" i="15" s="1"/>
  <c r="O388" i="15" s="1"/>
  <c r="O387" i="15" s="1"/>
  <c r="O386" i="15" s="1"/>
  <c r="O385" i="15" s="1"/>
  <c r="O384" i="15" s="1"/>
  <c r="O383" i="15" s="1"/>
  <c r="O382" i="15" s="1"/>
  <c r="O381" i="15" s="1"/>
  <c r="O380" i="15" s="1"/>
  <c r="O379" i="15" s="1"/>
  <c r="O378" i="15" s="1"/>
  <c r="O377" i="15" s="1"/>
  <c r="O376" i="15" s="1"/>
  <c r="O375" i="15" s="1"/>
  <c r="O374" i="15" s="1"/>
  <c r="O373" i="15" s="1"/>
  <c r="O372" i="15" s="1"/>
  <c r="O371" i="15" s="1"/>
  <c r="O370" i="15" s="1"/>
  <c r="O369" i="15" s="1"/>
  <c r="O368" i="15" s="1"/>
  <c r="O367" i="15" s="1"/>
  <c r="O366" i="15" s="1"/>
  <c r="O365" i="15" s="1"/>
  <c r="O364" i="15" s="1"/>
  <c r="O363" i="15" s="1"/>
  <c r="O362" i="15" s="1"/>
  <c r="O361" i="15" s="1"/>
  <c r="O360" i="15" s="1"/>
  <c r="O359" i="15" s="1"/>
  <c r="O358" i="15" s="1"/>
  <c r="O357" i="15" s="1"/>
  <c r="O356" i="15" s="1"/>
  <c r="O355" i="15" s="1"/>
  <c r="O354" i="15" s="1"/>
  <c r="O353" i="15" s="1"/>
  <c r="O352" i="15" s="1"/>
  <c r="O351" i="15" s="1"/>
  <c r="O350" i="15" s="1"/>
  <c r="O349" i="15" s="1"/>
  <c r="O348" i="15" s="1"/>
  <c r="O347" i="15" s="1"/>
  <c r="M392" i="15"/>
  <c r="L392" i="15"/>
  <c r="K392" i="15"/>
  <c r="J392" i="15"/>
  <c r="I392" i="15"/>
  <c r="H392" i="15"/>
  <c r="G392" i="15"/>
  <c r="F392" i="15"/>
  <c r="E392" i="15"/>
  <c r="D392" i="15"/>
  <c r="C392" i="15"/>
  <c r="B392" i="15"/>
  <c r="S391" i="15"/>
  <c r="M391" i="15"/>
  <c r="L391" i="15"/>
  <c r="K391" i="15"/>
  <c r="J391" i="15"/>
  <c r="I391" i="15"/>
  <c r="H391" i="15"/>
  <c r="G391" i="15"/>
  <c r="F391" i="15"/>
  <c r="E391" i="15"/>
  <c r="D391" i="15"/>
  <c r="C391" i="15"/>
  <c r="B391" i="15"/>
  <c r="S390" i="15"/>
  <c r="M390" i="15"/>
  <c r="L390" i="15"/>
  <c r="K390" i="15"/>
  <c r="J390" i="15"/>
  <c r="I390" i="15"/>
  <c r="H390" i="15"/>
  <c r="G390" i="15"/>
  <c r="F390" i="15"/>
  <c r="E390" i="15"/>
  <c r="D390" i="15"/>
  <c r="C390" i="15"/>
  <c r="B390" i="15"/>
  <c r="S389" i="15"/>
  <c r="M389" i="15"/>
  <c r="L389" i="15"/>
  <c r="K389" i="15"/>
  <c r="J389" i="15"/>
  <c r="I389" i="15"/>
  <c r="H389" i="15"/>
  <c r="G389" i="15"/>
  <c r="F389" i="15"/>
  <c r="E389" i="15"/>
  <c r="D389" i="15"/>
  <c r="C389" i="15"/>
  <c r="B389" i="15"/>
  <c r="S388" i="15"/>
  <c r="M388" i="15"/>
  <c r="L388" i="15"/>
  <c r="K388" i="15"/>
  <c r="J388" i="15"/>
  <c r="I388" i="15"/>
  <c r="H388" i="15"/>
  <c r="G388" i="15"/>
  <c r="F388" i="15"/>
  <c r="E388" i="15"/>
  <c r="D388" i="15"/>
  <c r="C388" i="15"/>
  <c r="B388" i="15"/>
  <c r="S387" i="15"/>
  <c r="M387" i="15"/>
  <c r="L387" i="15"/>
  <c r="K387" i="15"/>
  <c r="J387" i="15"/>
  <c r="I387" i="15"/>
  <c r="H387" i="15"/>
  <c r="G387" i="15"/>
  <c r="F387" i="15"/>
  <c r="E387" i="15"/>
  <c r="D387" i="15"/>
  <c r="T387" i="15" s="1"/>
  <c r="C387" i="15"/>
  <c r="S386" i="15"/>
  <c r="M386" i="15"/>
  <c r="L386" i="15"/>
  <c r="K386" i="15"/>
  <c r="J386" i="15"/>
  <c r="I386" i="15"/>
  <c r="H386" i="15"/>
  <c r="G386" i="15"/>
  <c r="F386" i="15"/>
  <c r="E386" i="15"/>
  <c r="D386" i="15"/>
  <c r="C386" i="15"/>
  <c r="B386" i="15"/>
  <c r="S385" i="15"/>
  <c r="M385" i="15"/>
  <c r="L385" i="15"/>
  <c r="K385" i="15"/>
  <c r="J385" i="15"/>
  <c r="I385" i="15"/>
  <c r="H385" i="15"/>
  <c r="G385" i="15"/>
  <c r="F385" i="15"/>
  <c r="E385" i="15"/>
  <c r="D385" i="15"/>
  <c r="C385" i="15"/>
  <c r="B385" i="15"/>
  <c r="S384" i="15"/>
  <c r="M384" i="15"/>
  <c r="L384" i="15"/>
  <c r="K384" i="15"/>
  <c r="J384" i="15"/>
  <c r="I384" i="15"/>
  <c r="H384" i="15"/>
  <c r="G384" i="15"/>
  <c r="F384" i="15"/>
  <c r="E384" i="15"/>
  <c r="D384" i="15"/>
  <c r="C384" i="15"/>
  <c r="B384" i="15"/>
  <c r="S383" i="15"/>
  <c r="M383" i="15"/>
  <c r="L383" i="15"/>
  <c r="K383" i="15"/>
  <c r="J383" i="15"/>
  <c r="I383" i="15"/>
  <c r="H383" i="15"/>
  <c r="G383" i="15"/>
  <c r="F383" i="15"/>
  <c r="E383" i="15"/>
  <c r="D383" i="15"/>
  <c r="T383" i="15" s="1"/>
  <c r="C383" i="15"/>
  <c r="B383" i="15"/>
  <c r="S382" i="15"/>
  <c r="M382" i="15"/>
  <c r="L382" i="15"/>
  <c r="K382" i="15"/>
  <c r="J382" i="15"/>
  <c r="I382" i="15"/>
  <c r="H382" i="15"/>
  <c r="G382" i="15"/>
  <c r="F382" i="15"/>
  <c r="E382" i="15"/>
  <c r="D382" i="15"/>
  <c r="C382" i="15"/>
  <c r="B382" i="15"/>
  <c r="S381" i="15"/>
  <c r="M381" i="15"/>
  <c r="L381" i="15"/>
  <c r="K381" i="15"/>
  <c r="J381" i="15"/>
  <c r="I381" i="15"/>
  <c r="H381" i="15"/>
  <c r="G381" i="15"/>
  <c r="F381" i="15"/>
  <c r="E381" i="15"/>
  <c r="D381" i="15"/>
  <c r="C381" i="15"/>
  <c r="B381" i="15"/>
  <c r="S380" i="15"/>
  <c r="M380" i="15"/>
  <c r="L380" i="15"/>
  <c r="K380" i="15"/>
  <c r="J380" i="15"/>
  <c r="I380" i="15"/>
  <c r="H380" i="15"/>
  <c r="G380" i="15"/>
  <c r="F380" i="15"/>
  <c r="E380" i="15"/>
  <c r="D380" i="15"/>
  <c r="C380" i="15"/>
  <c r="B380" i="15"/>
  <c r="S379" i="15"/>
  <c r="M379" i="15"/>
  <c r="L379" i="15"/>
  <c r="K379" i="15"/>
  <c r="J379" i="15"/>
  <c r="I379" i="15"/>
  <c r="H379" i="15"/>
  <c r="G379" i="15"/>
  <c r="F379" i="15"/>
  <c r="E379" i="15"/>
  <c r="D379" i="15"/>
  <c r="U379" i="15" s="1"/>
  <c r="U399" i="15" s="1"/>
  <c r="U404" i="15" s="1"/>
  <c r="C379" i="15"/>
  <c r="B379" i="15"/>
  <c r="S378" i="15"/>
  <c r="M378" i="15"/>
  <c r="L378" i="15"/>
  <c r="K378" i="15"/>
  <c r="J378" i="15"/>
  <c r="I378" i="15"/>
  <c r="H378" i="15"/>
  <c r="G378" i="15"/>
  <c r="F378" i="15"/>
  <c r="E378" i="15"/>
  <c r="D378" i="15"/>
  <c r="C378" i="15"/>
  <c r="B378" i="15"/>
  <c r="S377" i="15"/>
  <c r="M377" i="15"/>
  <c r="L377" i="15"/>
  <c r="K377" i="15"/>
  <c r="J377" i="15"/>
  <c r="I377" i="15"/>
  <c r="H377" i="15"/>
  <c r="G377" i="15"/>
  <c r="F377" i="15"/>
  <c r="E377" i="15"/>
  <c r="D377" i="15"/>
  <c r="C377" i="15"/>
  <c r="B377" i="15"/>
  <c r="S376" i="15"/>
  <c r="M376" i="15"/>
  <c r="L376" i="15"/>
  <c r="K376" i="15"/>
  <c r="J376" i="15"/>
  <c r="I376" i="15"/>
  <c r="H376" i="15"/>
  <c r="G376" i="15"/>
  <c r="F376" i="15"/>
  <c r="E376" i="15"/>
  <c r="D376" i="15"/>
  <c r="T376" i="15" s="1"/>
  <c r="C376" i="15"/>
  <c r="B376" i="15"/>
  <c r="S375" i="15"/>
  <c r="M375" i="15"/>
  <c r="L375" i="15"/>
  <c r="K375" i="15"/>
  <c r="J375" i="15"/>
  <c r="I375" i="15"/>
  <c r="H375" i="15"/>
  <c r="G375" i="15"/>
  <c r="F375" i="15"/>
  <c r="E375" i="15"/>
  <c r="D375" i="15"/>
  <c r="C375" i="15"/>
  <c r="B375" i="15"/>
  <c r="S374" i="15"/>
  <c r="M374" i="15"/>
  <c r="L374" i="15"/>
  <c r="K374" i="15"/>
  <c r="J374" i="15"/>
  <c r="I374" i="15"/>
  <c r="H374" i="15"/>
  <c r="G374" i="15"/>
  <c r="F374" i="15"/>
  <c r="E374" i="15"/>
  <c r="D374" i="15"/>
  <c r="C374" i="15"/>
  <c r="B374" i="15"/>
  <c r="S373" i="15"/>
  <c r="M373" i="15"/>
  <c r="L373" i="15"/>
  <c r="K373" i="15"/>
  <c r="J373" i="15"/>
  <c r="I373" i="15"/>
  <c r="H373" i="15"/>
  <c r="G373" i="15"/>
  <c r="F373" i="15"/>
  <c r="E373" i="15"/>
  <c r="D373" i="15"/>
  <c r="T373" i="15" s="1"/>
  <c r="C373" i="15"/>
  <c r="B373" i="15"/>
  <c r="S372" i="15"/>
  <c r="M372" i="15"/>
  <c r="L372" i="15"/>
  <c r="K372" i="15"/>
  <c r="J372" i="15"/>
  <c r="I372" i="15"/>
  <c r="H372" i="15"/>
  <c r="G372" i="15"/>
  <c r="F372" i="15"/>
  <c r="E372" i="15"/>
  <c r="D372" i="15"/>
  <c r="T372" i="15" s="1"/>
  <c r="C372" i="15"/>
  <c r="B372" i="15"/>
  <c r="S371" i="15"/>
  <c r="M371" i="15"/>
  <c r="L371" i="15"/>
  <c r="K371" i="15"/>
  <c r="J371" i="15"/>
  <c r="I371" i="15"/>
  <c r="H371" i="15"/>
  <c r="G371" i="15"/>
  <c r="F371" i="15"/>
  <c r="E371" i="15"/>
  <c r="D371" i="15"/>
  <c r="C371" i="15"/>
  <c r="B371" i="15"/>
  <c r="S370" i="15"/>
  <c r="M370" i="15"/>
  <c r="L370" i="15"/>
  <c r="K370" i="15"/>
  <c r="J370" i="15"/>
  <c r="I370" i="15"/>
  <c r="H370" i="15"/>
  <c r="G370" i="15"/>
  <c r="F370" i="15"/>
  <c r="E370" i="15"/>
  <c r="D370" i="15"/>
  <c r="T370" i="15" s="1"/>
  <c r="C370" i="15"/>
  <c r="B370" i="15"/>
  <c r="S369" i="15"/>
  <c r="M369" i="15"/>
  <c r="L369" i="15"/>
  <c r="K369" i="15"/>
  <c r="J369" i="15"/>
  <c r="I369" i="15"/>
  <c r="H369" i="15"/>
  <c r="G369" i="15"/>
  <c r="F369" i="15"/>
  <c r="E369" i="15"/>
  <c r="D369" i="15"/>
  <c r="T369" i="15" s="1"/>
  <c r="C369" i="15"/>
  <c r="B369" i="15"/>
  <c r="S368" i="15"/>
  <c r="M368" i="15"/>
  <c r="L368" i="15"/>
  <c r="K368" i="15"/>
  <c r="J368" i="15"/>
  <c r="I368" i="15"/>
  <c r="H368" i="15"/>
  <c r="G368" i="15"/>
  <c r="F368" i="15"/>
  <c r="E368" i="15"/>
  <c r="D368" i="15"/>
  <c r="C368" i="15"/>
  <c r="B368" i="15"/>
  <c r="S367" i="15"/>
  <c r="M367" i="15"/>
  <c r="L367" i="15"/>
  <c r="K367" i="15"/>
  <c r="J367" i="15"/>
  <c r="I367" i="15"/>
  <c r="H367" i="15"/>
  <c r="G367" i="15"/>
  <c r="F367" i="15"/>
  <c r="E367" i="15"/>
  <c r="D367" i="15"/>
  <c r="T367" i="15" s="1"/>
  <c r="C367" i="15"/>
  <c r="B367" i="15"/>
  <c r="S366" i="15"/>
  <c r="M366" i="15"/>
  <c r="L366" i="15"/>
  <c r="K366" i="15"/>
  <c r="J366" i="15"/>
  <c r="I366" i="15"/>
  <c r="H366" i="15"/>
  <c r="G366" i="15"/>
  <c r="F366" i="15"/>
  <c r="E366" i="15"/>
  <c r="D366" i="15"/>
  <c r="U366" i="15" s="1"/>
  <c r="C366" i="15"/>
  <c r="B366" i="15"/>
  <c r="S365" i="15"/>
  <c r="M365" i="15"/>
  <c r="L365" i="15"/>
  <c r="Q365" i="15" s="1"/>
  <c r="K365" i="15"/>
  <c r="J365" i="15"/>
  <c r="I365" i="15"/>
  <c r="H365" i="15"/>
  <c r="G365" i="15"/>
  <c r="F365" i="15"/>
  <c r="E365" i="15"/>
  <c r="D365" i="15"/>
  <c r="T365" i="15" s="1"/>
  <c r="C365" i="15"/>
  <c r="B365" i="15"/>
  <c r="S364" i="15"/>
  <c r="M364" i="15"/>
  <c r="L364" i="15"/>
  <c r="K364" i="15"/>
  <c r="J364" i="15"/>
  <c r="I364" i="15"/>
  <c r="H364" i="15"/>
  <c r="G364" i="15"/>
  <c r="F364" i="15"/>
  <c r="E364" i="15"/>
  <c r="D364" i="15"/>
  <c r="C364" i="15"/>
  <c r="B364" i="15"/>
  <c r="S363" i="15"/>
  <c r="M363" i="15"/>
  <c r="L363" i="15"/>
  <c r="K363" i="15"/>
  <c r="J363" i="15"/>
  <c r="I363" i="15"/>
  <c r="H363" i="15"/>
  <c r="G363" i="15"/>
  <c r="F363" i="15"/>
  <c r="E363" i="15"/>
  <c r="D363" i="15"/>
  <c r="T363" i="15" s="1"/>
  <c r="C363" i="15"/>
  <c r="B363" i="15"/>
  <c r="S362" i="15"/>
  <c r="M362" i="15"/>
  <c r="L362" i="15"/>
  <c r="K362" i="15"/>
  <c r="J362" i="15"/>
  <c r="I362" i="15"/>
  <c r="H362" i="15"/>
  <c r="G362" i="15"/>
  <c r="F362" i="15"/>
  <c r="E362" i="15"/>
  <c r="D362" i="15"/>
  <c r="T362" i="15" s="1"/>
  <c r="C362" i="15"/>
  <c r="B362" i="15"/>
  <c r="S361" i="15"/>
  <c r="M361" i="15"/>
  <c r="L361" i="15"/>
  <c r="K361" i="15"/>
  <c r="J361" i="15"/>
  <c r="I361" i="15"/>
  <c r="H361" i="15"/>
  <c r="G361" i="15"/>
  <c r="F361" i="15"/>
  <c r="E361" i="15"/>
  <c r="D361" i="15"/>
  <c r="U361" i="15" s="1"/>
  <c r="C361" i="15"/>
  <c r="B361" i="15"/>
  <c r="S360" i="15"/>
  <c r="M360" i="15"/>
  <c r="L360" i="15"/>
  <c r="K360" i="15"/>
  <c r="J360" i="15"/>
  <c r="I360" i="15"/>
  <c r="H360" i="15"/>
  <c r="G360" i="15"/>
  <c r="F360" i="15"/>
  <c r="E360" i="15"/>
  <c r="D360" i="15"/>
  <c r="T360" i="15" s="1"/>
  <c r="C360" i="15"/>
  <c r="B360" i="15"/>
  <c r="S359" i="15"/>
  <c r="M359" i="15"/>
  <c r="L359" i="15"/>
  <c r="K359" i="15"/>
  <c r="J359" i="15"/>
  <c r="I359" i="15"/>
  <c r="H359" i="15"/>
  <c r="G359" i="15"/>
  <c r="F359" i="15"/>
  <c r="E359" i="15"/>
  <c r="D359" i="15"/>
  <c r="T359" i="15" s="1"/>
  <c r="C359" i="15"/>
  <c r="B359" i="15"/>
  <c r="S358" i="15"/>
  <c r="M358" i="15"/>
  <c r="L358" i="15"/>
  <c r="Q358" i="15" s="1"/>
  <c r="K358" i="15"/>
  <c r="J358" i="15"/>
  <c r="I358" i="15"/>
  <c r="H358" i="15"/>
  <c r="G358" i="15"/>
  <c r="F358" i="15"/>
  <c r="E358" i="15"/>
  <c r="D358" i="15"/>
  <c r="T358" i="15" s="1"/>
  <c r="C358" i="15"/>
  <c r="B358" i="15"/>
  <c r="S357" i="15"/>
  <c r="M357" i="15"/>
  <c r="L357" i="15"/>
  <c r="Q357" i="15" s="1"/>
  <c r="K357" i="15"/>
  <c r="J357" i="15"/>
  <c r="I357" i="15"/>
  <c r="H357" i="15"/>
  <c r="G357" i="15"/>
  <c r="F357" i="15"/>
  <c r="E357" i="15"/>
  <c r="D357" i="15"/>
  <c r="U357" i="15" s="1"/>
  <c r="C357" i="15"/>
  <c r="B357" i="15"/>
  <c r="S356" i="15"/>
  <c r="M356" i="15"/>
  <c r="L356" i="15"/>
  <c r="K356" i="15"/>
  <c r="J356" i="15"/>
  <c r="I356" i="15"/>
  <c r="H356" i="15"/>
  <c r="G356" i="15"/>
  <c r="F356" i="15"/>
  <c r="E356" i="15"/>
  <c r="D356" i="15"/>
  <c r="T356" i="15" s="1"/>
  <c r="C356" i="15"/>
  <c r="B356" i="15"/>
  <c r="S355" i="15"/>
  <c r="M355" i="15"/>
  <c r="L355" i="15"/>
  <c r="Q355" i="15" s="1"/>
  <c r="K355" i="15"/>
  <c r="J355" i="15"/>
  <c r="I355" i="15"/>
  <c r="H355" i="15"/>
  <c r="G355" i="15"/>
  <c r="F355" i="15"/>
  <c r="E355" i="15"/>
  <c r="D355" i="15"/>
  <c r="U355" i="15" s="1"/>
  <c r="C355" i="15"/>
  <c r="B355" i="15"/>
  <c r="S354" i="15"/>
  <c r="M354" i="15"/>
  <c r="L354" i="15"/>
  <c r="K354" i="15"/>
  <c r="J354" i="15"/>
  <c r="I354" i="15"/>
  <c r="H354" i="15"/>
  <c r="G354" i="15"/>
  <c r="F354" i="15"/>
  <c r="E354" i="15"/>
  <c r="D354" i="15"/>
  <c r="U354" i="15" s="1"/>
  <c r="C354" i="15"/>
  <c r="B354" i="15"/>
  <c r="S353" i="15"/>
  <c r="M353" i="15"/>
  <c r="L353" i="15"/>
  <c r="R353" i="15" s="1"/>
  <c r="K353" i="15"/>
  <c r="J353" i="15"/>
  <c r="I353" i="15"/>
  <c r="H353" i="15"/>
  <c r="G353" i="15"/>
  <c r="F353" i="15"/>
  <c r="E353" i="15"/>
  <c r="D353" i="15"/>
  <c r="T353" i="15" s="1"/>
  <c r="C353" i="15"/>
  <c r="B353" i="15"/>
  <c r="S352" i="15"/>
  <c r="M352" i="15"/>
  <c r="L352" i="15"/>
  <c r="K352" i="15"/>
  <c r="J352" i="15"/>
  <c r="I352" i="15"/>
  <c r="H352" i="15"/>
  <c r="G352" i="15"/>
  <c r="F352" i="15"/>
  <c r="E352" i="15"/>
  <c r="D352" i="15"/>
  <c r="T352" i="15" s="1"/>
  <c r="C352" i="15"/>
  <c r="B352" i="15"/>
  <c r="S351" i="15"/>
  <c r="M351" i="15"/>
  <c r="L351" i="15"/>
  <c r="K351" i="15"/>
  <c r="J351" i="15"/>
  <c r="I351" i="15"/>
  <c r="H351" i="15"/>
  <c r="G351" i="15"/>
  <c r="F351" i="15"/>
  <c r="E351" i="15"/>
  <c r="D351" i="15"/>
  <c r="C351" i="15"/>
  <c r="B351" i="15"/>
  <c r="S350" i="15"/>
  <c r="M350" i="15"/>
  <c r="L350" i="15"/>
  <c r="R350" i="15" s="1"/>
  <c r="K350" i="15"/>
  <c r="J350" i="15"/>
  <c r="I350" i="15"/>
  <c r="H350" i="15"/>
  <c r="G350" i="15"/>
  <c r="F350" i="15"/>
  <c r="E350" i="15"/>
  <c r="D350" i="15"/>
  <c r="C350" i="15"/>
  <c r="B350" i="15"/>
  <c r="S349" i="15"/>
  <c r="M349" i="15"/>
  <c r="L349" i="15"/>
  <c r="Q349" i="15" s="1"/>
  <c r="K349" i="15"/>
  <c r="J349" i="15"/>
  <c r="I349" i="15"/>
  <c r="H349" i="15"/>
  <c r="G349" i="15"/>
  <c r="F349" i="15"/>
  <c r="E349" i="15"/>
  <c r="D349" i="15"/>
  <c r="T349" i="15" s="1"/>
  <c r="C349" i="15"/>
  <c r="B349" i="15"/>
  <c r="S348" i="15"/>
  <c r="M348" i="15"/>
  <c r="L348" i="15"/>
  <c r="K348" i="15"/>
  <c r="J348" i="15"/>
  <c r="I348" i="15"/>
  <c r="H348" i="15"/>
  <c r="G348" i="15"/>
  <c r="F348" i="15"/>
  <c r="E348" i="15"/>
  <c r="D348" i="15"/>
  <c r="C348" i="15"/>
  <c r="B348" i="15"/>
  <c r="S347" i="15"/>
  <c r="M347" i="15"/>
  <c r="L347" i="15"/>
  <c r="K347" i="15"/>
  <c r="J347" i="15"/>
  <c r="I347" i="15"/>
  <c r="H347" i="15"/>
  <c r="G347" i="15"/>
  <c r="F347" i="15"/>
  <c r="E347" i="15"/>
  <c r="D347" i="15"/>
  <c r="C347" i="15"/>
  <c r="B347" i="15"/>
  <c r="C337" i="15"/>
  <c r="B337" i="15"/>
  <c r="AK332" i="15"/>
  <c r="M334" i="15" s="1"/>
  <c r="AH332" i="15"/>
  <c r="I334" i="15" s="1"/>
  <c r="B334" i="15"/>
  <c r="M332" i="15"/>
  <c r="L332" i="15"/>
  <c r="K332" i="15"/>
  <c r="J332" i="15"/>
  <c r="I332" i="15"/>
  <c r="H332" i="15"/>
  <c r="G332" i="15"/>
  <c r="F332" i="15"/>
  <c r="E332" i="15"/>
  <c r="D332" i="15"/>
  <c r="C332" i="15"/>
  <c r="B332" i="15"/>
  <c r="AK331" i="15"/>
  <c r="AH331" i="15"/>
  <c r="AE331" i="15"/>
  <c r="M331" i="15"/>
  <c r="L331" i="15"/>
  <c r="K331" i="15"/>
  <c r="J331" i="15"/>
  <c r="I331" i="15"/>
  <c r="H331" i="15"/>
  <c r="G331" i="15"/>
  <c r="F331" i="15"/>
  <c r="E331" i="15"/>
  <c r="D331" i="15"/>
  <c r="C331" i="15"/>
  <c r="B331" i="15"/>
  <c r="AK330" i="15"/>
  <c r="AH330" i="15"/>
  <c r="AE330" i="15"/>
  <c r="S330" i="15"/>
  <c r="M330" i="15"/>
  <c r="L330" i="15"/>
  <c r="K330" i="15"/>
  <c r="J330" i="15"/>
  <c r="I330" i="15"/>
  <c r="H330" i="15"/>
  <c r="G330" i="15"/>
  <c r="F330" i="15"/>
  <c r="E330" i="15"/>
  <c r="D330" i="15"/>
  <c r="C330" i="15"/>
  <c r="B330" i="15"/>
  <c r="AK329" i="15"/>
  <c r="AH329" i="15"/>
  <c r="AE329" i="15"/>
  <c r="S329" i="15"/>
  <c r="M329" i="15"/>
  <c r="M336" i="15" s="1"/>
  <c r="L329" i="15"/>
  <c r="L336" i="15" s="1"/>
  <c r="K329" i="15"/>
  <c r="K336" i="15" s="1"/>
  <c r="J329" i="15"/>
  <c r="J336" i="15" s="1"/>
  <c r="I329" i="15"/>
  <c r="I337" i="15" s="1"/>
  <c r="H329" i="15"/>
  <c r="G329" i="15"/>
  <c r="F329" i="15"/>
  <c r="F334" i="15" s="1"/>
  <c r="E329" i="15"/>
  <c r="E336" i="15" s="1"/>
  <c r="D329" i="15"/>
  <c r="D336" i="15" s="1"/>
  <c r="C329" i="15"/>
  <c r="C336" i="15" s="1"/>
  <c r="B329" i="15"/>
  <c r="B336" i="15" s="1"/>
  <c r="M328" i="15"/>
  <c r="L328" i="15"/>
  <c r="K328" i="15"/>
  <c r="J328" i="15"/>
  <c r="I328" i="15"/>
  <c r="H328" i="15"/>
  <c r="G328" i="15"/>
  <c r="F328" i="15"/>
  <c r="E328" i="15"/>
  <c r="D328" i="15"/>
  <c r="C328" i="15"/>
  <c r="AE324" i="15"/>
  <c r="Z324" i="15"/>
  <c r="V324" i="15"/>
  <c r="T324" i="15"/>
  <c r="Q324" i="15"/>
  <c r="Y323" i="15"/>
  <c r="Y331" i="15" s="1"/>
  <c r="W323" i="15"/>
  <c r="T323" i="15"/>
  <c r="Q323" i="15"/>
  <c r="O323" i="15"/>
  <c r="O322" i="15" s="1"/>
  <c r="O321" i="15" s="1"/>
  <c r="O320" i="15" s="1"/>
  <c r="O319" i="15" s="1"/>
  <c r="O318" i="15" s="1"/>
  <c r="O317" i="15" s="1"/>
  <c r="O316" i="15" s="1"/>
  <c r="O315" i="15" s="1"/>
  <c r="O314" i="15" s="1"/>
  <c r="O313" i="15" s="1"/>
  <c r="O312" i="15" s="1"/>
  <c r="O311" i="15" s="1"/>
  <c r="O310" i="15" s="1"/>
  <c r="O309" i="15" s="1"/>
  <c r="O308" i="15" s="1"/>
  <c r="O307" i="15" s="1"/>
  <c r="O306" i="15" s="1"/>
  <c r="O305" i="15" s="1"/>
  <c r="O304" i="15" s="1"/>
  <c r="O303" i="15" s="1"/>
  <c r="O302" i="15" s="1"/>
  <c r="O301" i="15" s="1"/>
  <c r="O300" i="15" s="1"/>
  <c r="O299" i="15" s="1"/>
  <c r="O298" i="15" s="1"/>
  <c r="O297" i="15" s="1"/>
  <c r="O296" i="15" s="1"/>
  <c r="O295" i="15" s="1"/>
  <c r="O294" i="15" s="1"/>
  <c r="O293" i="15" s="1"/>
  <c r="O292" i="15" s="1"/>
  <c r="O291" i="15" s="1"/>
  <c r="O290" i="15" s="1"/>
  <c r="O289" i="15" s="1"/>
  <c r="O288" i="15" s="1"/>
  <c r="O287" i="15" s="1"/>
  <c r="O286" i="15" s="1"/>
  <c r="O285" i="15" s="1"/>
  <c r="O284" i="15" s="1"/>
  <c r="O283" i="15" s="1"/>
  <c r="O282" i="15" s="1"/>
  <c r="O281" i="15" s="1"/>
  <c r="O280" i="15" s="1"/>
  <c r="O279" i="15" s="1"/>
  <c r="O278" i="15" s="1"/>
  <c r="O277" i="15" s="1"/>
  <c r="O276" i="15" s="1"/>
  <c r="O275" i="15" s="1"/>
  <c r="Z322" i="15"/>
  <c r="V322" i="15"/>
  <c r="T322" i="15"/>
  <c r="Q322" i="15"/>
  <c r="Z321" i="15"/>
  <c r="W321" i="15"/>
  <c r="T321" i="15"/>
  <c r="Q321" i="15"/>
  <c r="Z320" i="15"/>
  <c r="W320" i="15"/>
  <c r="T320" i="15"/>
  <c r="Q320" i="15"/>
  <c r="Z319" i="15"/>
  <c r="V319" i="15"/>
  <c r="T319" i="15"/>
  <c r="Q319" i="15"/>
  <c r="Y318" i="15"/>
  <c r="W318" i="15"/>
  <c r="T318" i="15"/>
  <c r="Q318" i="15"/>
  <c r="Y317" i="15"/>
  <c r="W317" i="15"/>
  <c r="T317" i="15"/>
  <c r="Q317" i="15"/>
  <c r="Y316" i="15"/>
  <c r="P316" i="15"/>
  <c r="P330" i="15" s="1"/>
  <c r="Y315" i="15"/>
  <c r="Y314" i="15"/>
  <c r="Y313" i="15"/>
  <c r="Y312" i="15"/>
  <c r="Y311" i="15"/>
  <c r="Y310" i="15"/>
  <c r="Y309" i="15"/>
  <c r="Y308" i="15"/>
  <c r="Y307" i="15"/>
  <c r="Y306" i="15"/>
  <c r="Y305" i="15"/>
  <c r="Y304" i="15"/>
  <c r="V304" i="15"/>
  <c r="Y303" i="15"/>
  <c r="W303" i="15"/>
  <c r="Y302" i="15"/>
  <c r="V302" i="15"/>
  <c r="T302" i="15"/>
  <c r="P302" i="15"/>
  <c r="Y301" i="15"/>
  <c r="V301" i="15"/>
  <c r="S301" i="15"/>
  <c r="Q301" i="15"/>
  <c r="Y300" i="15"/>
  <c r="V300" i="15"/>
  <c r="S300" i="15"/>
  <c r="Q300" i="15"/>
  <c r="Y299" i="15"/>
  <c r="W299" i="15"/>
  <c r="T299" i="15"/>
  <c r="Y298" i="15"/>
  <c r="V298" i="15"/>
  <c r="S298" i="15"/>
  <c r="Q298" i="15"/>
  <c r="Y297" i="15"/>
  <c r="V297" i="15"/>
  <c r="S297" i="15"/>
  <c r="Q297" i="15"/>
  <c r="Y296" i="15"/>
  <c r="W296" i="15"/>
  <c r="T296" i="15"/>
  <c r="Q296" i="15"/>
  <c r="Y295" i="15"/>
  <c r="V295" i="15"/>
  <c r="S295" i="15"/>
  <c r="Q295" i="15"/>
  <c r="Y294" i="15"/>
  <c r="V294" i="15"/>
  <c r="T294" i="15"/>
  <c r="Q294" i="15"/>
  <c r="Y293" i="15"/>
  <c r="V293" i="15"/>
  <c r="S293" i="15"/>
  <c r="P293" i="15"/>
  <c r="Y292" i="15"/>
  <c r="V292" i="15"/>
  <c r="T292" i="15"/>
  <c r="Q292" i="15"/>
  <c r="Y291" i="15"/>
  <c r="W291" i="15"/>
  <c r="S291" i="15"/>
  <c r="Q291" i="15"/>
  <c r="Y290" i="15"/>
  <c r="V290" i="15"/>
  <c r="S290" i="15"/>
  <c r="Q290" i="15"/>
  <c r="Y289" i="15"/>
  <c r="V289" i="15"/>
  <c r="T289" i="15"/>
  <c r="Q289" i="15"/>
  <c r="Y288" i="15"/>
  <c r="W288" i="15"/>
  <c r="S288" i="15"/>
  <c r="Q288" i="15"/>
  <c r="Y287" i="15"/>
  <c r="V287" i="15"/>
  <c r="S287" i="15"/>
  <c r="Q287" i="15"/>
  <c r="Y286" i="15"/>
  <c r="V286" i="15"/>
  <c r="S286" i="15"/>
  <c r="P286" i="15"/>
  <c r="Y285" i="15"/>
  <c r="V285" i="15"/>
  <c r="T285" i="15"/>
  <c r="P285" i="15"/>
  <c r="Z284" i="15"/>
  <c r="V284" i="15"/>
  <c r="S284" i="15"/>
  <c r="Q284" i="15"/>
  <c r="Y283" i="15"/>
  <c r="V283" i="15"/>
  <c r="T283" i="15"/>
  <c r="P283" i="15"/>
  <c r="Y282" i="15"/>
  <c r="V282" i="15"/>
  <c r="T282" i="15"/>
  <c r="Q282" i="15"/>
  <c r="Y281" i="15"/>
  <c r="V281" i="15"/>
  <c r="S281" i="15"/>
  <c r="Q281" i="15"/>
  <c r="P281" i="15"/>
  <c r="Y280" i="15"/>
  <c r="W280" i="15"/>
  <c r="S280" i="15"/>
  <c r="Q280" i="15"/>
  <c r="Y279" i="15"/>
  <c r="V279" i="15"/>
  <c r="T279" i="15"/>
  <c r="Q279" i="15"/>
  <c r="Y278" i="15"/>
  <c r="V278" i="15"/>
  <c r="T278" i="15"/>
  <c r="Q278" i="15"/>
  <c r="P278" i="15"/>
  <c r="Y277" i="15"/>
  <c r="W277" i="15"/>
  <c r="S277" i="15"/>
  <c r="P277" i="15"/>
  <c r="Y276" i="15"/>
  <c r="V276" i="15"/>
  <c r="T276" i="15"/>
  <c r="Q276" i="15"/>
  <c r="Y275" i="15"/>
  <c r="W275" i="15"/>
  <c r="T275" i="15"/>
  <c r="Q275" i="15"/>
  <c r="C261" i="15"/>
  <c r="B261" i="15"/>
  <c r="AP258" i="15"/>
  <c r="AP257" i="15"/>
  <c r="M257" i="15"/>
  <c r="L257" i="15"/>
  <c r="K257" i="15"/>
  <c r="J257" i="15"/>
  <c r="I257" i="15"/>
  <c r="H257" i="15"/>
  <c r="G257" i="15"/>
  <c r="F257" i="15"/>
  <c r="E257" i="15"/>
  <c r="D257" i="15"/>
  <c r="C257" i="15"/>
  <c r="B257" i="15"/>
  <c r="M256" i="15"/>
  <c r="L256" i="15"/>
  <c r="K256" i="15"/>
  <c r="J256" i="15"/>
  <c r="I256" i="15"/>
  <c r="H256" i="15"/>
  <c r="G256" i="15"/>
  <c r="F256" i="15"/>
  <c r="E256" i="15"/>
  <c r="D256" i="15"/>
  <c r="C256" i="15"/>
  <c r="B256" i="15"/>
  <c r="AP255" i="15"/>
  <c r="M255" i="15"/>
  <c r="L255" i="15"/>
  <c r="K255" i="15"/>
  <c r="J255" i="15"/>
  <c r="I255" i="15"/>
  <c r="H255" i="15"/>
  <c r="G255" i="15"/>
  <c r="F255" i="15"/>
  <c r="E255" i="15"/>
  <c r="D255" i="15"/>
  <c r="C255" i="15"/>
  <c r="B255" i="15"/>
  <c r="AP254" i="15"/>
  <c r="M254" i="15"/>
  <c r="L254" i="15"/>
  <c r="K254" i="15"/>
  <c r="K261" i="15" s="1"/>
  <c r="J254" i="15"/>
  <c r="J261" i="15" s="1"/>
  <c r="I254" i="15"/>
  <c r="I261" i="15" s="1"/>
  <c r="H254" i="15"/>
  <c r="H261" i="15" s="1"/>
  <c r="G254" i="15"/>
  <c r="G261" i="15" s="1"/>
  <c r="F254" i="15"/>
  <c r="F261" i="15" s="1"/>
  <c r="E254" i="15"/>
  <c r="E261" i="15" s="1"/>
  <c r="D254" i="15"/>
  <c r="C254" i="15"/>
  <c r="B254" i="15"/>
  <c r="AP253" i="15"/>
  <c r="M253" i="15"/>
  <c r="L253" i="15"/>
  <c r="K253" i="15"/>
  <c r="J253" i="15"/>
  <c r="I253" i="15"/>
  <c r="H253" i="15"/>
  <c r="G253" i="15"/>
  <c r="F253" i="15"/>
  <c r="E253" i="15"/>
  <c r="D253" i="15"/>
  <c r="C253" i="15"/>
  <c r="B253" i="15"/>
  <c r="AC247" i="15"/>
  <c r="Z247" i="15"/>
  <c r="V247" i="15"/>
  <c r="T247" i="15"/>
  <c r="Q247" i="15"/>
  <c r="N247" i="15"/>
  <c r="AC246" i="15"/>
  <c r="Y246" i="15"/>
  <c r="Y256" i="15" s="1"/>
  <c r="W246" i="15"/>
  <c r="T246" i="15"/>
  <c r="Q246" i="15"/>
  <c r="N246" i="15"/>
  <c r="AC245" i="15"/>
  <c r="Z245" i="15"/>
  <c r="V245" i="15"/>
  <c r="T245" i="15"/>
  <c r="Q245" i="15"/>
  <c r="O245" i="15"/>
  <c r="O244" i="15" s="1"/>
  <c r="O243" i="15" s="1"/>
  <c r="O242" i="15" s="1"/>
  <c r="O241" i="15" s="1"/>
  <c r="O240" i="15" s="1"/>
  <c r="O239" i="15" s="1"/>
  <c r="O238" i="15" s="1"/>
  <c r="O237" i="15" s="1"/>
  <c r="O236" i="15" s="1"/>
  <c r="O235" i="15" s="1"/>
  <c r="O234" i="15" s="1"/>
  <c r="O233" i="15" s="1"/>
  <c r="O232" i="15" s="1"/>
  <c r="O231" i="15" s="1"/>
  <c r="O230" i="15" s="1"/>
  <c r="O229" i="15" s="1"/>
  <c r="O228" i="15" s="1"/>
  <c r="O227" i="15" s="1"/>
  <c r="O226" i="15" s="1"/>
  <c r="O225" i="15" s="1"/>
  <c r="O224" i="15" s="1"/>
  <c r="O223" i="15" s="1"/>
  <c r="O222" i="15" s="1"/>
  <c r="O221" i="15" s="1"/>
  <c r="O220" i="15" s="1"/>
  <c r="O219" i="15" s="1"/>
  <c r="O218" i="15" s="1"/>
  <c r="O217" i="15" s="1"/>
  <c r="O216" i="15" s="1"/>
  <c r="O215" i="15" s="1"/>
  <c r="O214" i="15" s="1"/>
  <c r="O213" i="15" s="1"/>
  <c r="O212" i="15" s="1"/>
  <c r="O211" i="15" s="1"/>
  <c r="O210" i="15" s="1"/>
  <c r="O209" i="15" s="1"/>
  <c r="O208" i="15" s="1"/>
  <c r="O207" i="15" s="1"/>
  <c r="O206" i="15" s="1"/>
  <c r="O205" i="15" s="1"/>
  <c r="O204" i="15" s="1"/>
  <c r="O203" i="15" s="1"/>
  <c r="O202" i="15" s="1"/>
  <c r="O201" i="15" s="1"/>
  <c r="O200" i="15" s="1"/>
  <c r="N245" i="15"/>
  <c r="AC244" i="15"/>
  <c r="Z244" i="15"/>
  <c r="W244" i="15"/>
  <c r="T244" i="15"/>
  <c r="Q244" i="15"/>
  <c r="N244" i="15"/>
  <c r="AC243" i="15"/>
  <c r="Z243" i="15"/>
  <c r="W243" i="15"/>
  <c r="T243" i="15"/>
  <c r="Q243" i="15"/>
  <c r="N243" i="15"/>
  <c r="AC242" i="15"/>
  <c r="Z242" i="15"/>
  <c r="V242" i="15"/>
  <c r="T242" i="15"/>
  <c r="Q242" i="15"/>
  <c r="N242" i="15"/>
  <c r="AC241" i="15"/>
  <c r="Y241" i="15"/>
  <c r="W241" i="15"/>
  <c r="T241" i="15"/>
  <c r="Q241" i="15"/>
  <c r="N241" i="15"/>
  <c r="AC240" i="15"/>
  <c r="Y240" i="15"/>
  <c r="W240" i="15"/>
  <c r="T240" i="15"/>
  <c r="Q240" i="15"/>
  <c r="N240" i="15"/>
  <c r="AC239" i="15"/>
  <c r="Y239" i="15"/>
  <c r="V239" i="15"/>
  <c r="T239" i="15"/>
  <c r="P239" i="15"/>
  <c r="P254" i="15" s="1"/>
  <c r="P260" i="15" s="1"/>
  <c r="N239" i="15"/>
  <c r="AC238" i="15"/>
  <c r="Y238" i="15"/>
  <c r="W238" i="15"/>
  <c r="S238" i="15"/>
  <c r="S255" i="15" s="1"/>
  <c r="Q238" i="15"/>
  <c r="N238" i="15"/>
  <c r="AC237" i="15"/>
  <c r="Y237" i="15"/>
  <c r="W237" i="15"/>
  <c r="T237" i="15"/>
  <c r="Q237" i="15"/>
  <c r="N237" i="15"/>
  <c r="AC236" i="15"/>
  <c r="Y236" i="15"/>
  <c r="W236" i="15"/>
  <c r="T236" i="15"/>
  <c r="Q236" i="15"/>
  <c r="N236" i="15"/>
  <c r="AC235" i="15"/>
  <c r="Y235" i="15"/>
  <c r="V235" i="15"/>
  <c r="S235" i="15"/>
  <c r="Q235" i="15"/>
  <c r="N235" i="15"/>
  <c r="AC234" i="15"/>
  <c r="Y234" i="15"/>
  <c r="W234" i="15"/>
  <c r="S234" i="15"/>
  <c r="Q234" i="15"/>
  <c r="N234" i="15"/>
  <c r="AC233" i="15"/>
  <c r="Y233" i="15"/>
  <c r="V233" i="15"/>
  <c r="T233" i="15"/>
  <c r="Q233" i="15"/>
  <c r="N233" i="15"/>
  <c r="AC232" i="15"/>
  <c r="Y232" i="15"/>
  <c r="V232" i="15"/>
  <c r="T232" i="15"/>
  <c r="Q232" i="15"/>
  <c r="N232" i="15"/>
  <c r="AC231" i="15"/>
  <c r="Y231" i="15"/>
  <c r="W231" i="15"/>
  <c r="T231" i="15"/>
  <c r="Q231" i="15"/>
  <c r="N231" i="15"/>
  <c r="AC230" i="15"/>
  <c r="Y230" i="15"/>
  <c r="V230" i="15"/>
  <c r="Q230" i="15"/>
  <c r="N230" i="15"/>
  <c r="AC229" i="15"/>
  <c r="Y229" i="15"/>
  <c r="V229" i="15"/>
  <c r="T229" i="15"/>
  <c r="Q229" i="15"/>
  <c r="N229" i="15"/>
  <c r="AC228" i="15"/>
  <c r="Y228" i="15"/>
  <c r="V228" i="15"/>
  <c r="T228" i="15"/>
  <c r="Q228" i="15"/>
  <c r="N228" i="15"/>
  <c r="AC227" i="15"/>
  <c r="Y227" i="15"/>
  <c r="V227" i="15"/>
  <c r="S227" i="15"/>
  <c r="Q227" i="15"/>
  <c r="N227" i="15"/>
  <c r="AC226" i="15"/>
  <c r="Y226" i="15"/>
  <c r="T226" i="15"/>
  <c r="Q226" i="15"/>
  <c r="N226" i="15"/>
  <c r="AC225" i="15"/>
  <c r="Y225" i="15"/>
  <c r="V225" i="15"/>
  <c r="T225" i="15"/>
  <c r="P225" i="15"/>
  <c r="N225" i="15"/>
  <c r="AC224" i="15"/>
  <c r="Y224" i="15"/>
  <c r="V224" i="15"/>
  <c r="S224" i="15"/>
  <c r="Q224" i="15"/>
  <c r="N224" i="15"/>
  <c r="AC223" i="15"/>
  <c r="Y223" i="15"/>
  <c r="V223" i="15"/>
  <c r="S223" i="15"/>
  <c r="Q223" i="15"/>
  <c r="N223" i="15"/>
  <c r="AC222" i="15"/>
  <c r="Y222" i="15"/>
  <c r="V222" i="15"/>
  <c r="T222" i="15"/>
  <c r="Q222" i="15"/>
  <c r="N222" i="15"/>
  <c r="AC221" i="15"/>
  <c r="Y221" i="15"/>
  <c r="V221" i="15"/>
  <c r="S221" i="15"/>
  <c r="Q221" i="15"/>
  <c r="N221" i="15"/>
  <c r="AC220" i="15"/>
  <c r="Y220" i="15"/>
  <c r="V220" i="15"/>
  <c r="S220" i="15"/>
  <c r="Q220" i="15"/>
  <c r="N220" i="15"/>
  <c r="AC219" i="15"/>
  <c r="Y219" i="15"/>
  <c r="W219" i="15"/>
  <c r="T219" i="15"/>
  <c r="Q219" i="15"/>
  <c r="N219" i="15"/>
  <c r="AC218" i="15"/>
  <c r="Y218" i="15"/>
  <c r="V218" i="15"/>
  <c r="S218" i="15"/>
  <c r="Q218" i="15"/>
  <c r="N218" i="15"/>
  <c r="AC217" i="15"/>
  <c r="Y217" i="15"/>
  <c r="V217" i="15"/>
  <c r="Q217" i="15"/>
  <c r="N217" i="15"/>
  <c r="AC216" i="15"/>
  <c r="Y216" i="15"/>
  <c r="V216" i="15"/>
  <c r="S216" i="15"/>
  <c r="P216" i="15"/>
  <c r="N216" i="15"/>
  <c r="AC215" i="15"/>
  <c r="Y215" i="15"/>
  <c r="V215" i="15"/>
  <c r="T215" i="15"/>
  <c r="Q215" i="15"/>
  <c r="N215" i="15"/>
  <c r="AC214" i="15"/>
  <c r="Y214" i="15"/>
  <c r="V214" i="15"/>
  <c r="S214" i="15"/>
  <c r="Q214" i="15"/>
  <c r="N214" i="15"/>
  <c r="AC213" i="15"/>
  <c r="Y213" i="15"/>
  <c r="V213" i="15"/>
  <c r="S213" i="15"/>
  <c r="Q213" i="15"/>
  <c r="N213" i="15"/>
  <c r="AC212" i="15"/>
  <c r="Y212" i="15"/>
  <c r="V212" i="15"/>
  <c r="Q212" i="15"/>
  <c r="N212" i="15"/>
  <c r="AC211" i="15"/>
  <c r="Y211" i="15"/>
  <c r="W211" i="15"/>
  <c r="S211" i="15"/>
  <c r="Q211" i="15"/>
  <c r="N211" i="15"/>
  <c r="AC210" i="15"/>
  <c r="Y210" i="15"/>
  <c r="V210" i="15"/>
  <c r="S210" i="15"/>
  <c r="Q210" i="15"/>
  <c r="N210" i="15"/>
  <c r="AC209" i="15"/>
  <c r="Y209" i="15"/>
  <c r="V209" i="15"/>
  <c r="S209" i="15"/>
  <c r="P209" i="15"/>
  <c r="N209" i="15"/>
  <c r="AC208" i="15"/>
  <c r="Y208" i="15"/>
  <c r="V208" i="15"/>
  <c r="P208" i="15"/>
  <c r="N208" i="15"/>
  <c r="AC207" i="15"/>
  <c r="Z207" i="15"/>
  <c r="V207" i="15"/>
  <c r="S207" i="15"/>
  <c r="Q207" i="15"/>
  <c r="N207" i="15"/>
  <c r="AC206" i="15"/>
  <c r="Y206" i="15"/>
  <c r="V206" i="15"/>
  <c r="P206" i="15"/>
  <c r="N206" i="15"/>
  <c r="AC205" i="15"/>
  <c r="Y205" i="15"/>
  <c r="V205" i="15"/>
  <c r="Q205" i="15"/>
  <c r="N205" i="15"/>
  <c r="AC204" i="15"/>
  <c r="Y204" i="15"/>
  <c r="V204" i="15"/>
  <c r="S204" i="15"/>
  <c r="P204" i="15"/>
  <c r="N204" i="15"/>
  <c r="AC203" i="15"/>
  <c r="Y203" i="15"/>
  <c r="V203" i="15"/>
  <c r="S203" i="15"/>
  <c r="Q203" i="15"/>
  <c r="N203" i="15"/>
  <c r="AC202" i="15"/>
  <c r="Y202" i="15"/>
  <c r="V202" i="15"/>
  <c r="T202" i="15"/>
  <c r="Q202" i="15"/>
  <c r="N202" i="15"/>
  <c r="AC201" i="15"/>
  <c r="Y201" i="15"/>
  <c r="V201" i="15"/>
  <c r="T201" i="15"/>
  <c r="P201" i="15"/>
  <c r="N201" i="15"/>
  <c r="AC200" i="15"/>
  <c r="Y200" i="15"/>
  <c r="V200" i="15"/>
  <c r="S200" i="15"/>
  <c r="P200" i="15"/>
  <c r="N200" i="15"/>
  <c r="AC199" i="15"/>
  <c r="Y199" i="15"/>
  <c r="V199" i="15"/>
  <c r="T199" i="15"/>
  <c r="Q199" i="15"/>
  <c r="N199" i="15"/>
  <c r="Y198" i="15"/>
  <c r="V198" i="15"/>
  <c r="T198" i="15"/>
  <c r="Q198" i="15"/>
  <c r="N198" i="15"/>
  <c r="M178" i="15"/>
  <c r="L178" i="15"/>
  <c r="K178" i="15"/>
  <c r="J178" i="15"/>
  <c r="I178" i="15"/>
  <c r="H178" i="15"/>
  <c r="G178" i="15"/>
  <c r="F178" i="15"/>
  <c r="E178" i="15"/>
  <c r="D178" i="15"/>
  <c r="C178" i="15"/>
  <c r="B178" i="15"/>
  <c r="M177" i="15"/>
  <c r="L177" i="15"/>
  <c r="K177" i="15"/>
  <c r="J177" i="15"/>
  <c r="I177" i="15"/>
  <c r="H177" i="15"/>
  <c r="G177" i="15"/>
  <c r="F177" i="15"/>
  <c r="E177" i="15"/>
  <c r="D177" i="15"/>
  <c r="C177" i="15"/>
  <c r="B177" i="15"/>
  <c r="AA172" i="15"/>
  <c r="Z172" i="15"/>
  <c r="Y172" i="15"/>
  <c r="X172" i="15"/>
  <c r="W172" i="15"/>
  <c r="V172" i="15"/>
  <c r="U172" i="15"/>
  <c r="T172" i="15"/>
  <c r="S172" i="15"/>
  <c r="R172" i="15"/>
  <c r="Q172" i="15"/>
  <c r="P172" i="15"/>
  <c r="AA171" i="15"/>
  <c r="Z171" i="15"/>
  <c r="Y171" i="15"/>
  <c r="X171" i="15"/>
  <c r="W171" i="15"/>
  <c r="V171" i="15"/>
  <c r="U171" i="15"/>
  <c r="T171" i="15"/>
  <c r="S171" i="15"/>
  <c r="R171" i="15"/>
  <c r="Q171" i="15"/>
  <c r="P171" i="15"/>
  <c r="AA170" i="15"/>
  <c r="Z170" i="15"/>
  <c r="Y170" i="15"/>
  <c r="X170" i="15"/>
  <c r="W170" i="15"/>
  <c r="V170" i="15"/>
  <c r="U170" i="15"/>
  <c r="T170" i="15"/>
  <c r="S170" i="15"/>
  <c r="R170" i="15"/>
  <c r="Q170" i="15"/>
  <c r="P170" i="15"/>
  <c r="AA169" i="15"/>
  <c r="Z169" i="15"/>
  <c r="Y169" i="15"/>
  <c r="X169" i="15"/>
  <c r="W169" i="15"/>
  <c r="V169" i="15"/>
  <c r="U169" i="15"/>
  <c r="T169" i="15"/>
  <c r="S169" i="15"/>
  <c r="R169" i="15"/>
  <c r="Q169" i="15"/>
  <c r="P169" i="15"/>
  <c r="AA168" i="15"/>
  <c r="Z168" i="15"/>
  <c r="Y168" i="15"/>
  <c r="X168" i="15"/>
  <c r="W168" i="15"/>
  <c r="V168" i="15"/>
  <c r="U168" i="15"/>
  <c r="T168" i="15"/>
  <c r="S168" i="15"/>
  <c r="R168" i="15"/>
  <c r="Q168" i="15"/>
  <c r="P168" i="15"/>
  <c r="AA167" i="15"/>
  <c r="Z167" i="15"/>
  <c r="Y167" i="15"/>
  <c r="X167" i="15"/>
  <c r="W167" i="15"/>
  <c r="V167" i="15"/>
  <c r="U167" i="15"/>
  <c r="T167" i="15"/>
  <c r="S167" i="15"/>
  <c r="R167" i="15"/>
  <c r="Q167" i="15"/>
  <c r="P167" i="15"/>
  <c r="AA166" i="15"/>
  <c r="Z166" i="15"/>
  <c r="Y166" i="15"/>
  <c r="X166" i="15"/>
  <c r="W166" i="15"/>
  <c r="V166" i="15"/>
  <c r="U166" i="15"/>
  <c r="T166" i="15"/>
  <c r="S166" i="15"/>
  <c r="R166" i="15"/>
  <c r="Q166" i="15"/>
  <c r="P166" i="15"/>
  <c r="AA165" i="15"/>
  <c r="Z165" i="15"/>
  <c r="Y165" i="15"/>
  <c r="X165" i="15"/>
  <c r="W165" i="15"/>
  <c r="V165" i="15"/>
  <c r="U165" i="15"/>
  <c r="T165" i="15"/>
  <c r="S165" i="15"/>
  <c r="R165" i="15"/>
  <c r="Q165" i="15"/>
  <c r="P165" i="15"/>
  <c r="AA164" i="15"/>
  <c r="Z164" i="15"/>
  <c r="Y164" i="15"/>
  <c r="X164" i="15"/>
  <c r="W164" i="15"/>
  <c r="V164" i="15"/>
  <c r="U164" i="15"/>
  <c r="T164" i="15"/>
  <c r="S164" i="15"/>
  <c r="R164" i="15"/>
  <c r="Q164" i="15"/>
  <c r="P164" i="15"/>
  <c r="AA163" i="15"/>
  <c r="Z163" i="15"/>
  <c r="Y163" i="15"/>
  <c r="X163" i="15"/>
  <c r="W163" i="15"/>
  <c r="V163" i="15"/>
  <c r="U163" i="15"/>
  <c r="T163" i="15"/>
  <c r="S163" i="15"/>
  <c r="R163" i="15"/>
  <c r="Q163" i="15"/>
  <c r="P163" i="15"/>
  <c r="AA162" i="15"/>
  <c r="Z162" i="15"/>
  <c r="Y162" i="15"/>
  <c r="X162" i="15"/>
  <c r="W162" i="15"/>
  <c r="V162" i="15"/>
  <c r="U162" i="15"/>
  <c r="T162" i="15"/>
  <c r="S162" i="15"/>
  <c r="R162" i="15"/>
  <c r="Q162" i="15"/>
  <c r="P162" i="15"/>
  <c r="AA161" i="15"/>
  <c r="Z161" i="15"/>
  <c r="Y161" i="15"/>
  <c r="X161" i="15"/>
  <c r="X186" i="15" s="1"/>
  <c r="W161" i="15"/>
  <c r="V161" i="15"/>
  <c r="U161" i="15"/>
  <c r="T161" i="15"/>
  <c r="S161" i="15"/>
  <c r="R161" i="15"/>
  <c r="Q161" i="15"/>
  <c r="P161" i="15"/>
  <c r="P186" i="15" s="1"/>
  <c r="AA160" i="15"/>
  <c r="Z160" i="15"/>
  <c r="Y160" i="15"/>
  <c r="X160" i="15"/>
  <c r="W160" i="15"/>
  <c r="V160" i="15"/>
  <c r="U160" i="15"/>
  <c r="T160" i="15"/>
  <c r="S160" i="15"/>
  <c r="R160" i="15"/>
  <c r="Q160" i="15"/>
  <c r="P160" i="15"/>
  <c r="AA159" i="15"/>
  <c r="Z159" i="15"/>
  <c r="Y159" i="15"/>
  <c r="X159" i="15"/>
  <c r="W159" i="15"/>
  <c r="V159" i="15"/>
  <c r="U159" i="15"/>
  <c r="T159" i="15"/>
  <c r="S159" i="15"/>
  <c r="R159" i="15"/>
  <c r="Q159" i="15"/>
  <c r="P159" i="15"/>
  <c r="AA158" i="15"/>
  <c r="Z158" i="15"/>
  <c r="Y158" i="15"/>
  <c r="X158" i="15"/>
  <c r="W158" i="15"/>
  <c r="V158" i="15"/>
  <c r="U158" i="15"/>
  <c r="T158" i="15"/>
  <c r="S158" i="15"/>
  <c r="R158" i="15"/>
  <c r="Q158" i="15"/>
  <c r="P158" i="15"/>
  <c r="AA157" i="15"/>
  <c r="Z157" i="15"/>
  <c r="Y157" i="15"/>
  <c r="X157" i="15"/>
  <c r="W157" i="15"/>
  <c r="V157" i="15"/>
  <c r="U157" i="15"/>
  <c r="T157" i="15"/>
  <c r="S157" i="15"/>
  <c r="R157" i="15"/>
  <c r="Q157" i="15"/>
  <c r="P157" i="15"/>
  <c r="AA156" i="15"/>
  <c r="Z156" i="15"/>
  <c r="Y156" i="15"/>
  <c r="X156" i="15"/>
  <c r="W156" i="15"/>
  <c r="V156" i="15"/>
  <c r="U156" i="15"/>
  <c r="T156" i="15"/>
  <c r="S156" i="15"/>
  <c r="R156" i="15"/>
  <c r="Q156" i="15"/>
  <c r="P156" i="15"/>
  <c r="AA155" i="15"/>
  <c r="Z155" i="15"/>
  <c r="Y155" i="15"/>
  <c r="X155" i="15"/>
  <c r="W155" i="15"/>
  <c r="V155" i="15"/>
  <c r="U155" i="15"/>
  <c r="T155" i="15"/>
  <c r="S155" i="15"/>
  <c r="R155" i="15"/>
  <c r="Q155" i="15"/>
  <c r="P155" i="15"/>
  <c r="AA154" i="15"/>
  <c r="Z154" i="15"/>
  <c r="Y154" i="15"/>
  <c r="X154" i="15"/>
  <c r="W154" i="15"/>
  <c r="V154" i="15"/>
  <c r="U154" i="15"/>
  <c r="T154" i="15"/>
  <c r="S154" i="15"/>
  <c r="R154" i="15"/>
  <c r="Q154" i="15"/>
  <c r="P154" i="15"/>
  <c r="AA153" i="15"/>
  <c r="Z153" i="15"/>
  <c r="Y153" i="15"/>
  <c r="X153" i="15"/>
  <c r="W153" i="15"/>
  <c r="V153" i="15"/>
  <c r="U153" i="15"/>
  <c r="T153" i="15"/>
  <c r="S153" i="15"/>
  <c r="R153" i="15"/>
  <c r="Q153" i="15"/>
  <c r="P153" i="15"/>
  <c r="AA152" i="15"/>
  <c r="Z152" i="15"/>
  <c r="Y152" i="15"/>
  <c r="X152" i="15"/>
  <c r="W152" i="15"/>
  <c r="V152" i="15"/>
  <c r="U152" i="15"/>
  <c r="T152" i="15"/>
  <c r="S152" i="15"/>
  <c r="R152" i="15"/>
  <c r="Q152" i="15"/>
  <c r="P152" i="15"/>
  <c r="AA151" i="15"/>
  <c r="Z151" i="15"/>
  <c r="Y151" i="15"/>
  <c r="X151" i="15"/>
  <c r="X182" i="15" s="1"/>
  <c r="W151" i="15"/>
  <c r="V151" i="15"/>
  <c r="U151" i="15"/>
  <c r="T151" i="15"/>
  <c r="S151" i="15"/>
  <c r="S181" i="15" s="1"/>
  <c r="R151" i="15"/>
  <c r="Q151" i="15"/>
  <c r="P151" i="15"/>
  <c r="P182" i="15" s="1"/>
  <c r="AA150" i="15"/>
  <c r="Z150" i="15"/>
  <c r="Y150" i="15"/>
  <c r="X150" i="15"/>
  <c r="W150" i="15"/>
  <c r="V150" i="15"/>
  <c r="U150" i="15"/>
  <c r="T150" i="15"/>
  <c r="S150" i="15"/>
  <c r="R150" i="15"/>
  <c r="Q150" i="15"/>
  <c r="P150" i="15"/>
  <c r="AA149" i="15"/>
  <c r="Z149" i="15"/>
  <c r="Y149" i="15"/>
  <c r="X149" i="15"/>
  <c r="W149" i="15"/>
  <c r="V149" i="15"/>
  <c r="U149" i="15"/>
  <c r="T149" i="15"/>
  <c r="S149" i="15"/>
  <c r="R149" i="15"/>
  <c r="Q149" i="15"/>
  <c r="P149" i="15"/>
  <c r="AA148" i="15"/>
  <c r="Z148" i="15"/>
  <c r="Y148" i="15"/>
  <c r="X148" i="15"/>
  <c r="W148" i="15"/>
  <c r="V148" i="15"/>
  <c r="U148" i="15"/>
  <c r="T148" i="15"/>
  <c r="S148" i="15"/>
  <c r="R148" i="15"/>
  <c r="Q148" i="15"/>
  <c r="P148" i="15"/>
  <c r="AA147" i="15"/>
  <c r="Z147" i="15"/>
  <c r="Y147" i="15"/>
  <c r="X147" i="15"/>
  <c r="W147" i="15"/>
  <c r="V147" i="15"/>
  <c r="U147" i="15"/>
  <c r="T147" i="15"/>
  <c r="S147" i="15"/>
  <c r="R147" i="15"/>
  <c r="Q147" i="15"/>
  <c r="P147" i="15"/>
  <c r="AA146" i="15"/>
  <c r="Z146" i="15"/>
  <c r="Y146" i="15"/>
  <c r="X146" i="15"/>
  <c r="W146" i="15"/>
  <c r="V146" i="15"/>
  <c r="U146" i="15"/>
  <c r="T146" i="15"/>
  <c r="S146" i="15"/>
  <c r="R146" i="15"/>
  <c r="Q146" i="15"/>
  <c r="P146" i="15"/>
  <c r="AA145" i="15"/>
  <c r="Z145" i="15"/>
  <c r="Y145" i="15"/>
  <c r="X145" i="15"/>
  <c r="W145" i="15"/>
  <c r="V145" i="15"/>
  <c r="U145" i="15"/>
  <c r="T145" i="15"/>
  <c r="S145" i="15"/>
  <c r="R145" i="15"/>
  <c r="Q145" i="15"/>
  <c r="P145" i="15"/>
  <c r="AA144" i="15"/>
  <c r="Z144" i="15"/>
  <c r="Y144" i="15"/>
  <c r="X144" i="15"/>
  <c r="W144" i="15"/>
  <c r="V144" i="15"/>
  <c r="U144" i="15"/>
  <c r="T144" i="15"/>
  <c r="S144" i="15"/>
  <c r="R144" i="15"/>
  <c r="Q144" i="15"/>
  <c r="P144" i="15"/>
  <c r="AA143" i="15"/>
  <c r="Z143" i="15"/>
  <c r="Y143" i="15"/>
  <c r="X143" i="15"/>
  <c r="W143" i="15"/>
  <c r="V143" i="15"/>
  <c r="U143" i="15"/>
  <c r="T143" i="15"/>
  <c r="S143" i="15"/>
  <c r="R143" i="15"/>
  <c r="Q143" i="15"/>
  <c r="P143" i="15"/>
  <c r="AA142" i="15"/>
  <c r="Z142" i="15"/>
  <c r="Y142" i="15"/>
  <c r="X142" i="15"/>
  <c r="W142" i="15"/>
  <c r="V142" i="15"/>
  <c r="U142" i="15"/>
  <c r="T142" i="15"/>
  <c r="S142" i="15"/>
  <c r="R142" i="15"/>
  <c r="Q142" i="15"/>
  <c r="P142" i="15"/>
  <c r="AA141" i="15"/>
  <c r="Z141" i="15"/>
  <c r="Y141" i="15"/>
  <c r="X141" i="15"/>
  <c r="W141" i="15"/>
  <c r="V141" i="15"/>
  <c r="U141" i="15"/>
  <c r="T141" i="15"/>
  <c r="S141" i="15"/>
  <c r="R141" i="15"/>
  <c r="Q141" i="15"/>
  <c r="P141" i="15"/>
  <c r="AA140" i="15"/>
  <c r="Z140" i="15"/>
  <c r="Y140" i="15"/>
  <c r="X140" i="15"/>
  <c r="W140" i="15"/>
  <c r="V140" i="15"/>
  <c r="U140" i="15"/>
  <c r="T140" i="15"/>
  <c r="S140" i="15"/>
  <c r="R140" i="15"/>
  <c r="Q140" i="15"/>
  <c r="P140" i="15"/>
  <c r="AA139" i="15"/>
  <c r="Z139" i="15"/>
  <c r="Y139" i="15"/>
  <c r="X139" i="15"/>
  <c r="W139" i="15"/>
  <c r="V139" i="15"/>
  <c r="U139" i="15"/>
  <c r="T139" i="15"/>
  <c r="S139" i="15"/>
  <c r="R139" i="15"/>
  <c r="Q139" i="15"/>
  <c r="P139" i="15"/>
  <c r="AA138" i="15"/>
  <c r="Z138" i="15"/>
  <c r="Y138" i="15"/>
  <c r="X138" i="15"/>
  <c r="W138" i="15"/>
  <c r="V138" i="15"/>
  <c r="U138" i="15"/>
  <c r="T138" i="15"/>
  <c r="S138" i="15"/>
  <c r="R138" i="15"/>
  <c r="Q138" i="15"/>
  <c r="P138" i="15"/>
  <c r="AA137" i="15"/>
  <c r="Z137" i="15"/>
  <c r="Y137" i="15"/>
  <c r="X137" i="15"/>
  <c r="W137" i="15"/>
  <c r="V137" i="15"/>
  <c r="U137" i="15"/>
  <c r="T137" i="15"/>
  <c r="S137" i="15"/>
  <c r="R137" i="15"/>
  <c r="Q137" i="15"/>
  <c r="P137" i="15"/>
  <c r="AA136" i="15"/>
  <c r="Z136" i="15"/>
  <c r="Y136" i="15"/>
  <c r="X136" i="15"/>
  <c r="W136" i="15"/>
  <c r="V136" i="15"/>
  <c r="U136" i="15"/>
  <c r="T136" i="15"/>
  <c r="S136" i="15"/>
  <c r="R136" i="15"/>
  <c r="Q136" i="15"/>
  <c r="P136" i="15"/>
  <c r="AA135" i="15"/>
  <c r="Z135" i="15"/>
  <c r="Y135" i="15"/>
  <c r="X135" i="15"/>
  <c r="W135" i="15"/>
  <c r="V135" i="15"/>
  <c r="U135" i="15"/>
  <c r="T135" i="15"/>
  <c r="S135" i="15"/>
  <c r="R135" i="15"/>
  <c r="Q135" i="15"/>
  <c r="P135" i="15"/>
  <c r="AA134" i="15"/>
  <c r="Z134" i="15"/>
  <c r="Y134" i="15"/>
  <c r="X134" i="15"/>
  <c r="W134" i="15"/>
  <c r="V134" i="15"/>
  <c r="U134" i="15"/>
  <c r="T134" i="15"/>
  <c r="S134" i="15"/>
  <c r="R134" i="15"/>
  <c r="Q134" i="15"/>
  <c r="P134" i="15"/>
  <c r="AA133" i="15"/>
  <c r="Z133" i="15"/>
  <c r="Y133" i="15"/>
  <c r="X133" i="15"/>
  <c r="W133" i="15"/>
  <c r="V133" i="15"/>
  <c r="U133" i="15"/>
  <c r="T133" i="15"/>
  <c r="S133" i="15"/>
  <c r="R133" i="15"/>
  <c r="Q133" i="15"/>
  <c r="P133" i="15"/>
  <c r="AA132" i="15"/>
  <c r="Z132" i="15"/>
  <c r="Y132" i="15"/>
  <c r="X132" i="15"/>
  <c r="W132" i="15"/>
  <c r="V132" i="15"/>
  <c r="U132" i="15"/>
  <c r="T132" i="15"/>
  <c r="S132" i="15"/>
  <c r="R132" i="15"/>
  <c r="Q132" i="15"/>
  <c r="P132" i="15"/>
  <c r="AA131" i="15"/>
  <c r="Z131" i="15"/>
  <c r="Y131" i="15"/>
  <c r="X131" i="15"/>
  <c r="W131" i="15"/>
  <c r="V131" i="15"/>
  <c r="U131" i="15"/>
  <c r="T131" i="15"/>
  <c r="S131" i="15"/>
  <c r="R131" i="15"/>
  <c r="Q131" i="15"/>
  <c r="P131" i="15"/>
  <c r="AA130" i="15"/>
  <c r="Z130" i="15"/>
  <c r="Y130" i="15"/>
  <c r="X130" i="15"/>
  <c r="W130" i="15"/>
  <c r="V130" i="15"/>
  <c r="U130" i="15"/>
  <c r="T130" i="15"/>
  <c r="S130" i="15"/>
  <c r="R130" i="15"/>
  <c r="Q130" i="15"/>
  <c r="P130" i="15"/>
  <c r="AA129" i="15"/>
  <c r="Z129" i="15"/>
  <c r="Y129" i="15"/>
  <c r="X129" i="15"/>
  <c r="W129" i="15"/>
  <c r="V129" i="15"/>
  <c r="U129" i="15"/>
  <c r="T129" i="15"/>
  <c r="S129" i="15"/>
  <c r="R129" i="15"/>
  <c r="Q129" i="15"/>
  <c r="P129" i="15"/>
  <c r="AA128" i="15"/>
  <c r="Z128" i="15"/>
  <c r="Y128" i="15"/>
  <c r="X128" i="15"/>
  <c r="W128" i="15"/>
  <c r="V128" i="15"/>
  <c r="U128" i="15"/>
  <c r="T128" i="15"/>
  <c r="S128" i="15"/>
  <c r="R128" i="15"/>
  <c r="Q128" i="15"/>
  <c r="P128" i="15"/>
  <c r="AA127" i="15"/>
  <c r="Z127" i="15"/>
  <c r="Y127" i="15"/>
  <c r="X127" i="15"/>
  <c r="W127" i="15"/>
  <c r="V127" i="15"/>
  <c r="U127" i="15"/>
  <c r="T127" i="15"/>
  <c r="S127" i="15"/>
  <c r="R127" i="15"/>
  <c r="Q127" i="15"/>
  <c r="P127" i="15"/>
  <c r="AA126" i="15"/>
  <c r="Z126" i="15"/>
  <c r="Y126" i="15"/>
  <c r="X126" i="15"/>
  <c r="W126" i="15"/>
  <c r="V126" i="15"/>
  <c r="U126" i="15"/>
  <c r="T126" i="15"/>
  <c r="S126" i="15"/>
  <c r="R126" i="15"/>
  <c r="Q126" i="15"/>
  <c r="P126" i="15"/>
  <c r="AA125" i="15"/>
  <c r="Z125" i="15"/>
  <c r="Y125" i="15"/>
  <c r="X125" i="15"/>
  <c r="W125" i="15"/>
  <c r="V125" i="15"/>
  <c r="U125" i="15"/>
  <c r="T125" i="15"/>
  <c r="S125" i="15"/>
  <c r="R125" i="15"/>
  <c r="Q125" i="15"/>
  <c r="P125" i="15"/>
  <c r="AA124" i="15"/>
  <c r="Z124" i="15"/>
  <c r="Y124" i="15"/>
  <c r="X124" i="15"/>
  <c r="W124" i="15"/>
  <c r="V124" i="15"/>
  <c r="U124" i="15"/>
  <c r="T124" i="15"/>
  <c r="S124" i="15"/>
  <c r="R124" i="15"/>
  <c r="Q124" i="15"/>
  <c r="P124" i="15"/>
  <c r="AA123" i="15"/>
  <c r="Z123" i="15"/>
  <c r="Y123" i="15"/>
  <c r="X123" i="15"/>
  <c r="W123" i="15"/>
  <c r="V123" i="15"/>
  <c r="U123" i="15"/>
  <c r="T123" i="15"/>
  <c r="S123" i="15"/>
  <c r="R123" i="15"/>
  <c r="Q123" i="15"/>
  <c r="P123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U56" i="15"/>
  <c r="R56" i="15" s="1"/>
  <c r="S56" i="15"/>
  <c r="AZ55" i="15"/>
  <c r="AY55" i="15"/>
  <c r="AX55" i="15"/>
  <c r="AW55" i="15"/>
  <c r="AV55" i="15"/>
  <c r="AU55" i="15"/>
  <c r="AT55" i="15"/>
  <c r="AS55" i="15"/>
  <c r="AR55" i="15"/>
  <c r="AQ55" i="15"/>
  <c r="AP55" i="15"/>
  <c r="AO55" i="15"/>
  <c r="U55" i="15"/>
  <c r="T55" i="15"/>
  <c r="S55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B54" i="15"/>
  <c r="U54" i="15"/>
  <c r="T54" i="15"/>
  <c r="S54" i="15"/>
  <c r="AE54" i="15" s="1"/>
  <c r="AZ53" i="15"/>
  <c r="AY53" i="15"/>
  <c r="AX53" i="15"/>
  <c r="AW53" i="15"/>
  <c r="AV53" i="15"/>
  <c r="AU53" i="15"/>
  <c r="AT53" i="15"/>
  <c r="AS53" i="15"/>
  <c r="AR53" i="15"/>
  <c r="AQ53" i="15"/>
  <c r="AP53" i="15"/>
  <c r="AO53" i="15"/>
  <c r="AB53" i="15"/>
  <c r="U53" i="15"/>
  <c r="T53" i="15"/>
  <c r="S53" i="15"/>
  <c r="AH53" i="15" s="1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L52" i="15"/>
  <c r="AK52" i="15"/>
  <c r="AB52" i="15"/>
  <c r="U52" i="15"/>
  <c r="T52" i="15"/>
  <c r="S52" i="15"/>
  <c r="AF52" i="15" s="1"/>
  <c r="AZ51" i="15"/>
  <c r="AY51" i="15"/>
  <c r="AX51" i="15"/>
  <c r="AW51" i="15"/>
  <c r="AV51" i="15"/>
  <c r="AU51" i="15"/>
  <c r="AT51" i="15"/>
  <c r="AS51" i="15"/>
  <c r="AR51" i="15"/>
  <c r="AQ51" i="15"/>
  <c r="AP51" i="15"/>
  <c r="AO51" i="15"/>
  <c r="AK51" i="15"/>
  <c r="AC51" i="15"/>
  <c r="AB51" i="15"/>
  <c r="U51" i="15"/>
  <c r="T51" i="15"/>
  <c r="S51" i="15"/>
  <c r="AF51" i="15" s="1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L50" i="15"/>
  <c r="AK50" i="15"/>
  <c r="U50" i="15"/>
  <c r="T50" i="15"/>
  <c r="S50" i="15"/>
  <c r="AE50" i="15" s="1"/>
  <c r="AZ49" i="15"/>
  <c r="AY49" i="15"/>
  <c r="AX49" i="15"/>
  <c r="AW49" i="15"/>
  <c r="AV49" i="15"/>
  <c r="AU49" i="15"/>
  <c r="AT49" i="15"/>
  <c r="AS49" i="15"/>
  <c r="AR49" i="15"/>
  <c r="AQ49" i="15"/>
  <c r="AP49" i="15"/>
  <c r="AO49" i="15"/>
  <c r="AN49" i="15"/>
  <c r="AL49" i="15"/>
  <c r="AK49" i="15"/>
  <c r="U49" i="15"/>
  <c r="T49" i="15"/>
  <c r="S49" i="15"/>
  <c r="AD49" i="15" s="1"/>
  <c r="A49" i="15"/>
  <c r="A108" i="15" s="1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U48" i="15"/>
  <c r="T48" i="15"/>
  <c r="S48" i="15"/>
  <c r="AE48" i="15" s="1"/>
  <c r="AZ47" i="15"/>
  <c r="AY47" i="15"/>
  <c r="AX47" i="15"/>
  <c r="AW47" i="15"/>
  <c r="AV47" i="15"/>
  <c r="AU47" i="15"/>
  <c r="AT47" i="15"/>
  <c r="AS47" i="15"/>
  <c r="AR47" i="15"/>
  <c r="AQ47" i="15"/>
  <c r="AP47" i="15"/>
  <c r="AO47" i="15"/>
  <c r="AL47" i="15"/>
  <c r="AK47" i="15"/>
  <c r="AC47" i="15"/>
  <c r="AA47" i="15"/>
  <c r="U47" i="15"/>
  <c r="T47" i="15"/>
  <c r="S47" i="15"/>
  <c r="AI47" i="15" s="1"/>
  <c r="O47" i="15"/>
  <c r="N47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L46" i="15"/>
  <c r="AK46" i="15"/>
  <c r="U46" i="15"/>
  <c r="T46" i="15"/>
  <c r="S46" i="15"/>
  <c r="AC46" i="15" s="1"/>
  <c r="O46" i="15"/>
  <c r="N46" i="15"/>
  <c r="AZ45" i="15"/>
  <c r="AY45" i="15"/>
  <c r="AX45" i="15"/>
  <c r="AW45" i="15"/>
  <c r="AV45" i="15"/>
  <c r="AU45" i="15"/>
  <c r="AT45" i="15"/>
  <c r="AS45" i="15"/>
  <c r="AR45" i="15"/>
  <c r="AQ45" i="15"/>
  <c r="AP45" i="15"/>
  <c r="AO45" i="15"/>
  <c r="AL45" i="15"/>
  <c r="AK45" i="15"/>
  <c r="U45" i="15"/>
  <c r="T45" i="15"/>
  <c r="S45" i="15"/>
  <c r="AE45" i="15" s="1"/>
  <c r="O45" i="15"/>
  <c r="N45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K44" i="15"/>
  <c r="AC44" i="15"/>
  <c r="U44" i="15"/>
  <c r="T44" i="15"/>
  <c r="S44" i="15"/>
  <c r="AG44" i="15" s="1"/>
  <c r="O44" i="15"/>
  <c r="N44" i="15"/>
  <c r="AZ43" i="15"/>
  <c r="AY43" i="15"/>
  <c r="AX43" i="15"/>
  <c r="AW43" i="15"/>
  <c r="AV43" i="15"/>
  <c r="AU43" i="15"/>
  <c r="AT43" i="15"/>
  <c r="AS43" i="15"/>
  <c r="AR43" i="15"/>
  <c r="AQ43" i="15"/>
  <c r="AP43" i="15"/>
  <c r="AO43" i="15"/>
  <c r="AL43" i="15"/>
  <c r="AK43" i="15"/>
  <c r="AC43" i="15"/>
  <c r="U43" i="15"/>
  <c r="T43" i="15"/>
  <c r="S43" i="15"/>
  <c r="AI43" i="15" s="1"/>
  <c r="N43" i="15"/>
  <c r="P43" i="15" s="1"/>
  <c r="A43" i="15"/>
  <c r="A102" i="15" s="1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K42" i="15"/>
  <c r="U42" i="15"/>
  <c r="T42" i="15"/>
  <c r="S42" i="15"/>
  <c r="AE42" i="15" s="1"/>
  <c r="N42" i="15"/>
  <c r="P42" i="15" s="1"/>
  <c r="A42" i="15"/>
  <c r="Z42" i="15" s="1"/>
  <c r="AN42" i="15" s="1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L41" i="15"/>
  <c r="AK41" i="15"/>
  <c r="U41" i="15"/>
  <c r="T41" i="15"/>
  <c r="S41" i="15"/>
  <c r="AC41" i="15" s="1"/>
  <c r="N41" i="15"/>
  <c r="P41" i="15" s="1"/>
  <c r="A41" i="15"/>
  <c r="A100" i="15" s="1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L40" i="15"/>
  <c r="U40" i="15"/>
  <c r="T40" i="15"/>
  <c r="S40" i="15"/>
  <c r="AC40" i="15" s="1"/>
  <c r="N40" i="15"/>
  <c r="P40" i="15" s="1"/>
  <c r="A40" i="15"/>
  <c r="A99" i="15" s="1"/>
  <c r="AZ39" i="15"/>
  <c r="AY39" i="15"/>
  <c r="AX39" i="15"/>
  <c r="AW39" i="15"/>
  <c r="AV39" i="15"/>
  <c r="AU39" i="15"/>
  <c r="AT39" i="15"/>
  <c r="AS39" i="15"/>
  <c r="AR39" i="15"/>
  <c r="AQ39" i="15"/>
  <c r="AP39" i="15"/>
  <c r="AO39" i="15"/>
  <c r="U39" i="15"/>
  <c r="T39" i="15"/>
  <c r="S39" i="15"/>
  <c r="AC39" i="15" s="1"/>
  <c r="N39" i="15"/>
  <c r="P39" i="15" s="1"/>
  <c r="A39" i="15"/>
  <c r="Z39" i="15" s="1"/>
  <c r="AN39" i="15" s="1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U38" i="15"/>
  <c r="T38" i="15"/>
  <c r="S38" i="15"/>
  <c r="AC38" i="15" s="1"/>
  <c r="N38" i="15"/>
  <c r="P38" i="15" s="1"/>
  <c r="A38" i="15"/>
  <c r="A97" i="15" s="1"/>
  <c r="AZ37" i="15"/>
  <c r="AY37" i="15"/>
  <c r="AX37" i="15"/>
  <c r="AW37" i="15"/>
  <c r="AV37" i="15"/>
  <c r="AU37" i="15"/>
  <c r="AT37" i="15"/>
  <c r="AS37" i="15"/>
  <c r="AR37" i="15"/>
  <c r="AQ37" i="15"/>
  <c r="AP37" i="15"/>
  <c r="AO37" i="15"/>
  <c r="U37" i="15"/>
  <c r="T37" i="15"/>
  <c r="S37" i="15"/>
  <c r="AC37" i="15" s="1"/>
  <c r="N37" i="15"/>
  <c r="P37" i="15" s="1"/>
  <c r="A37" i="15"/>
  <c r="Z37" i="15" s="1"/>
  <c r="AN37" i="15" s="1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C36" i="15"/>
  <c r="U36" i="15"/>
  <c r="T36" i="15"/>
  <c r="S36" i="15"/>
  <c r="AJ36" i="15" s="1"/>
  <c r="N36" i="15"/>
  <c r="P36" i="15" s="1"/>
  <c r="A36" i="15"/>
  <c r="Z36" i="15" s="1"/>
  <c r="AN36" i="15" s="1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U35" i="15"/>
  <c r="T35" i="15"/>
  <c r="S35" i="15"/>
  <c r="AC35" i="15" s="1"/>
  <c r="N35" i="15"/>
  <c r="P35" i="15" s="1"/>
  <c r="A35" i="15"/>
  <c r="Z35" i="15" s="1"/>
  <c r="AN35" i="15" s="1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U34" i="15"/>
  <c r="T34" i="15"/>
  <c r="S34" i="15"/>
  <c r="AD34" i="15" s="1"/>
  <c r="N34" i="15"/>
  <c r="P34" i="15" s="1"/>
  <c r="A34" i="15"/>
  <c r="Z34" i="15" s="1"/>
  <c r="AN34" i="15" s="1"/>
  <c r="AZ33" i="15"/>
  <c r="AY33" i="15"/>
  <c r="AX33" i="15"/>
  <c r="AW33" i="15"/>
  <c r="AV33" i="15"/>
  <c r="AU33" i="15"/>
  <c r="AT33" i="15"/>
  <c r="AS33" i="15"/>
  <c r="AR33" i="15"/>
  <c r="AQ33" i="15"/>
  <c r="AP33" i="15"/>
  <c r="AO33" i="15"/>
  <c r="AK33" i="15"/>
  <c r="AC33" i="15"/>
  <c r="U33" i="15"/>
  <c r="T33" i="15"/>
  <c r="S33" i="15"/>
  <c r="AE33" i="15" s="1"/>
  <c r="N33" i="15"/>
  <c r="P33" i="15" s="1"/>
  <c r="A33" i="15"/>
  <c r="Z33" i="15" s="1"/>
  <c r="AN33" i="15" s="1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K32" i="15"/>
  <c r="AC32" i="15"/>
  <c r="U32" i="15"/>
  <c r="T32" i="15"/>
  <c r="S32" i="15"/>
  <c r="AF32" i="15" s="1"/>
  <c r="N32" i="15"/>
  <c r="P32" i="15" s="1"/>
  <c r="A32" i="15"/>
  <c r="A91" i="15" s="1"/>
  <c r="AZ31" i="15"/>
  <c r="AY31" i="15"/>
  <c r="AX31" i="15"/>
  <c r="AW31" i="15"/>
  <c r="AV31" i="15"/>
  <c r="AU31" i="15"/>
  <c r="AT31" i="15"/>
  <c r="AS31" i="15"/>
  <c r="AR31" i="15"/>
  <c r="AQ31" i="15"/>
  <c r="AP31" i="15"/>
  <c r="AO31" i="15"/>
  <c r="AL31" i="15"/>
  <c r="U31" i="15"/>
  <c r="T31" i="15"/>
  <c r="S31" i="15"/>
  <c r="AG31" i="15" s="1"/>
  <c r="N31" i="15"/>
  <c r="P31" i="15" s="1"/>
  <c r="A31" i="15"/>
  <c r="Z31" i="15" s="1"/>
  <c r="AN31" i="15" s="1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K30" i="15"/>
  <c r="AC30" i="15"/>
  <c r="U30" i="15"/>
  <c r="T30" i="15"/>
  <c r="S30" i="15"/>
  <c r="AE30" i="15" s="1"/>
  <c r="N30" i="15"/>
  <c r="P30" i="15" s="1"/>
  <c r="A30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K29" i="15"/>
  <c r="AC29" i="15"/>
  <c r="U29" i="15"/>
  <c r="T29" i="15"/>
  <c r="S29" i="15"/>
  <c r="AI29" i="15" s="1"/>
  <c r="N29" i="15"/>
  <c r="P29" i="15" s="1"/>
  <c r="A29" i="15"/>
  <c r="A88" i="15" s="1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L28" i="15"/>
  <c r="AK28" i="15"/>
  <c r="U28" i="15"/>
  <c r="T28" i="15"/>
  <c r="S28" i="15"/>
  <c r="AG28" i="15" s="1"/>
  <c r="N28" i="15"/>
  <c r="P28" i="15" s="1"/>
  <c r="A28" i="15"/>
  <c r="Z28" i="15" s="1"/>
  <c r="AN28" i="15" s="1"/>
  <c r="AZ27" i="15"/>
  <c r="AY27" i="15"/>
  <c r="AX27" i="15"/>
  <c r="AW27" i="15"/>
  <c r="AV27" i="15"/>
  <c r="AU27" i="15"/>
  <c r="AT27" i="15"/>
  <c r="AS27" i="15"/>
  <c r="AR27" i="15"/>
  <c r="AQ27" i="15"/>
  <c r="AP27" i="15"/>
  <c r="AO27" i="15"/>
  <c r="AK27" i="15"/>
  <c r="AC27" i="15"/>
  <c r="U27" i="15"/>
  <c r="T27" i="15"/>
  <c r="S27" i="15"/>
  <c r="AE27" i="15" s="1"/>
  <c r="N27" i="15"/>
  <c r="P27" i="15" s="1"/>
  <c r="A27" i="15"/>
  <c r="Z27" i="15" s="1"/>
  <c r="AN27" i="15" s="1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K26" i="15"/>
  <c r="U26" i="15"/>
  <c r="T26" i="15"/>
  <c r="S26" i="15"/>
  <c r="AF26" i="15" s="1"/>
  <c r="N26" i="15"/>
  <c r="P26" i="15" s="1"/>
  <c r="A26" i="15"/>
  <c r="Z26" i="15" s="1"/>
  <c r="AN26" i="15" s="1"/>
  <c r="AZ25" i="15"/>
  <c r="AY25" i="15"/>
  <c r="AX25" i="15"/>
  <c r="AW25" i="15"/>
  <c r="AV25" i="15"/>
  <c r="AU25" i="15"/>
  <c r="AT25" i="15"/>
  <c r="AS25" i="15"/>
  <c r="AR25" i="15"/>
  <c r="AQ25" i="15"/>
  <c r="AP25" i="15"/>
  <c r="AO25" i="15"/>
  <c r="AC25" i="15"/>
  <c r="U25" i="15"/>
  <c r="T25" i="15"/>
  <c r="S25" i="15"/>
  <c r="AJ25" i="15" s="1"/>
  <c r="P25" i="15"/>
  <c r="A25" i="15"/>
  <c r="Z25" i="15" s="1"/>
  <c r="AN25" i="15" s="1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K24" i="15"/>
  <c r="U24" i="15"/>
  <c r="T24" i="15"/>
  <c r="S24" i="15"/>
  <c r="AC24" i="15" s="1"/>
  <c r="A24" i="15"/>
  <c r="Z24" i="15" s="1"/>
  <c r="AN24" i="15" s="1"/>
  <c r="AZ23" i="15"/>
  <c r="AY23" i="15"/>
  <c r="AX23" i="15"/>
  <c r="AW23" i="15"/>
  <c r="AV23" i="15"/>
  <c r="AU23" i="15"/>
  <c r="AT23" i="15"/>
  <c r="AS23" i="15"/>
  <c r="AR23" i="15"/>
  <c r="AQ23" i="15"/>
  <c r="AP23" i="15"/>
  <c r="AO23" i="15"/>
  <c r="AL23" i="15"/>
  <c r="AK23" i="15"/>
  <c r="AC23" i="15"/>
  <c r="U23" i="15"/>
  <c r="T23" i="15"/>
  <c r="S23" i="15"/>
  <c r="AJ23" i="15" s="1"/>
  <c r="A23" i="15"/>
  <c r="Z23" i="15" s="1"/>
  <c r="AN23" i="15" s="1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K22" i="15"/>
  <c r="AC22" i="15"/>
  <c r="U22" i="15"/>
  <c r="T22" i="15"/>
  <c r="S22" i="15"/>
  <c r="AI22" i="15" s="1"/>
  <c r="A22" i="15"/>
  <c r="Z22" i="15" s="1"/>
  <c r="AN22" i="15" s="1"/>
  <c r="AZ21" i="15"/>
  <c r="AY21" i="15"/>
  <c r="AX21" i="15"/>
  <c r="AW21" i="15"/>
  <c r="AV21" i="15"/>
  <c r="AU21" i="15"/>
  <c r="AT21" i="15"/>
  <c r="AS21" i="15"/>
  <c r="AR21" i="15"/>
  <c r="AQ21" i="15"/>
  <c r="AP21" i="15"/>
  <c r="AO21" i="15"/>
  <c r="AK21" i="15"/>
  <c r="AD21" i="15"/>
  <c r="U21" i="15"/>
  <c r="T21" i="15"/>
  <c r="S21" i="15"/>
  <c r="AI21" i="15" s="1"/>
  <c r="A21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L20" i="15"/>
  <c r="AK20" i="15"/>
  <c r="AC20" i="15"/>
  <c r="U20" i="15"/>
  <c r="T20" i="15"/>
  <c r="R20" i="15" s="1"/>
  <c r="AL19" i="15" s="1"/>
  <c r="S20" i="15"/>
  <c r="AG20" i="15" s="1"/>
  <c r="A20" i="15"/>
  <c r="Z20" i="15" s="1"/>
  <c r="AN20" i="15" s="1"/>
  <c r="AZ19" i="15"/>
  <c r="AY19" i="15"/>
  <c r="AX19" i="15"/>
  <c r="AW19" i="15"/>
  <c r="AV19" i="15"/>
  <c r="AU19" i="15"/>
  <c r="AT19" i="15"/>
  <c r="AS19" i="15"/>
  <c r="AR19" i="15"/>
  <c r="AQ19" i="15"/>
  <c r="AP19" i="15"/>
  <c r="AO19" i="15"/>
  <c r="AK19" i="15"/>
  <c r="AC19" i="15"/>
  <c r="U19" i="15"/>
  <c r="T19" i="15"/>
  <c r="S19" i="15"/>
  <c r="AG19" i="15" s="1"/>
  <c r="A19" i="15"/>
  <c r="Z19" i="15" s="1"/>
  <c r="AN19" i="15" s="1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C18" i="15"/>
  <c r="U18" i="15"/>
  <c r="T18" i="15"/>
  <c r="S18" i="15"/>
  <c r="AE18" i="15" s="1"/>
  <c r="A18" i="15"/>
  <c r="Z18" i="15" s="1"/>
  <c r="AN18" i="15" s="1"/>
  <c r="AZ17" i="15"/>
  <c r="AY17" i="15"/>
  <c r="AX17" i="15"/>
  <c r="AW17" i="15"/>
  <c r="AV17" i="15"/>
  <c r="AU17" i="15"/>
  <c r="AT17" i="15"/>
  <c r="AS17" i="15"/>
  <c r="AR17" i="15"/>
  <c r="AQ17" i="15"/>
  <c r="AP17" i="15"/>
  <c r="AO17" i="15"/>
  <c r="U17" i="15"/>
  <c r="T17" i="15"/>
  <c r="S17" i="15"/>
  <c r="AE17" i="15" s="1"/>
  <c r="A17" i="15"/>
  <c r="Z17" i="15" s="1"/>
  <c r="AN17" i="15" s="1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K16" i="15"/>
  <c r="AC16" i="15"/>
  <c r="AB16" i="15"/>
  <c r="U16" i="15"/>
  <c r="T16" i="15"/>
  <c r="S16" i="15"/>
  <c r="AI16" i="15" s="1"/>
  <c r="A16" i="15"/>
  <c r="Z16" i="15" s="1"/>
  <c r="AN16" i="15" s="1"/>
  <c r="AZ15" i="15"/>
  <c r="AY15" i="15"/>
  <c r="AX15" i="15"/>
  <c r="AW15" i="15"/>
  <c r="AV15" i="15"/>
  <c r="AU15" i="15"/>
  <c r="AT15" i="15"/>
  <c r="AS15" i="15"/>
  <c r="AR15" i="15"/>
  <c r="AQ15" i="15"/>
  <c r="AP15" i="15"/>
  <c r="AO15" i="15"/>
  <c r="AB15" i="15"/>
  <c r="U15" i="15"/>
  <c r="T15" i="15"/>
  <c r="S15" i="15"/>
  <c r="AC15" i="15" s="1"/>
  <c r="A15" i="15"/>
  <c r="Z15" i="15" s="1"/>
  <c r="AN15" i="15" s="1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K14" i="15"/>
  <c r="U14" i="15"/>
  <c r="T14" i="15"/>
  <c r="S14" i="15"/>
  <c r="AI14" i="15" s="1"/>
  <c r="A14" i="15"/>
  <c r="Z14" i="15" s="1"/>
  <c r="AN14" i="15" s="1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K13" i="15"/>
  <c r="AC13" i="15"/>
  <c r="U13" i="15"/>
  <c r="T13" i="15"/>
  <c r="S13" i="15"/>
  <c r="AI13" i="15" s="1"/>
  <c r="A13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L12" i="15"/>
  <c r="AK12" i="15"/>
  <c r="AC12" i="15"/>
  <c r="U12" i="15"/>
  <c r="T12" i="15"/>
  <c r="S12" i="15"/>
  <c r="AE12" i="15" s="1"/>
  <c r="A12" i="15"/>
  <c r="Z12" i="15" s="1"/>
  <c r="AN12" i="15" s="1"/>
  <c r="AZ11" i="15"/>
  <c r="AY11" i="15"/>
  <c r="AX11" i="15"/>
  <c r="AW11" i="15"/>
  <c r="AV11" i="15"/>
  <c r="AU11" i="15"/>
  <c r="AT11" i="15"/>
  <c r="AS11" i="15"/>
  <c r="AR11" i="15"/>
  <c r="AQ11" i="15"/>
  <c r="AP11" i="15"/>
  <c r="AO11" i="15"/>
  <c r="AK11" i="15"/>
  <c r="U11" i="15"/>
  <c r="T11" i="15"/>
  <c r="S11" i="15"/>
  <c r="AG11" i="15" s="1"/>
  <c r="A11" i="15"/>
  <c r="Z11" i="15" s="1"/>
  <c r="AN11" i="15" s="1"/>
  <c r="AZ10" i="15"/>
  <c r="AY10" i="15"/>
  <c r="AX10" i="15"/>
  <c r="AW10" i="15"/>
  <c r="AV10" i="15"/>
  <c r="AU10" i="15"/>
  <c r="AT10" i="15"/>
  <c r="AS10" i="15"/>
  <c r="AR10" i="15"/>
  <c r="AQ10" i="15"/>
  <c r="AP10" i="15"/>
  <c r="AO10" i="15"/>
  <c r="AK10" i="15"/>
  <c r="U10" i="15"/>
  <c r="T10" i="15"/>
  <c r="S10" i="15"/>
  <c r="AE10" i="15" s="1"/>
  <c r="A10" i="15"/>
  <c r="Z10" i="15" s="1"/>
  <c r="AN10" i="15" s="1"/>
  <c r="AZ9" i="15"/>
  <c r="AY9" i="15"/>
  <c r="AX9" i="15"/>
  <c r="AW9" i="15"/>
  <c r="AV9" i="15"/>
  <c r="AU9" i="15"/>
  <c r="AT9" i="15"/>
  <c r="AS9" i="15"/>
  <c r="AR9" i="15"/>
  <c r="AQ9" i="15"/>
  <c r="AP9" i="15"/>
  <c r="AO9" i="15"/>
  <c r="AL9" i="15"/>
  <c r="AC9" i="15"/>
  <c r="U9" i="15"/>
  <c r="T9" i="15"/>
  <c r="S9" i="15"/>
  <c r="AE9" i="15" s="1"/>
  <c r="A9" i="15"/>
  <c r="Z9" i="15" s="1"/>
  <c r="AN9" i="15" s="1"/>
  <c r="AZ8" i="15"/>
  <c r="AY8" i="15"/>
  <c r="AX8" i="15"/>
  <c r="AW8" i="15"/>
  <c r="AV8" i="15"/>
  <c r="AU8" i="15"/>
  <c r="AT8" i="15"/>
  <c r="AS8" i="15"/>
  <c r="AR8" i="15"/>
  <c r="AQ8" i="15"/>
  <c r="AP8" i="15"/>
  <c r="AO8" i="15"/>
  <c r="AK8" i="15"/>
  <c r="U8" i="15"/>
  <c r="R8" i="15" s="1"/>
  <c r="AB8" i="15" s="1"/>
  <c r="S8" i="15"/>
  <c r="AC8" i="15" s="1"/>
  <c r="A8" i="15"/>
  <c r="Z8" i="15" s="1"/>
  <c r="AN8" i="15" s="1"/>
  <c r="U7" i="15"/>
  <c r="S7" i="15"/>
  <c r="A7" i="15"/>
  <c r="J332" i="2"/>
  <c r="E335" i="2"/>
  <c r="C335" i="2"/>
  <c r="B335" i="2"/>
  <c r="B330" i="2"/>
  <c r="B326" i="2"/>
  <c r="B327" i="2"/>
  <c r="B334" i="2" s="1"/>
  <c r="B328" i="2"/>
  <c r="B329" i="2"/>
  <c r="M330" i="2"/>
  <c r="L330" i="2"/>
  <c r="K330" i="2"/>
  <c r="J330" i="2"/>
  <c r="I330" i="2"/>
  <c r="H330" i="2"/>
  <c r="G330" i="2"/>
  <c r="F330" i="2"/>
  <c r="E330" i="2"/>
  <c r="D330" i="2"/>
  <c r="C330" i="2"/>
  <c r="M329" i="2"/>
  <c r="L329" i="2"/>
  <c r="K329" i="2"/>
  <c r="J329" i="2"/>
  <c r="I329" i="2"/>
  <c r="H329" i="2"/>
  <c r="G329" i="2"/>
  <c r="F329" i="2"/>
  <c r="E329" i="2"/>
  <c r="D329" i="2"/>
  <c r="C329" i="2"/>
  <c r="M328" i="2"/>
  <c r="L328" i="2"/>
  <c r="K328" i="2"/>
  <c r="J328" i="2"/>
  <c r="I328" i="2"/>
  <c r="H328" i="2"/>
  <c r="G328" i="2"/>
  <c r="F328" i="2"/>
  <c r="E328" i="2"/>
  <c r="D328" i="2"/>
  <c r="C328" i="2"/>
  <c r="M327" i="2"/>
  <c r="L327" i="2"/>
  <c r="K327" i="2"/>
  <c r="K332" i="2" s="1"/>
  <c r="J327" i="2"/>
  <c r="I327" i="2"/>
  <c r="I332" i="2" s="1"/>
  <c r="H327" i="2"/>
  <c r="H332" i="2" s="1"/>
  <c r="G327" i="2"/>
  <c r="G332" i="2" s="1"/>
  <c r="F327" i="2"/>
  <c r="F332" i="2" s="1"/>
  <c r="E327" i="2"/>
  <c r="E332" i="2" s="1"/>
  <c r="D327" i="2"/>
  <c r="C327" i="2"/>
  <c r="M326" i="2"/>
  <c r="L326" i="2"/>
  <c r="K326" i="2"/>
  <c r="J326" i="2"/>
  <c r="I326" i="2"/>
  <c r="H326" i="2"/>
  <c r="G326" i="2"/>
  <c r="F326" i="2"/>
  <c r="E326" i="2"/>
  <c r="D326" i="2"/>
  <c r="C326" i="2"/>
  <c r="S328" i="2"/>
  <c r="S327" i="2"/>
  <c r="S332" i="2" s="1"/>
  <c r="AE322" i="2"/>
  <c r="Z322" i="2"/>
  <c r="V322" i="2"/>
  <c r="T322" i="2"/>
  <c r="O321" i="2"/>
  <c r="AA181" i="15" l="1"/>
  <c r="AA186" i="15"/>
  <c r="Z181" i="15"/>
  <c r="R185" i="15"/>
  <c r="R181" i="15"/>
  <c r="S177" i="15"/>
  <c r="S178" i="15"/>
  <c r="T178" i="15"/>
  <c r="T177" i="15"/>
  <c r="U178" i="15"/>
  <c r="U177" i="15"/>
  <c r="AF39" i="15"/>
  <c r="V177" i="15"/>
  <c r="V178" i="15"/>
  <c r="R17" i="15"/>
  <c r="AB17" i="15" s="1"/>
  <c r="R18" i="15"/>
  <c r="AA18" i="15" s="1"/>
  <c r="R44" i="15"/>
  <c r="D335" i="2"/>
  <c r="D332" i="2"/>
  <c r="B333" i="2"/>
  <c r="AF37" i="15"/>
  <c r="R14" i="15"/>
  <c r="AB14" i="15" s="1"/>
  <c r="AD22" i="15"/>
  <c r="R47" i="15"/>
  <c r="AB47" i="15" s="1"/>
  <c r="Z185" i="15"/>
  <c r="R11" i="15"/>
  <c r="AB11" i="15" s="1"/>
  <c r="P47" i="15"/>
  <c r="R49" i="15"/>
  <c r="AB49" i="15" s="1"/>
  <c r="AD10" i="15"/>
  <c r="AF27" i="15"/>
  <c r="R29" i="15"/>
  <c r="AA29" i="15" s="1"/>
  <c r="AC14" i="15"/>
  <c r="AJ18" i="15"/>
  <c r="AD16" i="15"/>
  <c r="AH20" i="15"/>
  <c r="R37" i="15"/>
  <c r="AB37" i="15" s="1"/>
  <c r="R39" i="15"/>
  <c r="AB39" i="15" s="1"/>
  <c r="R52" i="15"/>
  <c r="AL51" i="15" s="1"/>
  <c r="R35" i="15"/>
  <c r="AL34" i="15" s="1"/>
  <c r="AC11" i="15"/>
  <c r="AH37" i="15"/>
  <c r="AH39" i="15"/>
  <c r="AF41" i="15"/>
  <c r="V255" i="15"/>
  <c r="AA44" i="15"/>
  <c r="AB44" i="15"/>
  <c r="R51" i="15"/>
  <c r="AA51" i="15" s="1"/>
  <c r="R43" i="15"/>
  <c r="AA43" i="15" s="1"/>
  <c r="AC17" i="15"/>
  <c r="AC34" i="15"/>
  <c r="AG17" i="15"/>
  <c r="AD29" i="15"/>
  <c r="R31" i="15"/>
  <c r="AL30" i="15" s="1"/>
  <c r="AF34" i="15"/>
  <c r="R36" i="15"/>
  <c r="AL35" i="15" s="1"/>
  <c r="AF47" i="15"/>
  <c r="AG34" i="15"/>
  <c r="AF43" i="15"/>
  <c r="AI17" i="15"/>
  <c r="AI34" i="15"/>
  <c r="AH43" i="15"/>
  <c r="R55" i="15"/>
  <c r="R42" i="15"/>
  <c r="P328" i="15"/>
  <c r="AI9" i="15"/>
  <c r="R13" i="15"/>
  <c r="AA13" i="15" s="1"/>
  <c r="AF16" i="15"/>
  <c r="R21" i="15"/>
  <c r="AB21" i="15" s="1"/>
  <c r="W328" i="15"/>
  <c r="AU60" i="15"/>
  <c r="AJ16" i="15"/>
  <c r="R50" i="15"/>
  <c r="AB50" i="15" s="1"/>
  <c r="R54" i="15"/>
  <c r="AA54" i="15" s="1"/>
  <c r="J337" i="15"/>
  <c r="T460" i="15"/>
  <c r="T466" i="15" s="1"/>
  <c r="T467" i="15" s="1"/>
  <c r="B338" i="15"/>
  <c r="B263" i="15" s="1"/>
  <c r="R28" i="15"/>
  <c r="AB28" i="15" s="1"/>
  <c r="AD45" i="15"/>
  <c r="AC50" i="15"/>
  <c r="Y254" i="15"/>
  <c r="Y260" i="15" s="1"/>
  <c r="C260" i="15" s="1"/>
  <c r="C262" i="15" s="1"/>
  <c r="U398" i="15"/>
  <c r="J461" i="15"/>
  <c r="AG15" i="15"/>
  <c r="AG23" i="15"/>
  <c r="AE28" i="15"/>
  <c r="R33" i="15"/>
  <c r="AB33" i="15" s="1"/>
  <c r="R38" i="15"/>
  <c r="AL37" i="15" s="1"/>
  <c r="R40" i="15"/>
  <c r="AL39" i="15" s="1"/>
  <c r="AJ45" i="15"/>
  <c r="AG50" i="15"/>
  <c r="AH54" i="15"/>
  <c r="G459" i="15"/>
  <c r="R10" i="15"/>
  <c r="AA10" i="15" s="1"/>
  <c r="R12" i="15"/>
  <c r="AL11" i="15" s="1"/>
  <c r="AI15" i="15"/>
  <c r="AI23" i="15"/>
  <c r="R27" i="15"/>
  <c r="AB27" i="15" s="1"/>
  <c r="AD52" i="15"/>
  <c r="T459" i="15"/>
  <c r="S62" i="15"/>
  <c r="AD44" i="15"/>
  <c r="P46" i="15"/>
  <c r="P253" i="15"/>
  <c r="B461" i="15"/>
  <c r="R16" i="15"/>
  <c r="AA16" i="15" s="1"/>
  <c r="AH44" i="15"/>
  <c r="Q330" i="15"/>
  <c r="R53" i="15"/>
  <c r="AA53" i="15" s="1"/>
  <c r="V331" i="15"/>
  <c r="R9" i="15"/>
  <c r="AK9" i="15" s="1"/>
  <c r="R19" i="15"/>
  <c r="AL18" i="15" s="1"/>
  <c r="R24" i="15"/>
  <c r="R32" i="15"/>
  <c r="AB32" i="15" s="1"/>
  <c r="AH35" i="15"/>
  <c r="P45" i="15"/>
  <c r="Z41" i="15"/>
  <c r="AN41" i="15" s="1"/>
  <c r="Z38" i="15"/>
  <c r="AN38" i="15" s="1"/>
  <c r="Z29" i="15"/>
  <c r="AN29" i="15" s="1"/>
  <c r="Z40" i="15"/>
  <c r="AN40" i="15" s="1"/>
  <c r="Z43" i="15"/>
  <c r="AN43" i="15" s="1"/>
  <c r="V328" i="15"/>
  <c r="Q331" i="15"/>
  <c r="B400" i="15"/>
  <c r="B460" i="15"/>
  <c r="J460" i="15"/>
  <c r="J466" i="15" s="1"/>
  <c r="J467" i="15" s="1"/>
  <c r="C461" i="15"/>
  <c r="K461" i="15"/>
  <c r="Y328" i="15"/>
  <c r="C400" i="15"/>
  <c r="B459" i="15"/>
  <c r="J459" i="15"/>
  <c r="C460" i="15"/>
  <c r="K460" i="15"/>
  <c r="K466" i="15" s="1"/>
  <c r="L461" i="15"/>
  <c r="I460" i="15"/>
  <c r="I466" i="15" s="1"/>
  <c r="I467" i="15" s="1"/>
  <c r="V332" i="15"/>
  <c r="C459" i="15"/>
  <c r="K459" i="15"/>
  <c r="H459" i="15"/>
  <c r="D460" i="15"/>
  <c r="E461" i="15"/>
  <c r="M461" i="15"/>
  <c r="Y330" i="15"/>
  <c r="B335" i="15"/>
  <c r="D398" i="15"/>
  <c r="L398" i="15"/>
  <c r="M399" i="15"/>
  <c r="M404" i="15" s="1"/>
  <c r="M400" i="15"/>
  <c r="D459" i="15"/>
  <c r="Q332" i="15"/>
  <c r="P329" i="15"/>
  <c r="P334" i="15" s="1"/>
  <c r="J335" i="15"/>
  <c r="M398" i="15"/>
  <c r="G461" i="15"/>
  <c r="Q443" i="15"/>
  <c r="Q461" i="15" s="1"/>
  <c r="S328" i="15"/>
  <c r="L400" i="15"/>
  <c r="S332" i="15"/>
  <c r="W331" i="15"/>
  <c r="G460" i="15"/>
  <c r="G466" i="15" s="1"/>
  <c r="G467" i="15" s="1"/>
  <c r="AK257" i="15"/>
  <c r="M260" i="15" s="1"/>
  <c r="AH255" i="15"/>
  <c r="B260" i="15"/>
  <c r="B262" i="15" s="1"/>
  <c r="AK255" i="15"/>
  <c r="AK254" i="15"/>
  <c r="AK253" i="15"/>
  <c r="AH257" i="15"/>
  <c r="I260" i="15" s="1"/>
  <c r="I262" i="15" s="1"/>
  <c r="AH253" i="15"/>
  <c r="AH254" i="15"/>
  <c r="P257" i="15"/>
  <c r="V253" i="15"/>
  <c r="Y255" i="15"/>
  <c r="V256" i="15"/>
  <c r="AC258" i="15"/>
  <c r="T256" i="15"/>
  <c r="Z257" i="15"/>
  <c r="Q254" i="15"/>
  <c r="Q260" i="15" s="1"/>
  <c r="L260" i="15" s="1"/>
  <c r="S254" i="15"/>
  <c r="S260" i="15" s="1"/>
  <c r="D260" i="15" s="1"/>
  <c r="W256" i="15"/>
  <c r="T254" i="15"/>
  <c r="T260" i="15" s="1"/>
  <c r="Z256" i="15"/>
  <c r="V254" i="15"/>
  <c r="V260" i="15" s="1"/>
  <c r="T181" i="15"/>
  <c r="T185" i="15"/>
  <c r="T253" i="15"/>
  <c r="Q255" i="15"/>
  <c r="T255" i="15"/>
  <c r="S182" i="15"/>
  <c r="S183" i="15" s="1"/>
  <c r="S184" i="15" s="1"/>
  <c r="Z255" i="15"/>
  <c r="U182" i="15"/>
  <c r="Q253" i="15"/>
  <c r="W253" i="15"/>
  <c r="W254" i="15"/>
  <c r="W260" i="15" s="1"/>
  <c r="V182" i="15"/>
  <c r="V186" i="15"/>
  <c r="S253" i="15"/>
  <c r="W255" i="15"/>
  <c r="W181" i="15"/>
  <c r="W185" i="15"/>
  <c r="W257" i="15"/>
  <c r="Q256" i="15"/>
  <c r="T257" i="15"/>
  <c r="AA182" i="15"/>
  <c r="AA183" i="15" s="1"/>
  <c r="AA184" i="15" s="1"/>
  <c r="AL32" i="15"/>
  <c r="AJ8" i="15"/>
  <c r="AI12" i="15"/>
  <c r="AF10" i="15"/>
  <c r="AJ12" i="15"/>
  <c r="AD14" i="15"/>
  <c r="AJ20" i="15"/>
  <c r="AF22" i="15"/>
  <c r="AV62" i="15"/>
  <c r="R25" i="15"/>
  <c r="AA25" i="15" s="1"/>
  <c r="AF29" i="15"/>
  <c r="AD33" i="15"/>
  <c r="AJ43" i="15"/>
  <c r="R48" i="15"/>
  <c r="AA48" i="15" s="1"/>
  <c r="AJ24" i="15"/>
  <c r="AI20" i="15"/>
  <c r="AG9" i="15"/>
  <c r="AG10" i="15"/>
  <c r="AF14" i="15"/>
  <c r="AD18" i="15"/>
  <c r="AH22" i="15"/>
  <c r="AD31" i="15"/>
  <c r="AI32" i="15"/>
  <c r="AG33" i="15"/>
  <c r="AH41" i="15"/>
  <c r="AF44" i="15"/>
  <c r="AC45" i="15"/>
  <c r="R46" i="15"/>
  <c r="AA46" i="15" s="1"/>
  <c r="AD50" i="15"/>
  <c r="AC52" i="15"/>
  <c r="AH10" i="15"/>
  <c r="AH14" i="15"/>
  <c r="AF18" i="15"/>
  <c r="AJ22" i="15"/>
  <c r="AP62" i="15"/>
  <c r="AX62" i="15"/>
  <c r="AJ31" i="15"/>
  <c r="AH33" i="15"/>
  <c r="AG49" i="15"/>
  <c r="AC53" i="15"/>
  <c r="AH12" i="15"/>
  <c r="AD8" i="15"/>
  <c r="AI10" i="15"/>
  <c r="AD12" i="15"/>
  <c r="AJ14" i="15"/>
  <c r="AG18" i="15"/>
  <c r="R22" i="15"/>
  <c r="AB22" i="15" s="1"/>
  <c r="R23" i="15"/>
  <c r="AB23" i="15" s="1"/>
  <c r="AD24" i="15"/>
  <c r="AG25" i="15"/>
  <c r="R30" i="15"/>
  <c r="AA30" i="15" s="1"/>
  <c r="AJ33" i="15"/>
  <c r="AF36" i="15"/>
  <c r="AF38" i="15"/>
  <c r="AF40" i="15"/>
  <c r="AI44" i="15"/>
  <c r="AF45" i="15"/>
  <c r="AF46" i="15"/>
  <c r="AI49" i="15"/>
  <c r="AH50" i="15"/>
  <c r="AH51" i="15"/>
  <c r="AG52" i="15"/>
  <c r="AF8" i="15"/>
  <c r="AJ10" i="15"/>
  <c r="AF12" i="15"/>
  <c r="R15" i="15"/>
  <c r="AK15" i="15" s="1"/>
  <c r="AH18" i="15"/>
  <c r="AD20" i="15"/>
  <c r="AR62" i="15"/>
  <c r="AZ62" i="15"/>
  <c r="AF24" i="15"/>
  <c r="AH36" i="15"/>
  <c r="AH38" i="15"/>
  <c r="AH40" i="15"/>
  <c r="AJ44" i="15"/>
  <c r="AG45" i="15"/>
  <c r="AH46" i="15"/>
  <c r="AI50" i="15"/>
  <c r="AI51" i="15"/>
  <c r="AI52" i="15"/>
  <c r="R45" i="15"/>
  <c r="AA45" i="15" s="1"/>
  <c r="AH8" i="15"/>
  <c r="AG12" i="15"/>
  <c r="AH16" i="15"/>
  <c r="AI18" i="15"/>
  <c r="AF20" i="15"/>
  <c r="AS62" i="15"/>
  <c r="AH24" i="15"/>
  <c r="AI26" i="15"/>
  <c r="AF35" i="15"/>
  <c r="R41" i="15"/>
  <c r="AA41" i="15" s="1"/>
  <c r="AD43" i="15"/>
  <c r="AH45" i="15"/>
  <c r="AD47" i="15"/>
  <c r="AJ50" i="15"/>
  <c r="AJ51" i="15"/>
  <c r="AJ52" i="15"/>
  <c r="AG54" i="15"/>
  <c r="AL8" i="15"/>
  <c r="AL15" i="15"/>
  <c r="AB25" i="15"/>
  <c r="AA14" i="15"/>
  <c r="AE8" i="15"/>
  <c r="AV61" i="15"/>
  <c r="AV60" i="15"/>
  <c r="AF9" i="15"/>
  <c r="AH11" i="15"/>
  <c r="AJ13" i="15"/>
  <c r="A354" i="15"/>
  <c r="A415" i="15"/>
  <c r="A282" i="15"/>
  <c r="A130" i="15"/>
  <c r="O130" i="15" s="1"/>
  <c r="A205" i="15"/>
  <c r="A73" i="15"/>
  <c r="AD15" i="15"/>
  <c r="AE16" i="15"/>
  <c r="AF17" i="15"/>
  <c r="AH19" i="15"/>
  <c r="AA20" i="15"/>
  <c r="AJ21" i="15"/>
  <c r="A290" i="15"/>
  <c r="A362" i="15"/>
  <c r="A213" i="15"/>
  <c r="A423" i="15"/>
  <c r="A138" i="15"/>
  <c r="O138" i="15" s="1"/>
  <c r="A81" i="15"/>
  <c r="AD23" i="15"/>
  <c r="AU62" i="15"/>
  <c r="AE24" i="15"/>
  <c r="AD25" i="15"/>
  <c r="P44" i="15"/>
  <c r="AB48" i="15"/>
  <c r="A82" i="15"/>
  <c r="A198" i="15"/>
  <c r="A408" i="15"/>
  <c r="A275" i="15"/>
  <c r="A347" i="15"/>
  <c r="A123" i="15"/>
  <c r="O123" i="15" s="1"/>
  <c r="AO61" i="15"/>
  <c r="AO60" i="15"/>
  <c r="AW61" i="15"/>
  <c r="AW60" i="15"/>
  <c r="AI11" i="15"/>
  <c r="A353" i="15"/>
  <c r="A281" i="15"/>
  <c r="A414" i="15"/>
  <c r="A129" i="15"/>
  <c r="O129" i="15" s="1"/>
  <c r="A204" i="15"/>
  <c r="A72" i="15"/>
  <c r="AE15" i="15"/>
  <c r="AI19" i="15"/>
  <c r="AB20" i="15"/>
  <c r="A361" i="15"/>
  <c r="A212" i="15"/>
  <c r="A137" i="15"/>
  <c r="O137" i="15" s="1"/>
  <c r="A422" i="15"/>
  <c r="A289" i="15"/>
  <c r="A80" i="15"/>
  <c r="AC21" i="15"/>
  <c r="AE23" i="15"/>
  <c r="AE25" i="15"/>
  <c r="AD26" i="15"/>
  <c r="AE26" i="15"/>
  <c r="AG26" i="15"/>
  <c r="AB35" i="15"/>
  <c r="AA35" i="15"/>
  <c r="AA49" i="15"/>
  <c r="AL48" i="15"/>
  <c r="AG8" i="15"/>
  <c r="AP61" i="15"/>
  <c r="AP60" i="15"/>
  <c r="AX61" i="15"/>
  <c r="AX60" i="15"/>
  <c r="AH9" i="15"/>
  <c r="AJ11" i="15"/>
  <c r="A352" i="15"/>
  <c r="A413" i="15"/>
  <c r="A128" i="15"/>
  <c r="O128" i="15" s="1"/>
  <c r="A280" i="15"/>
  <c r="A203" i="15"/>
  <c r="A71" i="15"/>
  <c r="AD13" i="15"/>
  <c r="AE14" i="15"/>
  <c r="AF15" i="15"/>
  <c r="AG16" i="15"/>
  <c r="AH17" i="15"/>
  <c r="AJ19" i="15"/>
  <c r="A360" i="15"/>
  <c r="A136" i="15"/>
  <c r="O136" i="15" s="1"/>
  <c r="A211" i="15"/>
  <c r="A421" i="15"/>
  <c r="A288" i="15"/>
  <c r="A79" i="15"/>
  <c r="AE22" i="15"/>
  <c r="AF23" i="15"/>
  <c r="AO62" i="15"/>
  <c r="AW62" i="15"/>
  <c r="AG24" i="15"/>
  <c r="AF25" i="15"/>
  <c r="R26" i="15"/>
  <c r="AH26" i="15"/>
  <c r="A367" i="15"/>
  <c r="A295" i="15"/>
  <c r="A428" i="15"/>
  <c r="A218" i="15"/>
  <c r="A143" i="15"/>
  <c r="O143" i="15" s="1"/>
  <c r="A86" i="15"/>
  <c r="AJ42" i="15"/>
  <c r="AI42" i="15"/>
  <c r="AH42" i="15"/>
  <c r="AG42" i="15"/>
  <c r="AF42" i="15"/>
  <c r="AD42" i="15"/>
  <c r="AC42" i="15"/>
  <c r="AU61" i="15"/>
  <c r="AQ61" i="15"/>
  <c r="AQ60" i="15"/>
  <c r="AY61" i="15"/>
  <c r="AY60" i="15"/>
  <c r="A351" i="15"/>
  <c r="A412" i="15"/>
  <c r="A279" i="15"/>
  <c r="A202" i="15"/>
  <c r="A127" i="15"/>
  <c r="O127" i="15" s="1"/>
  <c r="A70" i="15"/>
  <c r="AE13" i="15"/>
  <c r="A359" i="15"/>
  <c r="A287" i="15"/>
  <c r="A420" i="15"/>
  <c r="A210" i="15"/>
  <c r="A78" i="15"/>
  <c r="A135" i="15"/>
  <c r="O135" i="15" s="1"/>
  <c r="AE21" i="15"/>
  <c r="AK31" i="15"/>
  <c r="Z7" i="15"/>
  <c r="AN7" i="15" s="1"/>
  <c r="AI8" i="15"/>
  <c r="AR61" i="15"/>
  <c r="AR60" i="15"/>
  <c r="AZ61" i="15"/>
  <c r="AZ60" i="15"/>
  <c r="AJ9" i="15"/>
  <c r="A350" i="15"/>
  <c r="A411" i="15"/>
  <c r="A278" i="15"/>
  <c r="A126" i="15"/>
  <c r="O126" i="15" s="1"/>
  <c r="A201" i="15"/>
  <c r="A69" i="15"/>
  <c r="AC10" i="15"/>
  <c r="AD11" i="15"/>
  <c r="AF13" i="15"/>
  <c r="AG14" i="15"/>
  <c r="AH15" i="15"/>
  <c r="AJ17" i="15"/>
  <c r="A286" i="15"/>
  <c r="A419" i="15"/>
  <c r="A358" i="15"/>
  <c r="A209" i="15"/>
  <c r="A134" i="15"/>
  <c r="O134" i="15" s="1"/>
  <c r="A77" i="15"/>
  <c r="AD19" i="15"/>
  <c r="AE20" i="15"/>
  <c r="AF21" i="15"/>
  <c r="AG22" i="15"/>
  <c r="AH23" i="15"/>
  <c r="AQ62" i="15"/>
  <c r="AY62" i="15"/>
  <c r="AI24" i="15"/>
  <c r="AH25" i="15"/>
  <c r="AJ26" i="15"/>
  <c r="AJ27" i="15"/>
  <c r="AI27" i="15"/>
  <c r="AG27" i="15"/>
  <c r="AD27" i="15"/>
  <c r="AH27" i="15"/>
  <c r="R34" i="15"/>
  <c r="AB42" i="15"/>
  <c r="AA42" i="15"/>
  <c r="AS61" i="15"/>
  <c r="AS60" i="15"/>
  <c r="A349" i="15"/>
  <c r="A277" i="15"/>
  <c r="A410" i="15"/>
  <c r="A200" i="15"/>
  <c r="A125" i="15"/>
  <c r="O125" i="15" s="1"/>
  <c r="A68" i="15"/>
  <c r="AE11" i="15"/>
  <c r="AG13" i="15"/>
  <c r="A418" i="15"/>
  <c r="A208" i="15"/>
  <c r="A285" i="15"/>
  <c r="A133" i="15"/>
  <c r="O133" i="15" s="1"/>
  <c r="A357" i="15"/>
  <c r="A76" i="15"/>
  <c r="AE19" i="15"/>
  <c r="AG21" i="15"/>
  <c r="A426" i="15"/>
  <c r="A365" i="15"/>
  <c r="A293" i="15"/>
  <c r="A216" i="15"/>
  <c r="A141" i="15"/>
  <c r="O141" i="15" s="1"/>
  <c r="A84" i="15"/>
  <c r="AI25" i="15"/>
  <c r="W177" i="15"/>
  <c r="W178" i="15"/>
  <c r="A348" i="15"/>
  <c r="A409" i="15"/>
  <c r="A276" i="15"/>
  <c r="A124" i="15"/>
  <c r="O124" i="15" s="1"/>
  <c r="A67" i="15"/>
  <c r="A199" i="15"/>
  <c r="AT61" i="15"/>
  <c r="AT60" i="15"/>
  <c r="AD9" i="15"/>
  <c r="AF11" i="15"/>
  <c r="Z13" i="15"/>
  <c r="AN13" i="15" s="1"/>
  <c r="AH13" i="15"/>
  <c r="AJ15" i="15"/>
  <c r="A417" i="15"/>
  <c r="A284" i="15"/>
  <c r="A207" i="15"/>
  <c r="A132" i="15"/>
  <c r="O132" i="15" s="1"/>
  <c r="A356" i="15"/>
  <c r="A75" i="15"/>
  <c r="AD17" i="15"/>
  <c r="AF19" i="15"/>
  <c r="Z21" i="15"/>
  <c r="AN21" i="15" s="1"/>
  <c r="AH21" i="15"/>
  <c r="A364" i="15"/>
  <c r="A292" i="15"/>
  <c r="A140" i="15"/>
  <c r="O140" i="15" s="1"/>
  <c r="A215" i="15"/>
  <c r="A425" i="15"/>
  <c r="A83" i="15"/>
  <c r="A294" i="15"/>
  <c r="A366" i="15"/>
  <c r="A427" i="15"/>
  <c r="A217" i="15"/>
  <c r="A142" i="15"/>
  <c r="O142" i="15" s="1"/>
  <c r="A85" i="15"/>
  <c r="AJ28" i="15"/>
  <c r="AI28" i="15"/>
  <c r="AH28" i="15"/>
  <c r="AF28" i="15"/>
  <c r="AD28" i="15"/>
  <c r="AC28" i="15"/>
  <c r="AH30" i="15"/>
  <c r="AG30" i="15"/>
  <c r="AF30" i="15"/>
  <c r="AD30" i="15"/>
  <c r="AJ30" i="15"/>
  <c r="AI30" i="15"/>
  <c r="AJ48" i="15"/>
  <c r="AI48" i="15"/>
  <c r="AH48" i="15"/>
  <c r="AG48" i="15"/>
  <c r="AF48" i="15"/>
  <c r="AD48" i="15"/>
  <c r="AC48" i="15"/>
  <c r="A66" i="15"/>
  <c r="A355" i="15"/>
  <c r="A416" i="15"/>
  <c r="A283" i="15"/>
  <c r="A206" i="15"/>
  <c r="A363" i="15"/>
  <c r="A291" i="15"/>
  <c r="A214" i="15"/>
  <c r="A139" i="15"/>
  <c r="O139" i="15" s="1"/>
  <c r="A424" i="15"/>
  <c r="AT62" i="15"/>
  <c r="AC26" i="15"/>
  <c r="A433" i="15"/>
  <c r="A148" i="15"/>
  <c r="O148" i="15" s="1"/>
  <c r="A300" i="15"/>
  <c r="A223" i="15"/>
  <c r="A372" i="15"/>
  <c r="Z32" i="15"/>
  <c r="AN32" i="15" s="1"/>
  <c r="AB55" i="15"/>
  <c r="AA55" i="15"/>
  <c r="A74" i="15"/>
  <c r="A131" i="15"/>
  <c r="O131" i="15" s="1"/>
  <c r="AJ29" i="15"/>
  <c r="A298" i="15"/>
  <c r="A431" i="15"/>
  <c r="A370" i="15"/>
  <c r="A221" i="15"/>
  <c r="A146" i="15"/>
  <c r="O146" i="15" s="1"/>
  <c r="AH31" i="15"/>
  <c r="AG32" i="15"/>
  <c r="AF33" i="15"/>
  <c r="AE34" i="15"/>
  <c r="AD35" i="15"/>
  <c r="AD36" i="15"/>
  <c r="AD37" i="15"/>
  <c r="AD38" i="15"/>
  <c r="AD39" i="15"/>
  <c r="AD40" i="15"/>
  <c r="AD41" i="15"/>
  <c r="AD46" i="15"/>
  <c r="AJ47" i="15"/>
  <c r="AE49" i="15"/>
  <c r="AF50" i="15"/>
  <c r="AG51" i="15"/>
  <c r="AH52" i="15"/>
  <c r="AF54" i="15"/>
  <c r="Y257" i="15"/>
  <c r="A432" i="15"/>
  <c r="A371" i="15"/>
  <c r="A299" i="15"/>
  <c r="A90" i="15"/>
  <c r="A222" i="15"/>
  <c r="A147" i="15"/>
  <c r="O147" i="15" s="1"/>
  <c r="AI31" i="15"/>
  <c r="AH32" i="15"/>
  <c r="AE35" i="15"/>
  <c r="AE36" i="15"/>
  <c r="AE37" i="15"/>
  <c r="AE38" i="15"/>
  <c r="AE39" i="15"/>
  <c r="AE40" i="15"/>
  <c r="AE41" i="15"/>
  <c r="AE46" i="15"/>
  <c r="AF49" i="15"/>
  <c r="AA52" i="15"/>
  <c r="A89" i="15"/>
  <c r="S185" i="15"/>
  <c r="AA185" i="15"/>
  <c r="AA187" i="15" s="1"/>
  <c r="AA188" i="15" s="1"/>
  <c r="AC254" i="15"/>
  <c r="D334" i="15"/>
  <c r="D337" i="15"/>
  <c r="S334" i="15"/>
  <c r="H337" i="15"/>
  <c r="H335" i="15"/>
  <c r="H336" i="15"/>
  <c r="H334" i="15"/>
  <c r="AE29" i="15"/>
  <c r="AC31" i="15"/>
  <c r="AJ32" i="15"/>
  <c r="A301" i="15"/>
  <c r="A434" i="15"/>
  <c r="A373" i="15"/>
  <c r="A149" i="15"/>
  <c r="O149" i="15" s="1"/>
  <c r="A224" i="15"/>
  <c r="AA33" i="15"/>
  <c r="AI33" i="15"/>
  <c r="AH34" i="15"/>
  <c r="AG35" i="15"/>
  <c r="AG36" i="15"/>
  <c r="AG37" i="15"/>
  <c r="AG38" i="15"/>
  <c r="AG39" i="15"/>
  <c r="AG40" i="15"/>
  <c r="AG41" i="15"/>
  <c r="AE43" i="15"/>
  <c r="AI45" i="15"/>
  <c r="AG46" i="15"/>
  <c r="AE47" i="15"/>
  <c r="AH49" i="15"/>
  <c r="AD53" i="15"/>
  <c r="A92" i="15"/>
  <c r="A101" i="15"/>
  <c r="P178" i="15"/>
  <c r="P177" i="15"/>
  <c r="X178" i="15"/>
  <c r="X177" i="15"/>
  <c r="W182" i="15"/>
  <c r="U186" i="15"/>
  <c r="S257" i="15"/>
  <c r="T330" i="15"/>
  <c r="A302" i="15"/>
  <c r="A435" i="15"/>
  <c r="A374" i="15"/>
  <c r="A225" i="15"/>
  <c r="A150" i="15"/>
  <c r="O150" i="15" s="1"/>
  <c r="AE53" i="15"/>
  <c r="A93" i="15"/>
  <c r="Q178" i="15"/>
  <c r="Q177" i="15"/>
  <c r="Y178" i="15"/>
  <c r="Y177" i="15"/>
  <c r="AG29" i="15"/>
  <c r="AE31" i="15"/>
  <c r="AD32" i="15"/>
  <c r="AJ34" i="15"/>
  <c r="A436" i="15"/>
  <c r="A303" i="15"/>
  <c r="A226" i="15"/>
  <c r="A151" i="15"/>
  <c r="O151" i="15" s="1"/>
  <c r="AI35" i="15"/>
  <c r="A376" i="15"/>
  <c r="A304" i="15"/>
  <c r="A437" i="15"/>
  <c r="A152" i="15"/>
  <c r="O152" i="15" s="1"/>
  <c r="A227" i="15"/>
  <c r="AI36" i="15"/>
  <c r="A377" i="15"/>
  <c r="A438" i="15"/>
  <c r="A153" i="15"/>
  <c r="O153" i="15" s="1"/>
  <c r="A228" i="15"/>
  <c r="A305" i="15"/>
  <c r="AI37" i="15"/>
  <c r="A378" i="15"/>
  <c r="A439" i="15"/>
  <c r="A306" i="15"/>
  <c r="A229" i="15"/>
  <c r="A154" i="15"/>
  <c r="O154" i="15" s="1"/>
  <c r="AI38" i="15"/>
  <c r="A379" i="15"/>
  <c r="A440" i="15"/>
  <c r="A307" i="15"/>
  <c r="A98" i="15"/>
  <c r="A230" i="15"/>
  <c r="A155" i="15"/>
  <c r="O155" i="15" s="1"/>
  <c r="AI39" i="15"/>
  <c r="A380" i="15"/>
  <c r="A441" i="15"/>
  <c r="A308" i="15"/>
  <c r="A156" i="15"/>
  <c r="O156" i="15" s="1"/>
  <c r="A231" i="15"/>
  <c r="AI40" i="15"/>
  <c r="A442" i="15"/>
  <c r="A381" i="15"/>
  <c r="A309" i="15"/>
  <c r="A157" i="15"/>
  <c r="O157" i="15" s="1"/>
  <c r="A232" i="15"/>
  <c r="AI41" i="15"/>
  <c r="AG43" i="15"/>
  <c r="AE44" i="15"/>
  <c r="AI46" i="15"/>
  <c r="AG47" i="15"/>
  <c r="AJ49" i="15"/>
  <c r="AD51" i="15"/>
  <c r="AE52" i="15"/>
  <c r="AF53" i="15"/>
  <c r="AC54" i="15"/>
  <c r="A94" i="15"/>
  <c r="R178" i="15"/>
  <c r="R177" i="15"/>
  <c r="Z178" i="15"/>
  <c r="Z177" i="15"/>
  <c r="Q181" i="15"/>
  <c r="Y181" i="15"/>
  <c r="W186" i="15"/>
  <c r="Y253" i="15"/>
  <c r="T328" i="15"/>
  <c r="A368" i="15"/>
  <c r="A144" i="15"/>
  <c r="O144" i="15" s="1"/>
  <c r="A429" i="15"/>
  <c r="A219" i="15"/>
  <c r="A296" i="15"/>
  <c r="AH29" i="15"/>
  <c r="AF31" i="15"/>
  <c r="AE32" i="15"/>
  <c r="AJ35" i="15"/>
  <c r="AJ37" i="15"/>
  <c r="AJ38" i="15"/>
  <c r="AJ39" i="15"/>
  <c r="AJ40" i="15"/>
  <c r="AJ41" i="15"/>
  <c r="A443" i="15"/>
  <c r="A382" i="15"/>
  <c r="A310" i="15"/>
  <c r="A233" i="15"/>
  <c r="A158" i="15"/>
  <c r="O158" i="15" s="1"/>
  <c r="AJ46" i="15"/>
  <c r="AH47" i="15"/>
  <c r="AC49" i="15"/>
  <c r="AE51" i="15"/>
  <c r="AG53" i="15"/>
  <c r="AD54" i="15"/>
  <c r="A95" i="15"/>
  <c r="AA178" i="15"/>
  <c r="A430" i="15"/>
  <c r="A369" i="15"/>
  <c r="A145" i="15"/>
  <c r="O145" i="15" s="1"/>
  <c r="A220" i="15"/>
  <c r="A297" i="15"/>
  <c r="Z30" i="15"/>
  <c r="AN30" i="15" s="1"/>
  <c r="A444" i="15"/>
  <c r="A383" i="15"/>
  <c r="A311" i="15"/>
  <c r="A234" i="15"/>
  <c r="A159" i="15"/>
  <c r="O159" i="15" s="1"/>
  <c r="A389" i="15"/>
  <c r="A450" i="15"/>
  <c r="A165" i="15"/>
  <c r="O165" i="15" s="1"/>
  <c r="A317" i="15"/>
  <c r="A240" i="15"/>
  <c r="A87" i="15"/>
  <c r="A96" i="15"/>
  <c r="Q185" i="15"/>
  <c r="Y185" i="15"/>
  <c r="S186" i="15"/>
  <c r="V257" i="15"/>
  <c r="A375" i="15"/>
  <c r="U181" i="15"/>
  <c r="Q182" i="15"/>
  <c r="Y182" i="15"/>
  <c r="Y183" i="15" s="1"/>
  <c r="Y184" i="15" s="1"/>
  <c r="U185" i="15"/>
  <c r="Q186" i="15"/>
  <c r="Y186" i="15"/>
  <c r="P255" i="15"/>
  <c r="J260" i="15"/>
  <c r="J262" i="15" s="1"/>
  <c r="Z329" i="15"/>
  <c r="Z334" i="15" s="1"/>
  <c r="Z330" i="15"/>
  <c r="Z328" i="15"/>
  <c r="F337" i="15"/>
  <c r="F338" i="15" s="1"/>
  <c r="F263" i="15" s="1"/>
  <c r="F335" i="15"/>
  <c r="F459" i="15"/>
  <c r="V181" i="15"/>
  <c r="R182" i="15"/>
  <c r="R183" i="15" s="1"/>
  <c r="R184" i="15" s="1"/>
  <c r="Z182" i="15"/>
  <c r="Z183" i="15" s="1"/>
  <c r="Z184" i="15" s="1"/>
  <c r="V185" i="15"/>
  <c r="R186" i="15"/>
  <c r="R187" i="15" s="1"/>
  <c r="R188" i="15" s="1"/>
  <c r="Z186" i="15"/>
  <c r="Z187" i="15" s="1"/>
  <c r="Z188" i="15" s="1"/>
  <c r="K260" i="15"/>
  <c r="K262" i="15" s="1"/>
  <c r="G337" i="15"/>
  <c r="G335" i="15"/>
  <c r="G336" i="15"/>
  <c r="G334" i="15"/>
  <c r="Q329" i="15"/>
  <c r="T461" i="15"/>
  <c r="P181" i="15"/>
  <c r="P183" i="15" s="1"/>
  <c r="P184" i="15" s="1"/>
  <c r="X181" i="15"/>
  <c r="X183" i="15" s="1"/>
  <c r="X184" i="15" s="1"/>
  <c r="T182" i="15"/>
  <c r="P185" i="15"/>
  <c r="P187" i="15" s="1"/>
  <c r="P188" i="15" s="1"/>
  <c r="X185" i="15"/>
  <c r="X187" i="15" s="1"/>
  <c r="X188" i="15" s="1"/>
  <c r="T186" i="15"/>
  <c r="E260" i="15"/>
  <c r="E262" i="15" s="1"/>
  <c r="T332" i="15"/>
  <c r="I338" i="15"/>
  <c r="I263" i="15" s="1"/>
  <c r="D400" i="15"/>
  <c r="I459" i="15"/>
  <c r="E460" i="15"/>
  <c r="E466" i="15" s="1"/>
  <c r="E467" i="15" s="1"/>
  <c r="M460" i="15"/>
  <c r="F461" i="15"/>
  <c r="F260" i="15"/>
  <c r="F262" i="15" s="1"/>
  <c r="W332" i="15"/>
  <c r="Y329" i="15"/>
  <c r="T331" i="15"/>
  <c r="Z332" i="15"/>
  <c r="F460" i="15"/>
  <c r="F466" i="15" s="1"/>
  <c r="F467" i="15" s="1"/>
  <c r="Q257" i="15"/>
  <c r="Z253" i="15"/>
  <c r="G260" i="15"/>
  <c r="G262" i="15" s="1"/>
  <c r="Y332" i="15"/>
  <c r="P332" i="15"/>
  <c r="F336" i="15"/>
  <c r="B399" i="15"/>
  <c r="B404" i="15" s="1"/>
  <c r="H461" i="15"/>
  <c r="K467" i="15"/>
  <c r="AA177" i="15"/>
  <c r="AC253" i="15"/>
  <c r="Z254" i="15"/>
  <c r="Z260" i="15" s="1"/>
  <c r="H260" i="15"/>
  <c r="H262" i="15" s="1"/>
  <c r="T329" i="15"/>
  <c r="T334" i="15" s="1"/>
  <c r="Z331" i="15"/>
  <c r="B398" i="15"/>
  <c r="C399" i="15"/>
  <c r="C404" i="15" s="1"/>
  <c r="H460" i="15"/>
  <c r="H466" i="15" s="1"/>
  <c r="H467" i="15" s="1"/>
  <c r="I461" i="15"/>
  <c r="Q328" i="15"/>
  <c r="W329" i="15"/>
  <c r="W334" i="15" s="1"/>
  <c r="V329" i="15"/>
  <c r="V330" i="15"/>
  <c r="C398" i="15"/>
  <c r="D399" i="15"/>
  <c r="D404" i="15" s="1"/>
  <c r="L399" i="15"/>
  <c r="E459" i="15"/>
  <c r="M459" i="15"/>
  <c r="C335" i="15"/>
  <c r="K335" i="15"/>
  <c r="K337" i="15"/>
  <c r="T384" i="15"/>
  <c r="T400" i="15" s="1"/>
  <c r="W330" i="15"/>
  <c r="D335" i="15"/>
  <c r="L335" i="15"/>
  <c r="D461" i="15"/>
  <c r="E335" i="15"/>
  <c r="M335" i="15"/>
  <c r="I336" i="15"/>
  <c r="E337" i="15"/>
  <c r="L460" i="15"/>
  <c r="J334" i="15"/>
  <c r="L459" i="15"/>
  <c r="K334" i="15"/>
  <c r="Q374" i="15"/>
  <c r="Q399" i="15" s="1"/>
  <c r="Q404" i="15" s="1"/>
  <c r="E334" i="15"/>
  <c r="I335" i="15"/>
  <c r="AL42" i="15" l="1"/>
  <c r="AB41" i="15"/>
  <c r="AL24" i="15"/>
  <c r="AA40" i="15"/>
  <c r="AK25" i="15"/>
  <c r="AB18" i="15"/>
  <c r="W187" i="15"/>
  <c r="W188" i="15" s="1"/>
  <c r="AB40" i="15"/>
  <c r="AA17" i="15"/>
  <c r="AK18" i="15"/>
  <c r="AK17" i="15"/>
  <c r="AL16" i="15"/>
  <c r="AL10" i="15"/>
  <c r="AL27" i="15"/>
  <c r="J338" i="15"/>
  <c r="J263" i="15" s="1"/>
  <c r="W179" i="15"/>
  <c r="I179" i="15" s="1"/>
  <c r="I180" i="15" s="1"/>
  <c r="AL17" i="15"/>
  <c r="AA11" i="15"/>
  <c r="AB31" i="15"/>
  <c r="AA21" i="15"/>
  <c r="AB9" i="15"/>
  <c r="AL36" i="15"/>
  <c r="AA31" i="15"/>
  <c r="AK48" i="15"/>
  <c r="AB36" i="15"/>
  <c r="AA37" i="15"/>
  <c r="AB13" i="15"/>
  <c r="AB43" i="15"/>
  <c r="AB12" i="15"/>
  <c r="AB29" i="15"/>
  <c r="AA28" i="15"/>
  <c r="Q179" i="15"/>
  <c r="C179" i="15" s="1"/>
  <c r="C180" i="15" s="1"/>
  <c r="AL22" i="15"/>
  <c r="AB19" i="15"/>
  <c r="AA32" i="15"/>
  <c r="AC259" i="15"/>
  <c r="AA38" i="15"/>
  <c r="AL29" i="15"/>
  <c r="AA12" i="15"/>
  <c r="AA23" i="15"/>
  <c r="L261" i="15"/>
  <c r="L262" i="15" s="1"/>
  <c r="AB38" i="15"/>
  <c r="T183" i="15"/>
  <c r="T184" i="15" s="1"/>
  <c r="V187" i="15"/>
  <c r="V188" i="15" s="1"/>
  <c r="AL13" i="15"/>
  <c r="AA36" i="15"/>
  <c r="D338" i="15"/>
  <c r="D263" i="15" s="1"/>
  <c r="AL38" i="15"/>
  <c r="Q459" i="15"/>
  <c r="AB46" i="15"/>
  <c r="AB30" i="15"/>
  <c r="AB10" i="15"/>
  <c r="AA50" i="15"/>
  <c r="AA39" i="15"/>
  <c r="AL21" i="15"/>
  <c r="AA22" i="15"/>
  <c r="AC255" i="15"/>
  <c r="T187" i="15"/>
  <c r="T188" i="15" s="1"/>
  <c r="W183" i="15"/>
  <c r="W184" i="15" s="1"/>
  <c r="AA9" i="15"/>
  <c r="S187" i="15"/>
  <c r="S188" i="15" s="1"/>
  <c r="AA19" i="15"/>
  <c r="AL14" i="15"/>
  <c r="AA15" i="15"/>
  <c r="R62" i="15"/>
  <c r="Y187" i="15"/>
  <c r="Y188" i="15" s="1"/>
  <c r="AA27" i="15"/>
  <c r="D261" i="15"/>
  <c r="D262" i="15" s="1"/>
  <c r="AL26" i="15"/>
  <c r="Q183" i="15"/>
  <c r="Q184" i="15" s="1"/>
  <c r="AB24" i="15"/>
  <c r="AA24" i="15"/>
  <c r="Q460" i="15"/>
  <c r="Q466" i="15" s="1"/>
  <c r="Q467" i="15" s="1"/>
  <c r="H338" i="15"/>
  <c r="H263" i="15" s="1"/>
  <c r="T398" i="15"/>
  <c r="M261" i="15"/>
  <c r="M262" i="15" s="1"/>
  <c r="X179" i="15"/>
  <c r="J179" i="15" s="1"/>
  <c r="J180" i="15" s="1"/>
  <c r="U183" i="15"/>
  <c r="U184" i="15" s="1"/>
  <c r="P179" i="15"/>
  <c r="B179" i="15" s="1"/>
  <c r="B180" i="15" s="1"/>
  <c r="U179" i="15"/>
  <c r="G179" i="15" s="1"/>
  <c r="G180" i="15" s="1"/>
  <c r="V183" i="15"/>
  <c r="V184" i="15" s="1"/>
  <c r="AL44" i="15"/>
  <c r="AB45" i="15"/>
  <c r="AH61" i="15"/>
  <c r="AC62" i="15"/>
  <c r="AF62" i="15"/>
  <c r="AD62" i="15"/>
  <c r="AD61" i="15"/>
  <c r="AJ61" i="15"/>
  <c r="AJ62" i="15"/>
  <c r="S179" i="15"/>
  <c r="E179" i="15" s="1"/>
  <c r="E180" i="15" s="1"/>
  <c r="AH62" i="15"/>
  <c r="AB26" i="15"/>
  <c r="AA26" i="15"/>
  <c r="AL25" i="15"/>
  <c r="K338" i="15"/>
  <c r="K263" i="15" s="1"/>
  <c r="Q187" i="15"/>
  <c r="Q188" i="15" s="1"/>
  <c r="R179" i="15"/>
  <c r="D179" i="15" s="1"/>
  <c r="D180" i="15" s="1"/>
  <c r="AI61" i="15"/>
  <c r="AI60" i="15"/>
  <c r="AI62" i="15"/>
  <c r="AH60" i="15"/>
  <c r="V334" i="15"/>
  <c r="M337" i="15"/>
  <c r="M338" i="15" s="1"/>
  <c r="M263" i="15" s="1"/>
  <c r="AJ60" i="15"/>
  <c r="AK34" i="15"/>
  <c r="AL33" i="15"/>
  <c r="AB34" i="15"/>
  <c r="AA34" i="15"/>
  <c r="AE62" i="15"/>
  <c r="AE61" i="15"/>
  <c r="AE60" i="15"/>
  <c r="L334" i="15"/>
  <c r="L337" i="15"/>
  <c r="Q334" i="15"/>
  <c r="U187" i="15"/>
  <c r="U188" i="15" s="1"/>
  <c r="Y179" i="15"/>
  <c r="K179" i="15" s="1"/>
  <c r="K180" i="15" s="1"/>
  <c r="V179" i="15"/>
  <c r="H179" i="15" s="1"/>
  <c r="H180" i="15" s="1"/>
  <c r="AF60" i="15"/>
  <c r="T179" i="15"/>
  <c r="F179" i="15" s="1"/>
  <c r="F180" i="15" s="1"/>
  <c r="AF61" i="15"/>
  <c r="AC61" i="15"/>
  <c r="T399" i="15"/>
  <c r="Q398" i="15"/>
  <c r="AD60" i="15"/>
  <c r="AC60" i="15"/>
  <c r="E338" i="15"/>
  <c r="E263" i="15" s="1"/>
  <c r="Y334" i="15"/>
  <c r="C334" i="15"/>
  <c r="C338" i="15" s="1"/>
  <c r="C263" i="15" s="1"/>
  <c r="G338" i="15"/>
  <c r="G263" i="15" s="1"/>
  <c r="AA179" i="15"/>
  <c r="M179" i="15" s="1"/>
  <c r="M180" i="15" s="1"/>
  <c r="Z179" i="15"/>
  <c r="L179" i="15" s="1"/>
  <c r="L180" i="15" s="1"/>
  <c r="AG61" i="15"/>
  <c r="AG60" i="15"/>
  <c r="AG62" i="15"/>
  <c r="AB61" i="15" l="1"/>
  <c r="AL62" i="15"/>
  <c r="AB62" i="15"/>
  <c r="AB60" i="15"/>
  <c r="AA61" i="15"/>
  <c r="AA60" i="15"/>
  <c r="AL60" i="15"/>
  <c r="AL61" i="15"/>
  <c r="L338" i="15"/>
  <c r="L263" i="15" s="1"/>
  <c r="AK62" i="15"/>
  <c r="AK60" i="15"/>
  <c r="AA62" i="15"/>
  <c r="AK61" i="15"/>
  <c r="C259" i="2" l="1"/>
  <c r="AC246" i="2"/>
  <c r="AE255" i="2"/>
  <c r="B258" i="2" s="1"/>
  <c r="AK253" i="2"/>
  <c r="AK252" i="2"/>
  <c r="AK251" i="2"/>
  <c r="AH253" i="2"/>
  <c r="AH252" i="2"/>
  <c r="AH251" i="2"/>
  <c r="AE253" i="2"/>
  <c r="AE252" i="2"/>
  <c r="AE251" i="2"/>
  <c r="C251" i="2"/>
  <c r="D251" i="2"/>
  <c r="E251" i="2"/>
  <c r="F251" i="2"/>
  <c r="G251" i="2"/>
  <c r="H251" i="2"/>
  <c r="I251" i="2"/>
  <c r="J251" i="2"/>
  <c r="K251" i="2"/>
  <c r="L251" i="2"/>
  <c r="M251" i="2"/>
  <c r="C252" i="2"/>
  <c r="D252" i="2"/>
  <c r="E252" i="2"/>
  <c r="E258" i="2" s="1"/>
  <c r="F252" i="2"/>
  <c r="F258" i="2" s="1"/>
  <c r="G252" i="2"/>
  <c r="G258" i="2" s="1"/>
  <c r="H252" i="2"/>
  <c r="H258" i="2" s="1"/>
  <c r="I252" i="2"/>
  <c r="J252" i="2"/>
  <c r="J258" i="2" s="1"/>
  <c r="K252" i="2"/>
  <c r="K258" i="2" s="1"/>
  <c r="L252" i="2"/>
  <c r="M252" i="2"/>
  <c r="C253" i="2"/>
  <c r="D253" i="2"/>
  <c r="E253" i="2"/>
  <c r="F253" i="2"/>
  <c r="G253" i="2"/>
  <c r="H253" i="2"/>
  <c r="I253" i="2"/>
  <c r="J253" i="2"/>
  <c r="K253" i="2"/>
  <c r="L253" i="2"/>
  <c r="M253" i="2"/>
  <c r="C254" i="2"/>
  <c r="D254" i="2"/>
  <c r="E254" i="2"/>
  <c r="F254" i="2"/>
  <c r="G254" i="2"/>
  <c r="H254" i="2"/>
  <c r="I254" i="2"/>
  <c r="J254" i="2"/>
  <c r="K254" i="2"/>
  <c r="L254" i="2"/>
  <c r="M254" i="2"/>
  <c r="C255" i="2"/>
  <c r="D255" i="2"/>
  <c r="E255" i="2"/>
  <c r="F255" i="2"/>
  <c r="G255" i="2"/>
  <c r="H255" i="2"/>
  <c r="I255" i="2"/>
  <c r="J255" i="2"/>
  <c r="K255" i="2"/>
  <c r="L255" i="2"/>
  <c r="M255" i="2"/>
  <c r="B255" i="2"/>
  <c r="B254" i="2"/>
  <c r="B253" i="2"/>
  <c r="B251" i="2"/>
  <c r="Z246" i="2"/>
  <c r="V246" i="2"/>
  <c r="T246" i="2"/>
  <c r="C176" i="2"/>
  <c r="D176" i="2"/>
  <c r="E176" i="2"/>
  <c r="F176" i="2"/>
  <c r="G176" i="2"/>
  <c r="H176" i="2"/>
  <c r="I176" i="2"/>
  <c r="J176" i="2"/>
  <c r="K176" i="2"/>
  <c r="L176" i="2"/>
  <c r="M176" i="2"/>
  <c r="C177" i="2"/>
  <c r="D177" i="2"/>
  <c r="E177" i="2"/>
  <c r="F177" i="2"/>
  <c r="G177" i="2"/>
  <c r="H177" i="2"/>
  <c r="I177" i="2"/>
  <c r="J177" i="2"/>
  <c r="K177" i="2"/>
  <c r="L177" i="2"/>
  <c r="M177" i="2"/>
  <c r="B177" i="2"/>
  <c r="B176" i="2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C64" i="1"/>
  <c r="D64" i="1"/>
  <c r="E64" i="1"/>
  <c r="F64" i="1"/>
  <c r="G64" i="1"/>
  <c r="H64" i="1"/>
  <c r="I64" i="1"/>
  <c r="J64" i="1"/>
  <c r="K64" i="1"/>
  <c r="L64" i="1"/>
  <c r="M64" i="1"/>
  <c r="B64" i="1"/>
  <c r="B63" i="1"/>
  <c r="B62" i="1"/>
  <c r="M48" i="7"/>
  <c r="M58" i="7" s="1"/>
  <c r="L48" i="7"/>
  <c r="L58" i="7" s="1"/>
  <c r="K48" i="7"/>
  <c r="K58" i="7" s="1"/>
  <c r="J48" i="7"/>
  <c r="J58" i="7" s="1"/>
  <c r="I48" i="7"/>
  <c r="I58" i="7" s="1"/>
  <c r="H48" i="7"/>
  <c r="H58" i="7" s="1"/>
  <c r="G48" i="7"/>
  <c r="G58" i="7" s="1"/>
  <c r="F48" i="7"/>
  <c r="F58" i="7" s="1"/>
  <c r="E48" i="7"/>
  <c r="E58" i="7" s="1"/>
  <c r="D48" i="7"/>
  <c r="D58" i="7" s="1"/>
  <c r="C48" i="7"/>
  <c r="C58" i="7" s="1"/>
  <c r="B48" i="7"/>
  <c r="B58" i="7" s="1"/>
  <c r="A48" i="8"/>
  <c r="B260" i="2" l="1"/>
  <c r="T34" i="8"/>
  <c r="S34" i="8"/>
  <c r="R34" i="8"/>
  <c r="A48" i="7"/>
  <c r="A48" i="6"/>
  <c r="F47" i="7"/>
  <c r="G47" i="7"/>
  <c r="H47" i="7"/>
  <c r="I47" i="7"/>
  <c r="J47" i="7"/>
  <c r="K47" i="7"/>
  <c r="L47" i="7"/>
  <c r="M47" i="7"/>
  <c r="Q54" i="13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P165" i="2"/>
  <c r="P164" i="2"/>
  <c r="R160" i="2"/>
  <c r="Q172" i="2"/>
  <c r="P172" i="2"/>
  <c r="R172" i="2"/>
  <c r="S172" i="2"/>
  <c r="T172" i="2"/>
  <c r="U172" i="2"/>
  <c r="V172" i="2"/>
  <c r="W172" i="2"/>
  <c r="X172" i="2"/>
  <c r="Y172" i="2"/>
  <c r="Z172" i="2"/>
  <c r="AA172" i="2"/>
  <c r="P171" i="2"/>
  <c r="R57" i="1"/>
  <c r="S57" i="1"/>
  <c r="Q57" i="1"/>
  <c r="S56" i="1"/>
  <c r="R56" i="1"/>
  <c r="S51" i="1"/>
  <c r="R50" i="1"/>
  <c r="R49" i="1"/>
  <c r="Q34" i="8" l="1"/>
  <c r="P57" i="1"/>
  <c r="P56" i="1"/>
  <c r="O44" i="2" l="1"/>
  <c r="U44" i="1"/>
  <c r="O45" i="2"/>
  <c r="U45" i="1"/>
  <c r="O46" i="2"/>
  <c r="U46" i="1"/>
  <c r="O47" i="2" l="1"/>
  <c r="U47" i="1"/>
  <c r="N25" i="2" l="1"/>
  <c r="P25" i="2" s="1"/>
  <c r="N26" i="2"/>
  <c r="P26" i="2" s="1"/>
  <c r="N27" i="2"/>
  <c r="P27" i="2" s="1"/>
  <c r="N28" i="2"/>
  <c r="P28" i="2" s="1"/>
  <c r="N29" i="2"/>
  <c r="P29" i="2" s="1"/>
  <c r="N30" i="2"/>
  <c r="P30" i="2" s="1"/>
  <c r="N31" i="2"/>
  <c r="P31" i="2" s="1"/>
  <c r="N32" i="2"/>
  <c r="P32" i="2" s="1"/>
  <c r="N33" i="2"/>
  <c r="P33" i="2" s="1"/>
  <c r="N34" i="2"/>
  <c r="P34" i="2" s="1"/>
  <c r="N35" i="2"/>
  <c r="P35" i="2" s="1"/>
  <c r="N36" i="2"/>
  <c r="P36" i="2" s="1"/>
  <c r="N37" i="2"/>
  <c r="P37" i="2" s="1"/>
  <c r="N38" i="2"/>
  <c r="P38" i="2" s="1"/>
  <c r="N39" i="2"/>
  <c r="P39" i="2" s="1"/>
  <c r="N40" i="2"/>
  <c r="P40" i="2" s="1"/>
  <c r="N41" i="2"/>
  <c r="P41" i="2" s="1"/>
  <c r="N42" i="2"/>
  <c r="P42" i="2" s="1"/>
  <c r="N43" i="2"/>
  <c r="P43" i="2" s="1"/>
  <c r="N44" i="2"/>
  <c r="P44" i="2" s="1"/>
  <c r="N45" i="2"/>
  <c r="P45" i="2" s="1"/>
  <c r="N46" i="2"/>
  <c r="P46" i="2" s="1"/>
  <c r="N47" i="2"/>
  <c r="P47" i="2" s="1"/>
  <c r="V23" i="1"/>
  <c r="T24" i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Q56" i="1" l="1"/>
  <c r="Q55" i="1"/>
  <c r="Q54" i="1"/>
  <c r="Q53" i="1"/>
  <c r="Q52" i="1"/>
  <c r="Q51" i="1"/>
  <c r="Q50" i="1"/>
  <c r="Q49" i="1"/>
  <c r="Q48" i="1"/>
  <c r="Q47" i="1"/>
  <c r="Q46" i="1"/>
  <c r="Q45" i="1"/>
  <c r="S55" i="1"/>
  <c r="R55" i="1"/>
  <c r="S54" i="1"/>
  <c r="R54" i="1"/>
  <c r="S53" i="1"/>
  <c r="R53" i="1"/>
  <c r="S52" i="1"/>
  <c r="R52" i="1"/>
  <c r="P52" i="1" s="1"/>
  <c r="R51" i="1"/>
  <c r="P51" i="1" s="1"/>
  <c r="S50" i="1"/>
  <c r="P50" i="1" s="1"/>
  <c r="S49" i="1"/>
  <c r="P49" i="1" s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P53" i="1" l="1"/>
  <c r="P46" i="1"/>
  <c r="P47" i="1"/>
  <c r="P48" i="1"/>
  <c r="P45" i="1"/>
  <c r="P54" i="1"/>
  <c r="P55" i="1"/>
  <c r="A48" i="5" l="1"/>
  <c r="Q46" i="13"/>
  <c r="R46" i="13"/>
  <c r="S46" i="13"/>
  <c r="T46" i="13"/>
  <c r="U46" i="13"/>
  <c r="V46" i="13"/>
  <c r="W46" i="13"/>
  <c r="X46" i="13"/>
  <c r="Y46" i="13"/>
  <c r="Z46" i="13"/>
  <c r="AA46" i="13"/>
  <c r="AB46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R54" i="13"/>
  <c r="S54" i="13"/>
  <c r="T54" i="13"/>
  <c r="U54" i="13"/>
  <c r="V54" i="13"/>
  <c r="W54" i="13"/>
  <c r="X54" i="13"/>
  <c r="Y54" i="13"/>
  <c r="Z54" i="13"/>
  <c r="AA54" i="13"/>
  <c r="AB54" i="13"/>
  <c r="A47" i="13"/>
  <c r="P47" i="13" s="1"/>
  <c r="B345" i="2"/>
  <c r="AZ56" i="2" l="1"/>
  <c r="AY56" i="2"/>
  <c r="AX56" i="2"/>
  <c r="AW56" i="2"/>
  <c r="AV56" i="2"/>
  <c r="AU56" i="2"/>
  <c r="AT56" i="2"/>
  <c r="AS56" i="2"/>
  <c r="AR56" i="2"/>
  <c r="AQ56" i="2"/>
  <c r="AP56" i="2"/>
  <c r="AO56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S56" i="2"/>
  <c r="S49" i="2"/>
  <c r="U56" i="2"/>
  <c r="T56" i="2"/>
  <c r="U55" i="2"/>
  <c r="T55" i="2"/>
  <c r="R55" i="2" l="1"/>
  <c r="AB55" i="2" s="1"/>
  <c r="R56" i="2"/>
  <c r="AA55" i="2" l="1"/>
  <c r="AH330" i="2"/>
  <c r="AP256" i="2"/>
  <c r="AP255" i="2"/>
  <c r="AK329" i="2"/>
  <c r="AK328" i="2"/>
  <c r="AK327" i="2"/>
  <c r="AH329" i="2"/>
  <c r="AH328" i="2"/>
  <c r="AH327" i="2"/>
  <c r="AE329" i="2"/>
  <c r="AE328" i="2"/>
  <c r="AE327" i="2"/>
  <c r="AK330" i="2"/>
  <c r="AK255" i="2"/>
  <c r="AC197" i="2"/>
  <c r="AH255" i="2"/>
  <c r="I258" i="2" s="1"/>
  <c r="Q202" i="2"/>
  <c r="V232" i="2"/>
  <c r="V231" i="2"/>
  <c r="V221" i="2"/>
  <c r="V213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197" i="2"/>
  <c r="Z320" i="2"/>
  <c r="Z319" i="2"/>
  <c r="Z318" i="2"/>
  <c r="Z329" i="2" s="1"/>
  <c r="Z317" i="2"/>
  <c r="Z282" i="2"/>
  <c r="Y321" i="2"/>
  <c r="Y329" i="2" s="1"/>
  <c r="Y316" i="2"/>
  <c r="Y315" i="2"/>
  <c r="Y314" i="2"/>
  <c r="Y313" i="2"/>
  <c r="Y312" i="2"/>
  <c r="Y311" i="2"/>
  <c r="Y310" i="2"/>
  <c r="Y309" i="2"/>
  <c r="Y308" i="2"/>
  <c r="Y307" i="2"/>
  <c r="Y306" i="2"/>
  <c r="Y305" i="2"/>
  <c r="Y304" i="2"/>
  <c r="Y303" i="2"/>
  <c r="Y302" i="2"/>
  <c r="Y301" i="2"/>
  <c r="Y300" i="2"/>
  <c r="Y299" i="2"/>
  <c r="Y298" i="2"/>
  <c r="Y297" i="2"/>
  <c r="Y296" i="2"/>
  <c r="Y295" i="2"/>
  <c r="Y294" i="2"/>
  <c r="Y293" i="2"/>
  <c r="Y292" i="2"/>
  <c r="Y291" i="2"/>
  <c r="Y290" i="2"/>
  <c r="Y289" i="2"/>
  <c r="Y288" i="2"/>
  <c r="Y287" i="2"/>
  <c r="Y286" i="2"/>
  <c r="Y285" i="2"/>
  <c r="Y284" i="2"/>
  <c r="Y283" i="2"/>
  <c r="Y281" i="2"/>
  <c r="Y280" i="2"/>
  <c r="Y279" i="2"/>
  <c r="Y278" i="2"/>
  <c r="Y277" i="2"/>
  <c r="Y276" i="2"/>
  <c r="Y275" i="2"/>
  <c r="Y274" i="2"/>
  <c r="Y273" i="2"/>
  <c r="Y245" i="2"/>
  <c r="Y254" i="2" s="1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5" i="2"/>
  <c r="Y214" i="2"/>
  <c r="Y213" i="2"/>
  <c r="Y212" i="2"/>
  <c r="Y211" i="2"/>
  <c r="Y210" i="2"/>
  <c r="Y209" i="2"/>
  <c r="Y208" i="2"/>
  <c r="Y207" i="2"/>
  <c r="Y205" i="2"/>
  <c r="Y204" i="2"/>
  <c r="Y203" i="2"/>
  <c r="Y202" i="2"/>
  <c r="Y201" i="2"/>
  <c r="Y200" i="2"/>
  <c r="Y199" i="2"/>
  <c r="Y197" i="2"/>
  <c r="Y198" i="2"/>
  <c r="Z206" i="2"/>
  <c r="Z241" i="2"/>
  <c r="Z242" i="2"/>
  <c r="Z243" i="2"/>
  <c r="Z244" i="2"/>
  <c r="W245" i="2"/>
  <c r="T245" i="2"/>
  <c r="Q244" i="2"/>
  <c r="Q245" i="2"/>
  <c r="T244" i="2"/>
  <c r="V244" i="2"/>
  <c r="V254" i="2" s="1"/>
  <c r="Y253" i="2" l="1"/>
  <c r="Z255" i="2"/>
  <c r="Y326" i="2"/>
  <c r="Z330" i="2"/>
  <c r="Y327" i="2"/>
  <c r="Z326" i="2"/>
  <c r="Z328" i="2"/>
  <c r="Z327" i="2"/>
  <c r="Z332" i="2" s="1"/>
  <c r="Y328" i="2"/>
  <c r="Y255" i="2"/>
  <c r="Y330" i="2"/>
  <c r="Z254" i="2"/>
  <c r="Y252" i="2"/>
  <c r="Y258" i="2" s="1"/>
  <c r="C258" i="2" s="1"/>
  <c r="Y251" i="2"/>
  <c r="Z253" i="2"/>
  <c r="Z251" i="2"/>
  <c r="Z252" i="2"/>
  <c r="Z258" i="2" s="1"/>
  <c r="D3" i="14"/>
  <c r="C3" i="14"/>
  <c r="AE330" i="2"/>
  <c r="Y332" i="2" l="1"/>
  <c r="C332" i="2"/>
  <c r="D2" i="14"/>
  <c r="B332" i="2"/>
  <c r="C6" i="14"/>
  <c r="AA171" i="2" l="1"/>
  <c r="Z171" i="2"/>
  <c r="Y171" i="2"/>
  <c r="X171" i="2"/>
  <c r="W171" i="2"/>
  <c r="V171" i="2"/>
  <c r="U171" i="2"/>
  <c r="T171" i="2"/>
  <c r="S171" i="2"/>
  <c r="R171" i="2"/>
  <c r="Q171" i="2"/>
  <c r="AA170" i="2"/>
  <c r="Z170" i="2"/>
  <c r="Y170" i="2"/>
  <c r="X170" i="2"/>
  <c r="W170" i="2"/>
  <c r="V170" i="2"/>
  <c r="U170" i="2"/>
  <c r="T170" i="2"/>
  <c r="S170" i="2"/>
  <c r="R170" i="2"/>
  <c r="Q170" i="2"/>
  <c r="AA169" i="2"/>
  <c r="Z169" i="2"/>
  <c r="Y169" i="2"/>
  <c r="X169" i="2"/>
  <c r="W169" i="2"/>
  <c r="V169" i="2"/>
  <c r="U169" i="2"/>
  <c r="T169" i="2"/>
  <c r="S169" i="2"/>
  <c r="R169" i="2"/>
  <c r="Q169" i="2"/>
  <c r="AA168" i="2"/>
  <c r="Z168" i="2"/>
  <c r="Y168" i="2"/>
  <c r="X168" i="2"/>
  <c r="W168" i="2"/>
  <c r="V168" i="2"/>
  <c r="U168" i="2"/>
  <c r="T168" i="2"/>
  <c r="S168" i="2"/>
  <c r="R168" i="2"/>
  <c r="Q168" i="2"/>
  <c r="AA167" i="2"/>
  <c r="Z167" i="2"/>
  <c r="Y167" i="2"/>
  <c r="X167" i="2"/>
  <c r="W167" i="2"/>
  <c r="V167" i="2"/>
  <c r="U167" i="2"/>
  <c r="T167" i="2"/>
  <c r="S167" i="2"/>
  <c r="R167" i="2"/>
  <c r="Q167" i="2"/>
  <c r="AA166" i="2"/>
  <c r="Z166" i="2"/>
  <c r="Y166" i="2"/>
  <c r="X166" i="2"/>
  <c r="W166" i="2"/>
  <c r="V166" i="2"/>
  <c r="U166" i="2"/>
  <c r="T166" i="2"/>
  <c r="S166" i="2"/>
  <c r="R166" i="2"/>
  <c r="Q166" i="2"/>
  <c r="AA165" i="2"/>
  <c r="Z165" i="2"/>
  <c r="Y165" i="2"/>
  <c r="X165" i="2"/>
  <c r="W165" i="2"/>
  <c r="V165" i="2"/>
  <c r="U165" i="2"/>
  <c r="T165" i="2"/>
  <c r="S165" i="2"/>
  <c r="R165" i="2"/>
  <c r="Q165" i="2"/>
  <c r="AA164" i="2"/>
  <c r="Z164" i="2"/>
  <c r="Y164" i="2"/>
  <c r="X164" i="2"/>
  <c r="W164" i="2"/>
  <c r="V164" i="2"/>
  <c r="U164" i="2"/>
  <c r="T164" i="2"/>
  <c r="S164" i="2"/>
  <c r="R164" i="2"/>
  <c r="Q164" i="2"/>
  <c r="AA163" i="2"/>
  <c r="Z163" i="2"/>
  <c r="Y163" i="2"/>
  <c r="X163" i="2"/>
  <c r="W163" i="2"/>
  <c r="V163" i="2"/>
  <c r="U163" i="2"/>
  <c r="T163" i="2"/>
  <c r="S163" i="2"/>
  <c r="R163" i="2"/>
  <c r="Q163" i="2"/>
  <c r="AA162" i="2"/>
  <c r="Z162" i="2"/>
  <c r="Y162" i="2"/>
  <c r="X162" i="2"/>
  <c r="W162" i="2"/>
  <c r="V162" i="2"/>
  <c r="U162" i="2"/>
  <c r="T162" i="2"/>
  <c r="S162" i="2"/>
  <c r="R162" i="2"/>
  <c r="Q162" i="2"/>
  <c r="AA161" i="2"/>
  <c r="Z161" i="2"/>
  <c r="Y161" i="2"/>
  <c r="X161" i="2"/>
  <c r="W161" i="2"/>
  <c r="V161" i="2"/>
  <c r="U161" i="2"/>
  <c r="T161" i="2"/>
  <c r="S161" i="2"/>
  <c r="R161" i="2"/>
  <c r="Q161" i="2"/>
  <c r="AA160" i="2"/>
  <c r="Z160" i="2"/>
  <c r="Y160" i="2"/>
  <c r="X160" i="2"/>
  <c r="W160" i="2"/>
  <c r="V160" i="2"/>
  <c r="U160" i="2"/>
  <c r="T160" i="2"/>
  <c r="S160" i="2"/>
  <c r="Q160" i="2"/>
  <c r="AA159" i="2"/>
  <c r="Z159" i="2"/>
  <c r="Y159" i="2"/>
  <c r="X159" i="2"/>
  <c r="W159" i="2"/>
  <c r="V159" i="2"/>
  <c r="U159" i="2"/>
  <c r="T159" i="2"/>
  <c r="S159" i="2"/>
  <c r="R159" i="2"/>
  <c r="Q159" i="2"/>
  <c r="AA158" i="2"/>
  <c r="Z158" i="2"/>
  <c r="Y158" i="2"/>
  <c r="X158" i="2"/>
  <c r="W158" i="2"/>
  <c r="V158" i="2"/>
  <c r="U158" i="2"/>
  <c r="T158" i="2"/>
  <c r="S158" i="2"/>
  <c r="R158" i="2"/>
  <c r="Q158" i="2"/>
  <c r="AA157" i="2"/>
  <c r="Z157" i="2"/>
  <c r="Y157" i="2"/>
  <c r="X157" i="2"/>
  <c r="W157" i="2"/>
  <c r="V157" i="2"/>
  <c r="U157" i="2"/>
  <c r="T157" i="2"/>
  <c r="S157" i="2"/>
  <c r="R157" i="2"/>
  <c r="Q157" i="2"/>
  <c r="AA156" i="2"/>
  <c r="Z156" i="2"/>
  <c r="Y156" i="2"/>
  <c r="X156" i="2"/>
  <c r="W156" i="2"/>
  <c r="V156" i="2"/>
  <c r="U156" i="2"/>
  <c r="T156" i="2"/>
  <c r="S156" i="2"/>
  <c r="R156" i="2"/>
  <c r="Q156" i="2"/>
  <c r="AA155" i="2"/>
  <c r="Z155" i="2"/>
  <c r="Y155" i="2"/>
  <c r="X155" i="2"/>
  <c r="W155" i="2"/>
  <c r="V155" i="2"/>
  <c r="U155" i="2"/>
  <c r="T155" i="2"/>
  <c r="S155" i="2"/>
  <c r="R155" i="2"/>
  <c r="Q155" i="2"/>
  <c r="AA154" i="2"/>
  <c r="Z154" i="2"/>
  <c r="Y154" i="2"/>
  <c r="X154" i="2"/>
  <c r="W154" i="2"/>
  <c r="V154" i="2"/>
  <c r="U154" i="2"/>
  <c r="T154" i="2"/>
  <c r="S154" i="2"/>
  <c r="R154" i="2"/>
  <c r="Q154" i="2"/>
  <c r="AA153" i="2"/>
  <c r="Z153" i="2"/>
  <c r="Y153" i="2"/>
  <c r="X153" i="2"/>
  <c r="W153" i="2"/>
  <c r="V153" i="2"/>
  <c r="U153" i="2"/>
  <c r="T153" i="2"/>
  <c r="S153" i="2"/>
  <c r="R153" i="2"/>
  <c r="Q153" i="2"/>
  <c r="AA152" i="2"/>
  <c r="Z152" i="2"/>
  <c r="Y152" i="2"/>
  <c r="X152" i="2"/>
  <c r="W152" i="2"/>
  <c r="V152" i="2"/>
  <c r="U152" i="2"/>
  <c r="T152" i="2"/>
  <c r="S152" i="2"/>
  <c r="R152" i="2"/>
  <c r="Q152" i="2"/>
  <c r="AA151" i="2"/>
  <c r="Z151" i="2"/>
  <c r="Y151" i="2"/>
  <c r="X151" i="2"/>
  <c r="W151" i="2"/>
  <c r="V151" i="2"/>
  <c r="U151" i="2"/>
  <c r="T151" i="2"/>
  <c r="S151" i="2"/>
  <c r="R151" i="2"/>
  <c r="Q151" i="2"/>
  <c r="AA150" i="2"/>
  <c r="Z150" i="2"/>
  <c r="Y150" i="2"/>
  <c r="X150" i="2"/>
  <c r="W150" i="2"/>
  <c r="V150" i="2"/>
  <c r="U150" i="2"/>
  <c r="T150" i="2"/>
  <c r="S150" i="2"/>
  <c r="R150" i="2"/>
  <c r="Q150" i="2"/>
  <c r="AA149" i="2"/>
  <c r="Z149" i="2"/>
  <c r="Y149" i="2"/>
  <c r="X149" i="2"/>
  <c r="W149" i="2"/>
  <c r="V149" i="2"/>
  <c r="U149" i="2"/>
  <c r="T149" i="2"/>
  <c r="S149" i="2"/>
  <c r="R149" i="2"/>
  <c r="Q149" i="2"/>
  <c r="AA148" i="2"/>
  <c r="Z148" i="2"/>
  <c r="Y148" i="2"/>
  <c r="X148" i="2"/>
  <c r="W148" i="2"/>
  <c r="V148" i="2"/>
  <c r="U148" i="2"/>
  <c r="T148" i="2"/>
  <c r="S148" i="2"/>
  <c r="R148" i="2"/>
  <c r="Q148" i="2"/>
  <c r="AA147" i="2"/>
  <c r="Z147" i="2"/>
  <c r="Y147" i="2"/>
  <c r="X147" i="2"/>
  <c r="W147" i="2"/>
  <c r="V147" i="2"/>
  <c r="U147" i="2"/>
  <c r="T147" i="2"/>
  <c r="S147" i="2"/>
  <c r="R147" i="2"/>
  <c r="Q147" i="2"/>
  <c r="AA146" i="2"/>
  <c r="Z146" i="2"/>
  <c r="Y146" i="2"/>
  <c r="X146" i="2"/>
  <c r="W146" i="2"/>
  <c r="V146" i="2"/>
  <c r="U146" i="2"/>
  <c r="T146" i="2"/>
  <c r="S146" i="2"/>
  <c r="R146" i="2"/>
  <c r="Q146" i="2"/>
  <c r="AA145" i="2"/>
  <c r="Z145" i="2"/>
  <c r="Y145" i="2"/>
  <c r="X145" i="2"/>
  <c r="W145" i="2"/>
  <c r="V145" i="2"/>
  <c r="U145" i="2"/>
  <c r="T145" i="2"/>
  <c r="S145" i="2"/>
  <c r="R145" i="2"/>
  <c r="Q145" i="2"/>
  <c r="AA144" i="2"/>
  <c r="Z144" i="2"/>
  <c r="Y144" i="2"/>
  <c r="X144" i="2"/>
  <c r="W144" i="2"/>
  <c r="V144" i="2"/>
  <c r="U144" i="2"/>
  <c r="T144" i="2"/>
  <c r="S144" i="2"/>
  <c r="R144" i="2"/>
  <c r="Q144" i="2"/>
  <c r="AA143" i="2"/>
  <c r="Z143" i="2"/>
  <c r="Y143" i="2"/>
  <c r="X143" i="2"/>
  <c r="W143" i="2"/>
  <c r="V143" i="2"/>
  <c r="U143" i="2"/>
  <c r="T143" i="2"/>
  <c r="S143" i="2"/>
  <c r="R143" i="2"/>
  <c r="Q143" i="2"/>
  <c r="AA142" i="2"/>
  <c r="Z142" i="2"/>
  <c r="Y142" i="2"/>
  <c r="X142" i="2"/>
  <c r="W142" i="2"/>
  <c r="V142" i="2"/>
  <c r="U142" i="2"/>
  <c r="T142" i="2"/>
  <c r="S142" i="2"/>
  <c r="R142" i="2"/>
  <c r="Q142" i="2"/>
  <c r="AA141" i="2"/>
  <c r="Z141" i="2"/>
  <c r="Y141" i="2"/>
  <c r="X141" i="2"/>
  <c r="W141" i="2"/>
  <c r="V141" i="2"/>
  <c r="U141" i="2"/>
  <c r="T141" i="2"/>
  <c r="S141" i="2"/>
  <c r="R141" i="2"/>
  <c r="Q141" i="2"/>
  <c r="AA140" i="2"/>
  <c r="Z140" i="2"/>
  <c r="Y140" i="2"/>
  <c r="X140" i="2"/>
  <c r="W140" i="2"/>
  <c r="V140" i="2"/>
  <c r="U140" i="2"/>
  <c r="T140" i="2"/>
  <c r="S140" i="2"/>
  <c r="R140" i="2"/>
  <c r="Q140" i="2"/>
  <c r="AA139" i="2"/>
  <c r="Z139" i="2"/>
  <c r="Y139" i="2"/>
  <c r="X139" i="2"/>
  <c r="W139" i="2"/>
  <c r="V139" i="2"/>
  <c r="U139" i="2"/>
  <c r="T139" i="2"/>
  <c r="S139" i="2"/>
  <c r="R139" i="2"/>
  <c r="Q139" i="2"/>
  <c r="AA138" i="2"/>
  <c r="Z138" i="2"/>
  <c r="Y138" i="2"/>
  <c r="X138" i="2"/>
  <c r="W138" i="2"/>
  <c r="V138" i="2"/>
  <c r="U138" i="2"/>
  <c r="T138" i="2"/>
  <c r="S138" i="2"/>
  <c r="R138" i="2"/>
  <c r="Q138" i="2"/>
  <c r="AA137" i="2"/>
  <c r="Z137" i="2"/>
  <c r="Y137" i="2"/>
  <c r="X137" i="2"/>
  <c r="W137" i="2"/>
  <c r="V137" i="2"/>
  <c r="U137" i="2"/>
  <c r="T137" i="2"/>
  <c r="S137" i="2"/>
  <c r="R137" i="2"/>
  <c r="Q137" i="2"/>
  <c r="AA136" i="2"/>
  <c r="Z136" i="2"/>
  <c r="Y136" i="2"/>
  <c r="X136" i="2"/>
  <c r="W136" i="2"/>
  <c r="V136" i="2"/>
  <c r="U136" i="2"/>
  <c r="T136" i="2"/>
  <c r="S136" i="2"/>
  <c r="R136" i="2"/>
  <c r="Q136" i="2"/>
  <c r="AA135" i="2"/>
  <c r="Z135" i="2"/>
  <c r="Y135" i="2"/>
  <c r="X135" i="2"/>
  <c r="W135" i="2"/>
  <c r="V135" i="2"/>
  <c r="U135" i="2"/>
  <c r="T135" i="2"/>
  <c r="S135" i="2"/>
  <c r="R135" i="2"/>
  <c r="Q135" i="2"/>
  <c r="AA134" i="2"/>
  <c r="Z134" i="2"/>
  <c r="Y134" i="2"/>
  <c r="X134" i="2"/>
  <c r="W134" i="2"/>
  <c r="V134" i="2"/>
  <c r="U134" i="2"/>
  <c r="T134" i="2"/>
  <c r="S134" i="2"/>
  <c r="R134" i="2"/>
  <c r="Q134" i="2"/>
  <c r="AA133" i="2"/>
  <c r="Z133" i="2"/>
  <c r="Y133" i="2"/>
  <c r="X133" i="2"/>
  <c r="W133" i="2"/>
  <c r="V133" i="2"/>
  <c r="U133" i="2"/>
  <c r="T133" i="2"/>
  <c r="S133" i="2"/>
  <c r="R133" i="2"/>
  <c r="Q133" i="2"/>
  <c r="AA132" i="2"/>
  <c r="Z132" i="2"/>
  <c r="Y132" i="2"/>
  <c r="X132" i="2"/>
  <c r="W132" i="2"/>
  <c r="V132" i="2"/>
  <c r="U132" i="2"/>
  <c r="T132" i="2"/>
  <c r="S132" i="2"/>
  <c r="R132" i="2"/>
  <c r="Q132" i="2"/>
  <c r="AA131" i="2"/>
  <c r="Z131" i="2"/>
  <c r="Y131" i="2"/>
  <c r="X131" i="2"/>
  <c r="W131" i="2"/>
  <c r="V131" i="2"/>
  <c r="U131" i="2"/>
  <c r="T131" i="2"/>
  <c r="S131" i="2"/>
  <c r="R131" i="2"/>
  <c r="Q131" i="2"/>
  <c r="AA130" i="2"/>
  <c r="Z130" i="2"/>
  <c r="Y130" i="2"/>
  <c r="X130" i="2"/>
  <c r="W130" i="2"/>
  <c r="V130" i="2"/>
  <c r="U130" i="2"/>
  <c r="T130" i="2"/>
  <c r="S130" i="2"/>
  <c r="R130" i="2"/>
  <c r="Q130" i="2"/>
  <c r="AA129" i="2"/>
  <c r="Z129" i="2"/>
  <c r="Y129" i="2"/>
  <c r="X129" i="2"/>
  <c r="W129" i="2"/>
  <c r="V129" i="2"/>
  <c r="U129" i="2"/>
  <c r="T129" i="2"/>
  <c r="S129" i="2"/>
  <c r="R129" i="2"/>
  <c r="Q129" i="2"/>
  <c r="AA128" i="2"/>
  <c r="Z128" i="2"/>
  <c r="Y128" i="2"/>
  <c r="X128" i="2"/>
  <c r="W128" i="2"/>
  <c r="V128" i="2"/>
  <c r="U128" i="2"/>
  <c r="T128" i="2"/>
  <c r="S128" i="2"/>
  <c r="R128" i="2"/>
  <c r="Q128" i="2"/>
  <c r="AA127" i="2"/>
  <c r="Z127" i="2"/>
  <c r="Y127" i="2"/>
  <c r="X127" i="2"/>
  <c r="W127" i="2"/>
  <c r="V127" i="2"/>
  <c r="U127" i="2"/>
  <c r="T127" i="2"/>
  <c r="S127" i="2"/>
  <c r="R127" i="2"/>
  <c r="Q127" i="2"/>
  <c r="AA126" i="2"/>
  <c r="Z126" i="2"/>
  <c r="Y126" i="2"/>
  <c r="X126" i="2"/>
  <c r="W126" i="2"/>
  <c r="V126" i="2"/>
  <c r="U126" i="2"/>
  <c r="T126" i="2"/>
  <c r="S126" i="2"/>
  <c r="R126" i="2"/>
  <c r="Q126" i="2"/>
  <c r="AA125" i="2"/>
  <c r="Z125" i="2"/>
  <c r="Y125" i="2"/>
  <c r="X125" i="2"/>
  <c r="W125" i="2"/>
  <c r="V125" i="2"/>
  <c r="U125" i="2"/>
  <c r="T125" i="2"/>
  <c r="S125" i="2"/>
  <c r="R125" i="2"/>
  <c r="Q125" i="2"/>
  <c r="AA124" i="2"/>
  <c r="Z124" i="2"/>
  <c r="Y124" i="2"/>
  <c r="X124" i="2"/>
  <c r="W124" i="2"/>
  <c r="V124" i="2"/>
  <c r="U124" i="2"/>
  <c r="T124" i="2"/>
  <c r="S124" i="2"/>
  <c r="R124" i="2"/>
  <c r="Q124" i="2"/>
  <c r="AA123" i="2"/>
  <c r="Z123" i="2"/>
  <c r="Y123" i="2"/>
  <c r="X123" i="2"/>
  <c r="W123" i="2"/>
  <c r="V123" i="2"/>
  <c r="U123" i="2"/>
  <c r="T123" i="2"/>
  <c r="S123" i="2"/>
  <c r="R123" i="2"/>
  <c r="Q123" i="2"/>
  <c r="P170" i="2"/>
  <c r="P169" i="2"/>
  <c r="P168" i="2"/>
  <c r="P167" i="2"/>
  <c r="P166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U8" i="2"/>
  <c r="T8" i="2"/>
  <c r="U176" i="2" l="1"/>
  <c r="U177" i="2"/>
  <c r="T176" i="2"/>
  <c r="T177" i="2"/>
  <c r="V177" i="2"/>
  <c r="V176" i="2"/>
  <c r="P176" i="2"/>
  <c r="P177" i="2"/>
  <c r="S176" i="2"/>
  <c r="S177" i="2"/>
  <c r="W176" i="2"/>
  <c r="W177" i="2"/>
  <c r="Q176" i="2"/>
  <c r="Q177" i="2"/>
  <c r="R177" i="2"/>
  <c r="R176" i="2"/>
  <c r="T180" i="2"/>
  <c r="P181" i="2"/>
  <c r="Q180" i="2"/>
  <c r="P185" i="2"/>
  <c r="R180" i="2"/>
  <c r="V180" i="2"/>
  <c r="P180" i="2"/>
  <c r="P184" i="2"/>
  <c r="P178" i="2" l="1"/>
  <c r="B178" i="2" s="1"/>
  <c r="B179" i="2" s="1"/>
  <c r="P182" i="2"/>
  <c r="P183" i="2" s="1"/>
  <c r="P186" i="2"/>
  <c r="P187" i="2" s="1"/>
  <c r="AP253" i="2"/>
  <c r="AP252" i="2"/>
  <c r="AP251" i="2"/>
  <c r="D9" i="14"/>
  <c r="P314" i="2"/>
  <c r="P300" i="2"/>
  <c r="P291" i="2"/>
  <c r="P284" i="2"/>
  <c r="P283" i="2"/>
  <c r="P281" i="2"/>
  <c r="P279" i="2"/>
  <c r="P276" i="2"/>
  <c r="P275" i="2"/>
  <c r="P238" i="2"/>
  <c r="P252" i="2" s="1"/>
  <c r="P258" i="2" s="1"/>
  <c r="P224" i="2"/>
  <c r="P251" i="2" s="1"/>
  <c r="P215" i="2"/>
  <c r="P208" i="2"/>
  <c r="P207" i="2"/>
  <c r="P205" i="2"/>
  <c r="P203" i="2"/>
  <c r="P200" i="2"/>
  <c r="C5" i="14"/>
  <c r="C7" i="14"/>
  <c r="C8" i="14"/>
  <c r="C10" i="14"/>
  <c r="C11" i="14"/>
  <c r="P330" i="2" l="1"/>
  <c r="P327" i="2"/>
  <c r="P332" i="2" s="1"/>
  <c r="P328" i="2"/>
  <c r="G12" i="14" s="1"/>
  <c r="P255" i="2"/>
  <c r="P253" i="2"/>
  <c r="F12" i="14" s="1"/>
  <c r="P326" i="2"/>
  <c r="V320" i="2"/>
  <c r="V329" i="2" s="1"/>
  <c r="W321" i="2"/>
  <c r="T320" i="2"/>
  <c r="T321" i="2"/>
  <c r="Q321" i="2"/>
  <c r="Q320" i="2"/>
  <c r="Q319" i="2"/>
  <c r="D4" i="14"/>
  <c r="D5" i="14"/>
  <c r="D6" i="14"/>
  <c r="D7" i="14"/>
  <c r="D8" i="14"/>
  <c r="D10" i="14"/>
  <c r="D11" i="14"/>
  <c r="AC198" i="2" l="1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4" i="2"/>
  <c r="AC245" i="2"/>
  <c r="AC243" i="2"/>
  <c r="C2" i="14"/>
  <c r="S55" i="2"/>
  <c r="AC55" i="2"/>
  <c r="AD55" i="2"/>
  <c r="AE55" i="2"/>
  <c r="AF55" i="2"/>
  <c r="AG55" i="2"/>
  <c r="AH55" i="2"/>
  <c r="AV54" i="2"/>
  <c r="AW54" i="2"/>
  <c r="AX54" i="2"/>
  <c r="AY54" i="2"/>
  <c r="AZ54" i="2"/>
  <c r="AC256" i="2" l="1"/>
  <c r="AC252" i="2"/>
  <c r="AC251" i="2"/>
  <c r="C9" i="14"/>
  <c r="C336" i="2"/>
  <c r="C261" i="2" s="1"/>
  <c r="B336" i="2"/>
  <c r="B261" i="2" s="1"/>
  <c r="G259" i="2"/>
  <c r="G260" i="2" s="1"/>
  <c r="C260" i="2"/>
  <c r="AC253" i="2" l="1"/>
  <c r="AC257" i="2"/>
  <c r="R53" i="8"/>
  <c r="S53" i="8"/>
  <c r="T53" i="8"/>
  <c r="S46" i="2"/>
  <c r="S47" i="2"/>
  <c r="S48" i="2"/>
  <c r="S50" i="2"/>
  <c r="S51" i="2"/>
  <c r="S52" i="2"/>
  <c r="S53" i="2"/>
  <c r="S54" i="2"/>
  <c r="U49" i="2"/>
  <c r="U50" i="2"/>
  <c r="U51" i="2"/>
  <c r="U52" i="2"/>
  <c r="U53" i="2"/>
  <c r="U54" i="2"/>
  <c r="T50" i="2"/>
  <c r="T51" i="2"/>
  <c r="T52" i="2"/>
  <c r="T53" i="2"/>
  <c r="R53" i="2" s="1"/>
  <c r="T54" i="2"/>
  <c r="E259" i="2"/>
  <c r="E260" i="2" s="1"/>
  <c r="F259" i="2"/>
  <c r="F260" i="2" s="1"/>
  <c r="H259" i="2"/>
  <c r="H260" i="2" s="1"/>
  <c r="I259" i="2"/>
  <c r="I260" i="2" s="1"/>
  <c r="J259" i="2"/>
  <c r="J260" i="2" s="1"/>
  <c r="K259" i="2"/>
  <c r="K260" i="2" s="1"/>
  <c r="R54" i="2" l="1"/>
  <c r="R52" i="2"/>
  <c r="Q53" i="8"/>
  <c r="P35" i="8"/>
  <c r="P36" i="8" s="1"/>
  <c r="P37" i="8" s="1"/>
  <c r="P38" i="8" s="1"/>
  <c r="P39" i="8" s="1"/>
  <c r="P40" i="8" s="1"/>
  <c r="P41" i="8" s="1"/>
  <c r="P42" i="8" s="1"/>
  <c r="P43" i="8" s="1"/>
  <c r="P44" i="8" s="1"/>
  <c r="P45" i="8" s="1"/>
  <c r="P46" i="8" s="1"/>
  <c r="P47" i="8" s="1"/>
  <c r="P48" i="8" s="1"/>
  <c r="P49" i="8" s="1"/>
  <c r="P50" i="8" s="1"/>
  <c r="P51" i="8" s="1"/>
  <c r="P52" i="8" s="1"/>
  <c r="P53" i="8" s="1"/>
  <c r="P54" i="8" s="1"/>
  <c r="P55" i="8" s="1"/>
  <c r="P56" i="8" s="1"/>
  <c r="R35" i="8"/>
  <c r="S35" i="8"/>
  <c r="T35" i="8"/>
  <c r="R36" i="8"/>
  <c r="S36" i="8"/>
  <c r="T36" i="8"/>
  <c r="R37" i="8"/>
  <c r="S37" i="8"/>
  <c r="T37" i="8"/>
  <c r="R38" i="8"/>
  <c r="S38" i="8"/>
  <c r="T38" i="8"/>
  <c r="R39" i="8"/>
  <c r="S39" i="8"/>
  <c r="T39" i="8"/>
  <c r="R40" i="8"/>
  <c r="S40" i="8"/>
  <c r="T40" i="8"/>
  <c r="R41" i="8"/>
  <c r="S41" i="8"/>
  <c r="T41" i="8"/>
  <c r="R42" i="8"/>
  <c r="S42" i="8"/>
  <c r="T42" i="8"/>
  <c r="R43" i="8"/>
  <c r="S43" i="8"/>
  <c r="T43" i="8"/>
  <c r="R44" i="8"/>
  <c r="S44" i="8"/>
  <c r="T44" i="8"/>
  <c r="R45" i="8"/>
  <c r="S45" i="8"/>
  <c r="T45" i="8"/>
  <c r="R46" i="8"/>
  <c r="S46" i="8"/>
  <c r="T46" i="8"/>
  <c r="R47" i="8"/>
  <c r="S47" i="8"/>
  <c r="T47" i="8"/>
  <c r="R48" i="8"/>
  <c r="S48" i="8"/>
  <c r="T48" i="8"/>
  <c r="R49" i="8"/>
  <c r="S49" i="8"/>
  <c r="T49" i="8"/>
  <c r="R50" i="8"/>
  <c r="S50" i="8"/>
  <c r="T50" i="8"/>
  <c r="R51" i="8"/>
  <c r="S51" i="8"/>
  <c r="T51" i="8"/>
  <c r="R52" i="8"/>
  <c r="S52" i="8"/>
  <c r="T52" i="8"/>
  <c r="T33" i="8"/>
  <c r="S33" i="8"/>
  <c r="R33" i="8"/>
  <c r="Q40" i="8" l="1"/>
  <c r="Q48" i="8"/>
  <c r="Q36" i="8"/>
  <c r="Q44" i="8"/>
  <c r="Q35" i="8"/>
  <c r="Q47" i="8"/>
  <c r="Q39" i="8"/>
  <c r="Q43" i="8"/>
  <c r="Q41" i="8"/>
  <c r="Q37" i="8"/>
  <c r="Q50" i="8"/>
  <c r="Q46" i="8"/>
  <c r="Q42" i="8"/>
  <c r="Q38" i="8"/>
  <c r="Q45" i="8"/>
  <c r="Q52" i="8"/>
  <c r="Q51" i="8"/>
  <c r="Q49" i="8"/>
  <c r="Q33" i="8"/>
  <c r="I464" i="2" l="1"/>
  <c r="E464" i="2"/>
  <c r="L430" i="2"/>
  <c r="R396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45" i="2"/>
  <c r="M390" i="2"/>
  <c r="M391" i="2"/>
  <c r="C390" i="2"/>
  <c r="D390" i="2"/>
  <c r="E390" i="2"/>
  <c r="F390" i="2"/>
  <c r="G390" i="2"/>
  <c r="H390" i="2"/>
  <c r="I390" i="2"/>
  <c r="J390" i="2"/>
  <c r="K390" i="2"/>
  <c r="L390" i="2"/>
  <c r="C391" i="2"/>
  <c r="D391" i="2"/>
  <c r="E391" i="2"/>
  <c r="F391" i="2"/>
  <c r="G391" i="2"/>
  <c r="H391" i="2"/>
  <c r="I391" i="2"/>
  <c r="J391" i="2"/>
  <c r="K391" i="2"/>
  <c r="L391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U398" i="2"/>
  <c r="R398" i="2"/>
  <c r="R397" i="2"/>
  <c r="Q398" i="2"/>
  <c r="D336" i="2"/>
  <c r="D261" i="2" s="1"/>
  <c r="E336" i="2"/>
  <c r="E261" i="2" s="1"/>
  <c r="F335" i="2"/>
  <c r="F336" i="2" s="1"/>
  <c r="F261" i="2" s="1"/>
  <c r="G335" i="2"/>
  <c r="G336" i="2" s="1"/>
  <c r="G261" i="2" s="1"/>
  <c r="H335" i="2"/>
  <c r="H336" i="2" s="1"/>
  <c r="H261" i="2" s="1"/>
  <c r="I335" i="2"/>
  <c r="I336" i="2" s="1"/>
  <c r="I261" i="2" s="1"/>
  <c r="J335" i="2"/>
  <c r="J336" i="2" s="1"/>
  <c r="J261" i="2" s="1"/>
  <c r="K335" i="2"/>
  <c r="K336" i="2" s="1"/>
  <c r="K261" i="2" s="1"/>
  <c r="R451" i="2"/>
  <c r="R452" i="2"/>
  <c r="O451" i="2"/>
  <c r="O452" i="2"/>
  <c r="O390" i="2"/>
  <c r="O389" i="2" s="1"/>
  <c r="O388" i="2" s="1"/>
  <c r="O387" i="2" s="1"/>
  <c r="V317" i="2"/>
  <c r="W316" i="2"/>
  <c r="W318" i="2"/>
  <c r="W319" i="2"/>
  <c r="W315" i="2"/>
  <c r="T316" i="2"/>
  <c r="T317" i="2"/>
  <c r="T318" i="2"/>
  <c r="T329" i="2" s="1"/>
  <c r="T319" i="2"/>
  <c r="T315" i="2"/>
  <c r="Q316" i="2"/>
  <c r="Q317" i="2"/>
  <c r="Q318" i="2"/>
  <c r="Q329" i="2" s="1"/>
  <c r="Q315" i="2"/>
  <c r="Q327" i="2" s="1"/>
  <c r="O320" i="2"/>
  <c r="O319" i="2" s="1"/>
  <c r="O318" i="2" s="1"/>
  <c r="W242" i="2"/>
  <c r="W254" i="2" s="1"/>
  <c r="W243" i="2"/>
  <c r="T242" i="2"/>
  <c r="T243" i="2"/>
  <c r="Q241" i="2"/>
  <c r="Q242" i="2"/>
  <c r="Q243" i="2"/>
  <c r="O244" i="2"/>
  <c r="O243" i="2" s="1"/>
  <c r="O242" i="2" s="1"/>
  <c r="Q332" i="2" l="1"/>
  <c r="L335" i="2"/>
  <c r="L332" i="2"/>
  <c r="Q254" i="2"/>
  <c r="W328" i="2"/>
  <c r="G13" i="14" s="1"/>
  <c r="W327" i="2"/>
  <c r="W332" i="2" s="1"/>
  <c r="Q328" i="2"/>
  <c r="W329" i="2"/>
  <c r="T254" i="2"/>
  <c r="T328" i="2"/>
  <c r="G4" i="14" s="1"/>
  <c r="T327" i="2"/>
  <c r="T332" i="2" s="1"/>
  <c r="V327" i="2"/>
  <c r="V328" i="2"/>
  <c r="D13" i="14"/>
  <c r="D12" i="14"/>
  <c r="L336" i="2"/>
  <c r="L261" i="2" s="1"/>
  <c r="T451" i="2"/>
  <c r="Q451" i="2"/>
  <c r="T452" i="2"/>
  <c r="Q452" i="2"/>
  <c r="B390" i="2"/>
  <c r="B391" i="2"/>
  <c r="V332" i="2" l="1"/>
  <c r="M332" i="2" s="1"/>
  <c r="M335" i="2"/>
  <c r="AW53" i="2"/>
  <c r="AX53" i="2"/>
  <c r="AY53" i="2"/>
  <c r="AZ53" i="2"/>
  <c r="AC54" i="2"/>
  <c r="AD54" i="2"/>
  <c r="AE54" i="2"/>
  <c r="AF54" i="2"/>
  <c r="AG54" i="2"/>
  <c r="AH54" i="2"/>
  <c r="AO54" i="2"/>
  <c r="AP54" i="2"/>
  <c r="AQ54" i="2"/>
  <c r="AR54" i="2"/>
  <c r="AS54" i="2"/>
  <c r="AT54" i="2"/>
  <c r="AU54" i="2"/>
  <c r="AA54" i="2" l="1"/>
  <c r="AB54" i="2"/>
  <c r="BO46" i="1"/>
  <c r="BP46" i="1"/>
  <c r="BQ46" i="1"/>
  <c r="BR46" i="1"/>
  <c r="BS46" i="1"/>
  <c r="BT46" i="1"/>
  <c r="BU46" i="1"/>
  <c r="BV46" i="1"/>
  <c r="BW46" i="1"/>
  <c r="BX46" i="1"/>
  <c r="BY46" i="1"/>
  <c r="BZ46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M54" i="1"/>
  <c r="AN54" i="1"/>
  <c r="AI53" i="1" l="1"/>
  <c r="AJ53" i="1" l="1"/>
  <c r="AH53" i="1"/>
  <c r="AA54" i="1"/>
  <c r="C61" i="1"/>
  <c r="D61" i="1"/>
  <c r="E61" i="1"/>
  <c r="F61" i="1"/>
  <c r="G61" i="1"/>
  <c r="H61" i="1"/>
  <c r="I61" i="1"/>
  <c r="J61" i="1"/>
  <c r="K61" i="1"/>
  <c r="L61" i="1"/>
  <c r="M61" i="1"/>
  <c r="B61" i="1"/>
  <c r="AO50" i="2"/>
  <c r="AP50" i="2"/>
  <c r="AQ50" i="2"/>
  <c r="AR50" i="2"/>
  <c r="AS50" i="2"/>
  <c r="AT50" i="2"/>
  <c r="AU50" i="2"/>
  <c r="AV50" i="2"/>
  <c r="AW50" i="2"/>
  <c r="AX50" i="2"/>
  <c r="AY50" i="2"/>
  <c r="AZ50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AO53" i="2"/>
  <c r="AP53" i="2"/>
  <c r="AQ53" i="2"/>
  <c r="AR53" i="2"/>
  <c r="AS53" i="2"/>
  <c r="AT53" i="2"/>
  <c r="AU53" i="2"/>
  <c r="AV53" i="2"/>
  <c r="AK50" i="2"/>
  <c r="AL50" i="2"/>
  <c r="AB51" i="2"/>
  <c r="AK51" i="2"/>
  <c r="AB52" i="2"/>
  <c r="AK52" i="2"/>
  <c r="AL52" i="2"/>
  <c r="AN49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AE50" i="2"/>
  <c r="AE51" i="2"/>
  <c r="AE52" i="2"/>
  <c r="AF53" i="2"/>
  <c r="S7" i="2"/>
  <c r="S62" i="2" l="1"/>
  <c r="R18" i="2"/>
  <c r="AE53" i="2"/>
  <c r="AA52" i="2"/>
  <c r="AH53" i="2"/>
  <c r="AD53" i="2"/>
  <c r="AG53" i="2"/>
  <c r="AC53" i="2"/>
  <c r="R51" i="2"/>
  <c r="AH51" i="2"/>
  <c r="AD51" i="2"/>
  <c r="AH50" i="2"/>
  <c r="AD50" i="2"/>
  <c r="AH52" i="2"/>
  <c r="AG52" i="2"/>
  <c r="AC52" i="2"/>
  <c r="AG51" i="2"/>
  <c r="AC51" i="2"/>
  <c r="AG50" i="2"/>
  <c r="AC50" i="2"/>
  <c r="AD52" i="2"/>
  <c r="AJ52" i="2"/>
  <c r="AF52" i="2"/>
  <c r="AJ51" i="2"/>
  <c r="AF51" i="2"/>
  <c r="AJ50" i="2"/>
  <c r="AF50" i="2"/>
  <c r="AI52" i="2"/>
  <c r="AI51" i="2"/>
  <c r="AI50" i="2"/>
  <c r="A235" i="1"/>
  <c r="A169" i="1"/>
  <c r="O169" i="1" s="1"/>
  <c r="A114" i="1"/>
  <c r="AD53" i="1" l="1"/>
  <c r="AG53" i="1"/>
  <c r="AE53" i="1"/>
  <c r="AB53" i="1"/>
  <c r="AC53" i="1"/>
  <c r="AF53" i="1"/>
  <c r="AL51" i="2"/>
  <c r="AA53" i="2"/>
  <c r="AB53" i="2"/>
  <c r="S461" i="2"/>
  <c r="S460" i="2"/>
  <c r="S459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06" i="2"/>
  <c r="Q449" i="2"/>
  <c r="Q450" i="2"/>
  <c r="Q448" i="2"/>
  <c r="T448" i="2"/>
  <c r="T449" i="2"/>
  <c r="T450" i="2"/>
  <c r="O386" i="2"/>
  <c r="O385" i="2" s="1"/>
  <c r="O384" i="2" s="1"/>
  <c r="O383" i="2" s="1"/>
  <c r="O382" i="2" s="1"/>
  <c r="O381" i="2" s="1"/>
  <c r="O380" i="2" s="1"/>
  <c r="O379" i="2" s="1"/>
  <c r="O378" i="2" s="1"/>
  <c r="O377" i="2" s="1"/>
  <c r="O376" i="2" s="1"/>
  <c r="O375" i="2" s="1"/>
  <c r="O374" i="2" s="1"/>
  <c r="O373" i="2" s="1"/>
  <c r="O372" i="2" s="1"/>
  <c r="O371" i="2" s="1"/>
  <c r="O370" i="2" s="1"/>
  <c r="O369" i="2" s="1"/>
  <c r="O368" i="2" s="1"/>
  <c r="O367" i="2" s="1"/>
  <c r="O366" i="2" s="1"/>
  <c r="O365" i="2" s="1"/>
  <c r="O364" i="2" s="1"/>
  <c r="O363" i="2" s="1"/>
  <c r="O362" i="2" s="1"/>
  <c r="O361" i="2" s="1"/>
  <c r="O360" i="2" s="1"/>
  <c r="O359" i="2" s="1"/>
  <c r="O358" i="2" s="1"/>
  <c r="O357" i="2" s="1"/>
  <c r="O356" i="2" s="1"/>
  <c r="O355" i="2" s="1"/>
  <c r="O354" i="2" s="1"/>
  <c r="O353" i="2" s="1"/>
  <c r="O352" i="2" s="1"/>
  <c r="O351" i="2" s="1"/>
  <c r="O350" i="2" s="1"/>
  <c r="O349" i="2" s="1"/>
  <c r="O348" i="2" s="1"/>
  <c r="O347" i="2" s="1"/>
  <c r="O346" i="2" s="1"/>
  <c r="O345" i="2" s="1"/>
  <c r="M387" i="2"/>
  <c r="M388" i="2"/>
  <c r="C389" i="2"/>
  <c r="C387" i="2"/>
  <c r="D387" i="2"/>
  <c r="E387" i="2"/>
  <c r="F387" i="2"/>
  <c r="G387" i="2"/>
  <c r="H387" i="2"/>
  <c r="I387" i="2"/>
  <c r="J387" i="2"/>
  <c r="K387" i="2"/>
  <c r="L387" i="2"/>
  <c r="C388" i="2"/>
  <c r="D388" i="2"/>
  <c r="E388" i="2"/>
  <c r="F388" i="2"/>
  <c r="G388" i="2"/>
  <c r="H388" i="2"/>
  <c r="I388" i="2"/>
  <c r="J388" i="2"/>
  <c r="K388" i="2"/>
  <c r="L388" i="2"/>
  <c r="D389" i="2"/>
  <c r="E389" i="2"/>
  <c r="F389" i="2"/>
  <c r="G389" i="2"/>
  <c r="H389" i="2"/>
  <c r="I389" i="2"/>
  <c r="J389" i="2"/>
  <c r="K389" i="2"/>
  <c r="L389" i="2"/>
  <c r="M389" i="2"/>
  <c r="B388" i="2"/>
  <c r="B389" i="2"/>
  <c r="O241" i="2"/>
  <c r="O240" i="2" s="1"/>
  <c r="O239" i="2" s="1"/>
  <c r="O238" i="2" s="1"/>
  <c r="O237" i="2" s="1"/>
  <c r="O236" i="2" s="1"/>
  <c r="O235" i="2" s="1"/>
  <c r="O234" i="2" s="1"/>
  <c r="O233" i="2" s="1"/>
  <c r="O232" i="2" s="1"/>
  <c r="O231" i="2" s="1"/>
  <c r="O230" i="2" s="1"/>
  <c r="O229" i="2" s="1"/>
  <c r="O228" i="2" s="1"/>
  <c r="O227" i="2" s="1"/>
  <c r="O226" i="2" s="1"/>
  <c r="O225" i="2" s="1"/>
  <c r="O224" i="2" s="1"/>
  <c r="O223" i="2" s="1"/>
  <c r="O222" i="2" s="1"/>
  <c r="O221" i="2" s="1"/>
  <c r="O220" i="2" s="1"/>
  <c r="O219" i="2" s="1"/>
  <c r="O218" i="2" s="1"/>
  <c r="O217" i="2" s="1"/>
  <c r="O216" i="2" s="1"/>
  <c r="O215" i="2" s="1"/>
  <c r="O214" i="2" s="1"/>
  <c r="O213" i="2" s="1"/>
  <c r="O212" i="2" s="1"/>
  <c r="O211" i="2" s="1"/>
  <c r="O210" i="2" s="1"/>
  <c r="O209" i="2" s="1"/>
  <c r="O208" i="2" s="1"/>
  <c r="O207" i="2" s="1"/>
  <c r="O206" i="2" s="1"/>
  <c r="O205" i="2" s="1"/>
  <c r="O204" i="2" s="1"/>
  <c r="O203" i="2" s="1"/>
  <c r="O202" i="2" s="1"/>
  <c r="O201" i="2" s="1"/>
  <c r="O200" i="2" s="1"/>
  <c r="O199" i="2" s="1"/>
  <c r="O198" i="2" s="1"/>
  <c r="O197" i="2" s="1"/>
  <c r="O317" i="2"/>
  <c r="O316" i="2" s="1"/>
  <c r="O315" i="2" s="1"/>
  <c r="O314" i="2" s="1"/>
  <c r="O313" i="2" s="1"/>
  <c r="O312" i="2" s="1"/>
  <c r="O311" i="2" s="1"/>
  <c r="O310" i="2" s="1"/>
  <c r="O309" i="2" s="1"/>
  <c r="O308" i="2" s="1"/>
  <c r="O307" i="2" s="1"/>
  <c r="O306" i="2" s="1"/>
  <c r="O305" i="2" s="1"/>
  <c r="O304" i="2" s="1"/>
  <c r="O303" i="2" s="1"/>
  <c r="O302" i="2" s="1"/>
  <c r="O301" i="2" s="1"/>
  <c r="O300" i="2" s="1"/>
  <c r="O299" i="2" s="1"/>
  <c r="O298" i="2" s="1"/>
  <c r="O297" i="2" s="1"/>
  <c r="O296" i="2" s="1"/>
  <c r="O295" i="2" s="1"/>
  <c r="O294" i="2" s="1"/>
  <c r="O293" i="2" s="1"/>
  <c r="O292" i="2" s="1"/>
  <c r="O291" i="2" s="1"/>
  <c r="O290" i="2" s="1"/>
  <c r="O289" i="2" s="1"/>
  <c r="O288" i="2" s="1"/>
  <c r="O287" i="2" s="1"/>
  <c r="O286" i="2" s="1"/>
  <c r="O285" i="2" s="1"/>
  <c r="O284" i="2" s="1"/>
  <c r="O283" i="2" s="1"/>
  <c r="O282" i="2" s="1"/>
  <c r="O281" i="2" s="1"/>
  <c r="O280" i="2" s="1"/>
  <c r="O279" i="2" s="1"/>
  <c r="O278" i="2" s="1"/>
  <c r="O277" i="2" s="1"/>
  <c r="O276" i="2" s="1"/>
  <c r="O275" i="2" s="1"/>
  <c r="O274" i="2" s="1"/>
  <c r="O273" i="2" s="1"/>
  <c r="G333" i="2"/>
  <c r="V241" i="2"/>
  <c r="AA51" i="2"/>
  <c r="K334" i="2"/>
  <c r="W239" i="2"/>
  <c r="W240" i="2"/>
  <c r="T240" i="2"/>
  <c r="T241" i="2"/>
  <c r="Q239" i="2"/>
  <c r="Q240" i="2"/>
  <c r="R50" i="2"/>
  <c r="A50" i="1"/>
  <c r="V234" i="2"/>
  <c r="B387" i="2"/>
  <c r="K386" i="2"/>
  <c r="J386" i="2"/>
  <c r="I386" i="2"/>
  <c r="H386" i="2"/>
  <c r="G386" i="2"/>
  <c r="F386" i="2"/>
  <c r="M386" i="2"/>
  <c r="L386" i="2"/>
  <c r="V238" i="2"/>
  <c r="V253" i="2" s="1"/>
  <c r="T239" i="2"/>
  <c r="T238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R49" i="2"/>
  <c r="AB49" i="2" s="1"/>
  <c r="AJ49" i="2"/>
  <c r="W29" i="7"/>
  <c r="W30" i="7" s="1"/>
  <c r="W31" i="7" s="1"/>
  <c r="W32" i="7" s="1"/>
  <c r="W33" i="7" s="1"/>
  <c r="W34" i="7" s="1"/>
  <c r="W35" i="7" s="1"/>
  <c r="W36" i="7" s="1"/>
  <c r="W37" i="7" s="1"/>
  <c r="W38" i="7" s="1"/>
  <c r="W39" i="7" s="1"/>
  <c r="W40" i="7" s="1"/>
  <c r="W41" i="7" s="1"/>
  <c r="W42" i="7" s="1"/>
  <c r="W43" i="7" s="1"/>
  <c r="W44" i="7" s="1"/>
  <c r="W45" i="7" s="1"/>
  <c r="W46" i="7" s="1"/>
  <c r="W47" i="7" s="1"/>
  <c r="Q47" i="6"/>
  <c r="S46" i="6"/>
  <c r="Q46" i="6"/>
  <c r="S45" i="6"/>
  <c r="Q45" i="6"/>
  <c r="S44" i="6"/>
  <c r="Q44" i="6"/>
  <c r="S43" i="6"/>
  <c r="Q43" i="6"/>
  <c r="S42" i="6"/>
  <c r="Q42" i="6"/>
  <c r="S41" i="6"/>
  <c r="Q41" i="6"/>
  <c r="S40" i="6"/>
  <c r="Q40" i="6"/>
  <c r="S36" i="6"/>
  <c r="Q36" i="6"/>
  <c r="S35" i="6"/>
  <c r="Q35" i="6"/>
  <c r="S34" i="6"/>
  <c r="S33" i="6"/>
  <c r="Q33" i="6"/>
  <c r="S32" i="6"/>
  <c r="Q32" i="6"/>
  <c r="S30" i="6"/>
  <c r="Q30" i="6"/>
  <c r="S29" i="6"/>
  <c r="Q29" i="6"/>
  <c r="P29" i="6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S28" i="6"/>
  <c r="Q28" i="6"/>
  <c r="S42" i="5"/>
  <c r="S43" i="5"/>
  <c r="S41" i="5"/>
  <c r="S37" i="5"/>
  <c r="S36" i="5"/>
  <c r="S35" i="5"/>
  <c r="S30" i="5"/>
  <c r="S29" i="5"/>
  <c r="S46" i="5"/>
  <c r="S45" i="5"/>
  <c r="S44" i="5"/>
  <c r="S40" i="5"/>
  <c r="S39" i="5"/>
  <c r="S38" i="5"/>
  <c r="S34" i="5"/>
  <c r="S33" i="5"/>
  <c r="S32" i="5"/>
  <c r="S31" i="5"/>
  <c r="S28" i="5"/>
  <c r="Q44" i="5"/>
  <c r="Q47" i="5"/>
  <c r="Q45" i="5"/>
  <c r="Q43" i="5"/>
  <c r="Q42" i="5"/>
  <c r="Q41" i="5"/>
  <c r="Q33" i="5"/>
  <c r="Q34" i="5"/>
  <c r="Q35" i="5"/>
  <c r="Q36" i="5"/>
  <c r="Q37" i="5"/>
  <c r="Q38" i="5"/>
  <c r="Q32" i="5"/>
  <c r="Q31" i="5"/>
  <c r="Q30" i="5"/>
  <c r="Q46" i="5"/>
  <c r="Q40" i="5"/>
  <c r="Q39" i="5"/>
  <c r="Q29" i="5"/>
  <c r="Q28" i="5"/>
  <c r="P29" i="5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34" i="7"/>
  <c r="P35" i="7" s="1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P46" i="7" s="1"/>
  <c r="P47" i="7" s="1"/>
  <c r="W233" i="2"/>
  <c r="W235" i="2"/>
  <c r="W236" i="2"/>
  <c r="W237" i="2"/>
  <c r="T231" i="2"/>
  <c r="T232" i="2"/>
  <c r="T235" i="2"/>
  <c r="T236" i="2"/>
  <c r="S237" i="2"/>
  <c r="S234" i="2"/>
  <c r="S233" i="2"/>
  <c r="Q231" i="2"/>
  <c r="Q232" i="2"/>
  <c r="Q233" i="2"/>
  <c r="Q234" i="2"/>
  <c r="Q235" i="2"/>
  <c r="Q236" i="2"/>
  <c r="Q237" i="2"/>
  <c r="C401" i="2"/>
  <c r="D401" i="2"/>
  <c r="M401" i="2"/>
  <c r="B401" i="2"/>
  <c r="B406" i="2"/>
  <c r="B407" i="2"/>
  <c r="B408" i="2"/>
  <c r="B409" i="2"/>
  <c r="B410" i="2"/>
  <c r="B411" i="2"/>
  <c r="B412" i="2"/>
  <c r="F464" i="2"/>
  <c r="G464" i="2"/>
  <c r="H464" i="2"/>
  <c r="J464" i="2"/>
  <c r="K464" i="2"/>
  <c r="D386" i="2"/>
  <c r="D383" i="2"/>
  <c r="D384" i="2"/>
  <c r="D378" i="2"/>
  <c r="D379" i="2"/>
  <c r="D380" i="2"/>
  <c r="BO41" i="1"/>
  <c r="BP41" i="1"/>
  <c r="BQ41" i="1"/>
  <c r="BR41" i="1"/>
  <c r="BS41" i="1"/>
  <c r="BT41" i="1"/>
  <c r="BU41" i="1"/>
  <c r="BV41" i="1"/>
  <c r="BW41" i="1"/>
  <c r="BX41" i="1"/>
  <c r="BY41" i="1"/>
  <c r="BZ41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F109" i="7"/>
  <c r="G109" i="7"/>
  <c r="H109" i="7"/>
  <c r="I109" i="7"/>
  <c r="J109" i="7"/>
  <c r="K109" i="7"/>
  <c r="L109" i="7"/>
  <c r="M109" i="7"/>
  <c r="B40" i="7"/>
  <c r="C40" i="7"/>
  <c r="C102" i="7" s="1"/>
  <c r="C198" i="7" s="1"/>
  <c r="D40" i="7"/>
  <c r="D102" i="7" s="1"/>
  <c r="D198" i="7" s="1"/>
  <c r="E40" i="7"/>
  <c r="E102" i="7" s="1"/>
  <c r="E198" i="7" s="1"/>
  <c r="F40" i="7"/>
  <c r="F102" i="7" s="1"/>
  <c r="F198" i="7" s="1"/>
  <c r="G40" i="7"/>
  <c r="G102" i="7" s="1"/>
  <c r="G198" i="7" s="1"/>
  <c r="H40" i="7"/>
  <c r="H102" i="7" s="1"/>
  <c r="H198" i="7" s="1"/>
  <c r="I40" i="7"/>
  <c r="I102" i="7" s="1"/>
  <c r="I198" i="7" s="1"/>
  <c r="J40" i="7"/>
  <c r="J102" i="7" s="1"/>
  <c r="J198" i="7" s="1"/>
  <c r="K40" i="7"/>
  <c r="K102" i="7" s="1"/>
  <c r="K198" i="7" s="1"/>
  <c r="L40" i="7"/>
  <c r="L102" i="7" s="1"/>
  <c r="L198" i="7" s="1"/>
  <c r="M40" i="7"/>
  <c r="B41" i="7"/>
  <c r="B103" i="7" s="1"/>
  <c r="C41" i="7"/>
  <c r="C103" i="7" s="1"/>
  <c r="D41" i="7"/>
  <c r="D103" i="7" s="1"/>
  <c r="E41" i="7"/>
  <c r="E103" i="7" s="1"/>
  <c r="F41" i="7"/>
  <c r="F103" i="7" s="1"/>
  <c r="G41" i="7"/>
  <c r="G103" i="7" s="1"/>
  <c r="H41" i="7"/>
  <c r="H103" i="7" s="1"/>
  <c r="I41" i="7"/>
  <c r="I103" i="7" s="1"/>
  <c r="J41" i="7"/>
  <c r="J103" i="7" s="1"/>
  <c r="K41" i="7"/>
  <c r="K103" i="7" s="1"/>
  <c r="L41" i="7"/>
  <c r="L103" i="7" s="1"/>
  <c r="M41" i="7"/>
  <c r="M103" i="7" s="1"/>
  <c r="B42" i="7"/>
  <c r="B104" i="7" s="1"/>
  <c r="C42" i="7"/>
  <c r="C104" i="7" s="1"/>
  <c r="D42" i="7"/>
  <c r="E42" i="7"/>
  <c r="F42" i="7"/>
  <c r="F104" i="7" s="1"/>
  <c r="G42" i="7"/>
  <c r="G104" i="7" s="1"/>
  <c r="H42" i="7"/>
  <c r="H104" i="7" s="1"/>
  <c r="I42" i="7"/>
  <c r="I104" i="7" s="1"/>
  <c r="J42" i="7"/>
  <c r="J104" i="7" s="1"/>
  <c r="K42" i="7"/>
  <c r="K104" i="7" s="1"/>
  <c r="L42" i="7"/>
  <c r="L104" i="7" s="1"/>
  <c r="M42" i="7"/>
  <c r="M104" i="7" s="1"/>
  <c r="B43" i="7"/>
  <c r="B105" i="7" s="1"/>
  <c r="C43" i="7"/>
  <c r="C105" i="7" s="1"/>
  <c r="D43" i="7"/>
  <c r="D105" i="7" s="1"/>
  <c r="E43" i="7"/>
  <c r="E105" i="7" s="1"/>
  <c r="F43" i="7"/>
  <c r="F105" i="7" s="1"/>
  <c r="G43" i="7"/>
  <c r="G105" i="7" s="1"/>
  <c r="H43" i="7"/>
  <c r="H105" i="7" s="1"/>
  <c r="I43" i="7"/>
  <c r="I105" i="7" s="1"/>
  <c r="J43" i="7"/>
  <c r="J105" i="7" s="1"/>
  <c r="K43" i="7"/>
  <c r="K105" i="7" s="1"/>
  <c r="L43" i="7"/>
  <c r="M43" i="7"/>
  <c r="M105" i="7" s="1"/>
  <c r="B44" i="7"/>
  <c r="B106" i="7" s="1"/>
  <c r="C44" i="7"/>
  <c r="D44" i="7"/>
  <c r="D106" i="7" s="1"/>
  <c r="E44" i="7"/>
  <c r="E106" i="7" s="1"/>
  <c r="F44" i="7"/>
  <c r="F106" i="7" s="1"/>
  <c r="G44" i="7"/>
  <c r="G106" i="7" s="1"/>
  <c r="H44" i="7"/>
  <c r="H106" i="7" s="1"/>
  <c r="I44" i="7"/>
  <c r="I106" i="7" s="1"/>
  <c r="J44" i="7"/>
  <c r="J106" i="7" s="1"/>
  <c r="K44" i="7"/>
  <c r="K106" i="7" s="1"/>
  <c r="L44" i="7"/>
  <c r="L106" i="7" s="1"/>
  <c r="M44" i="7"/>
  <c r="M106" i="7" s="1"/>
  <c r="B45" i="7"/>
  <c r="B107" i="7" s="1"/>
  <c r="C45" i="7"/>
  <c r="C107" i="7" s="1"/>
  <c r="D45" i="7"/>
  <c r="E45" i="7"/>
  <c r="E107" i="7" s="1"/>
  <c r="F45" i="7"/>
  <c r="F107" i="7" s="1"/>
  <c r="G45" i="7"/>
  <c r="G107" i="7" s="1"/>
  <c r="H45" i="7"/>
  <c r="H107" i="7" s="1"/>
  <c r="I45" i="7"/>
  <c r="I107" i="7" s="1"/>
  <c r="J45" i="7"/>
  <c r="J107" i="7" s="1"/>
  <c r="K45" i="7"/>
  <c r="K107" i="7" s="1"/>
  <c r="L45" i="7"/>
  <c r="L107" i="7" s="1"/>
  <c r="M45" i="7"/>
  <c r="M107" i="7" s="1"/>
  <c r="B46" i="7"/>
  <c r="C46" i="7"/>
  <c r="C108" i="7" s="1"/>
  <c r="D46" i="7"/>
  <c r="D108" i="7" s="1"/>
  <c r="E46" i="7"/>
  <c r="E108" i="7" s="1"/>
  <c r="F46" i="7"/>
  <c r="G46" i="7"/>
  <c r="G108" i="7" s="1"/>
  <c r="H46" i="7"/>
  <c r="H108" i="7" s="1"/>
  <c r="I46" i="7"/>
  <c r="I108" i="7" s="1"/>
  <c r="J46" i="7"/>
  <c r="J108" i="7" s="1"/>
  <c r="K46" i="7"/>
  <c r="K108" i="7" s="1"/>
  <c r="L46" i="7"/>
  <c r="L108" i="7" s="1"/>
  <c r="M46" i="7"/>
  <c r="M108" i="7" s="1"/>
  <c r="B47" i="7"/>
  <c r="B109" i="7" s="1"/>
  <c r="C47" i="7"/>
  <c r="C109" i="7" s="1"/>
  <c r="D47" i="7"/>
  <c r="D109" i="7" s="1"/>
  <c r="E47" i="7"/>
  <c r="R47" i="7" s="1"/>
  <c r="Y21" i="13"/>
  <c r="Z21" i="13"/>
  <c r="AA21" i="13"/>
  <c r="AB21" i="13"/>
  <c r="Y22" i="13"/>
  <c r="Z22" i="13"/>
  <c r="AA22" i="13"/>
  <c r="AB22" i="13"/>
  <c r="Y23" i="13"/>
  <c r="Z23" i="13"/>
  <c r="AA23" i="13"/>
  <c r="AB23" i="13"/>
  <c r="Y24" i="13"/>
  <c r="Z24" i="13"/>
  <c r="AA24" i="13"/>
  <c r="AB24" i="13"/>
  <c r="Z25" i="13"/>
  <c r="AA25" i="13"/>
  <c r="AB25" i="13"/>
  <c r="Z26" i="13"/>
  <c r="AA26" i="13"/>
  <c r="AB26" i="13"/>
  <c r="Y27" i="13"/>
  <c r="Z27" i="13"/>
  <c r="AA27" i="13"/>
  <c r="AB27" i="13"/>
  <c r="Y28" i="13"/>
  <c r="Z28" i="13"/>
  <c r="AA28" i="13"/>
  <c r="AB28" i="13"/>
  <c r="Y29" i="13"/>
  <c r="Z29" i="13"/>
  <c r="AA29" i="13"/>
  <c r="AB29" i="13"/>
  <c r="Y30" i="13"/>
  <c r="AA30" i="13"/>
  <c r="AA31" i="13"/>
  <c r="AB31" i="13"/>
  <c r="Z32" i="13"/>
  <c r="AA32" i="13"/>
  <c r="AB32" i="13"/>
  <c r="AA33" i="13"/>
  <c r="AB33" i="13"/>
  <c r="Y34" i="13"/>
  <c r="Z34" i="13"/>
  <c r="AB34" i="13"/>
  <c r="Y35" i="13"/>
  <c r="Z35" i="13"/>
  <c r="AA35" i="13"/>
  <c r="AB35" i="13"/>
  <c r="Y36" i="13"/>
  <c r="Z36" i="13"/>
  <c r="AA36" i="13"/>
  <c r="AB36" i="13"/>
  <c r="Y37" i="13"/>
  <c r="Z37" i="13"/>
  <c r="AA37" i="13"/>
  <c r="AB37" i="13"/>
  <c r="Y38" i="13"/>
  <c r="Z38" i="13"/>
  <c r="AA38" i="13"/>
  <c r="AB38" i="13"/>
  <c r="Y39" i="13"/>
  <c r="Z39" i="13"/>
  <c r="AA39" i="13"/>
  <c r="AB39" i="13"/>
  <c r="Y40" i="13"/>
  <c r="Z40" i="13"/>
  <c r="AA40" i="13"/>
  <c r="AB40" i="13"/>
  <c r="Y41" i="13"/>
  <c r="Z41" i="13"/>
  <c r="AA41" i="13"/>
  <c r="AB41" i="13"/>
  <c r="Y42" i="13"/>
  <c r="Z42" i="13"/>
  <c r="AA42" i="13"/>
  <c r="AB42" i="13"/>
  <c r="Y43" i="13"/>
  <c r="Z43" i="13"/>
  <c r="AA43" i="13"/>
  <c r="AB43" i="13"/>
  <c r="Y44" i="13"/>
  <c r="Z44" i="13"/>
  <c r="AA44" i="13"/>
  <c r="AB44" i="13"/>
  <c r="Y45" i="13"/>
  <c r="Z45" i="13"/>
  <c r="AA45" i="13"/>
  <c r="AB45" i="13"/>
  <c r="R21" i="13"/>
  <c r="S21" i="13"/>
  <c r="T21" i="13"/>
  <c r="U21" i="13"/>
  <c r="V21" i="13"/>
  <c r="W21" i="13"/>
  <c r="X21" i="13"/>
  <c r="R22" i="13"/>
  <c r="S22" i="13"/>
  <c r="T22" i="13"/>
  <c r="U22" i="13"/>
  <c r="V22" i="13"/>
  <c r="W22" i="13"/>
  <c r="X22" i="13"/>
  <c r="R23" i="13"/>
  <c r="T23" i="13"/>
  <c r="U23" i="13"/>
  <c r="V23" i="13"/>
  <c r="W23" i="13"/>
  <c r="R24" i="13"/>
  <c r="S24" i="13"/>
  <c r="T24" i="13"/>
  <c r="U24" i="13"/>
  <c r="V24" i="13"/>
  <c r="T25" i="13"/>
  <c r="U25" i="13"/>
  <c r="W25" i="13"/>
  <c r="X25" i="13"/>
  <c r="S26" i="13"/>
  <c r="T26" i="13"/>
  <c r="U26" i="13"/>
  <c r="V26" i="13"/>
  <c r="W26" i="13"/>
  <c r="X26" i="13"/>
  <c r="R27" i="13"/>
  <c r="S27" i="13"/>
  <c r="U27" i="13"/>
  <c r="W27" i="13"/>
  <c r="X27" i="13"/>
  <c r="S28" i="13"/>
  <c r="T28" i="13"/>
  <c r="U28" i="13"/>
  <c r="V28" i="13"/>
  <c r="W28" i="13"/>
  <c r="X28" i="13"/>
  <c r="R29" i="13"/>
  <c r="S29" i="13"/>
  <c r="W29" i="13"/>
  <c r="X29" i="13"/>
  <c r="T30" i="13"/>
  <c r="V30" i="13"/>
  <c r="W30" i="13"/>
  <c r="R31" i="13"/>
  <c r="S31" i="13"/>
  <c r="R32" i="13"/>
  <c r="S32" i="13"/>
  <c r="T32" i="13"/>
  <c r="U32" i="13"/>
  <c r="V32" i="13"/>
  <c r="W32" i="13"/>
  <c r="X32" i="13"/>
  <c r="S33" i="13"/>
  <c r="T33" i="13"/>
  <c r="U33" i="13"/>
  <c r="V33" i="13"/>
  <c r="X33" i="13"/>
  <c r="R34" i="13"/>
  <c r="S34" i="13"/>
  <c r="V34" i="13"/>
  <c r="W34" i="13"/>
  <c r="X34" i="13"/>
  <c r="R35" i="13"/>
  <c r="S35" i="13"/>
  <c r="T35" i="13"/>
  <c r="V35" i="13"/>
  <c r="W35" i="13"/>
  <c r="X35" i="13"/>
  <c r="R36" i="13"/>
  <c r="S36" i="13"/>
  <c r="T36" i="13"/>
  <c r="U36" i="13"/>
  <c r="V36" i="13"/>
  <c r="W36" i="13"/>
  <c r="X36" i="13"/>
  <c r="R37" i="13"/>
  <c r="S37" i="13"/>
  <c r="T37" i="13"/>
  <c r="U37" i="13"/>
  <c r="V37" i="13"/>
  <c r="W37" i="13"/>
  <c r="X37" i="13"/>
  <c r="R38" i="13"/>
  <c r="S38" i="13"/>
  <c r="T38" i="13"/>
  <c r="U38" i="13"/>
  <c r="V38" i="13"/>
  <c r="W38" i="13"/>
  <c r="X38" i="13"/>
  <c r="R39" i="13"/>
  <c r="S39" i="13"/>
  <c r="T39" i="13"/>
  <c r="U39" i="13"/>
  <c r="V39" i="13"/>
  <c r="W39" i="13"/>
  <c r="X39" i="13"/>
  <c r="R40" i="13"/>
  <c r="S40" i="13"/>
  <c r="T40" i="13"/>
  <c r="U40" i="13"/>
  <c r="V40" i="13"/>
  <c r="W40" i="13"/>
  <c r="X40" i="13"/>
  <c r="R41" i="13"/>
  <c r="S41" i="13"/>
  <c r="T41" i="13"/>
  <c r="U41" i="13"/>
  <c r="V41" i="13"/>
  <c r="W41" i="13"/>
  <c r="X41" i="13"/>
  <c r="R42" i="13"/>
  <c r="S42" i="13"/>
  <c r="T42" i="13"/>
  <c r="U42" i="13"/>
  <c r="V42" i="13"/>
  <c r="W42" i="13"/>
  <c r="X42" i="13"/>
  <c r="R43" i="13"/>
  <c r="S43" i="13"/>
  <c r="T43" i="13"/>
  <c r="U43" i="13"/>
  <c r="V43" i="13"/>
  <c r="W43" i="13"/>
  <c r="X43" i="13"/>
  <c r="R44" i="13"/>
  <c r="S44" i="13"/>
  <c r="T44" i="13"/>
  <c r="U44" i="13"/>
  <c r="V44" i="13"/>
  <c r="W44" i="13"/>
  <c r="X44" i="13"/>
  <c r="R45" i="13"/>
  <c r="S45" i="13"/>
  <c r="T45" i="13"/>
  <c r="U45" i="13"/>
  <c r="V45" i="13"/>
  <c r="W45" i="13"/>
  <c r="X45" i="13"/>
  <c r="Q22" i="13"/>
  <c r="Q23" i="13"/>
  <c r="Q24" i="13"/>
  <c r="Q25" i="13"/>
  <c r="Q26" i="13"/>
  <c r="Q28" i="13"/>
  <c r="Q29" i="13"/>
  <c r="Q30" i="13"/>
  <c r="Q34" i="13"/>
  <c r="Q36" i="13"/>
  <c r="Q37" i="13"/>
  <c r="Q38" i="13"/>
  <c r="Q39" i="13"/>
  <c r="Q40" i="13"/>
  <c r="Q41" i="13"/>
  <c r="Q42" i="13"/>
  <c r="Q43" i="13"/>
  <c r="Q44" i="13"/>
  <c r="Q45" i="13"/>
  <c r="Q21" i="13"/>
  <c r="B441" i="2"/>
  <c r="C441" i="2"/>
  <c r="D441" i="2"/>
  <c r="T441" i="2" s="1"/>
  <c r="E441" i="2"/>
  <c r="F441" i="2"/>
  <c r="G441" i="2"/>
  <c r="H441" i="2"/>
  <c r="I441" i="2"/>
  <c r="J441" i="2"/>
  <c r="K441" i="2"/>
  <c r="L441" i="2"/>
  <c r="M441" i="2"/>
  <c r="B442" i="2"/>
  <c r="C442" i="2"/>
  <c r="D442" i="2"/>
  <c r="E442" i="2"/>
  <c r="F442" i="2"/>
  <c r="G442" i="2"/>
  <c r="H442" i="2"/>
  <c r="I442" i="2"/>
  <c r="J442" i="2"/>
  <c r="K442" i="2"/>
  <c r="L442" i="2"/>
  <c r="Q442" i="2" s="1"/>
  <c r="M442" i="2"/>
  <c r="B443" i="2"/>
  <c r="C443" i="2"/>
  <c r="D443" i="2"/>
  <c r="E443" i="2"/>
  <c r="F443" i="2"/>
  <c r="G443" i="2"/>
  <c r="H443" i="2"/>
  <c r="I443" i="2"/>
  <c r="J443" i="2"/>
  <c r="K443" i="2"/>
  <c r="L443" i="2"/>
  <c r="Q443" i="2" s="1"/>
  <c r="M443" i="2"/>
  <c r="B444" i="2"/>
  <c r="C444" i="2"/>
  <c r="D444" i="2"/>
  <c r="T444" i="2" s="1"/>
  <c r="E444" i="2"/>
  <c r="F444" i="2"/>
  <c r="G444" i="2"/>
  <c r="H444" i="2"/>
  <c r="I444" i="2"/>
  <c r="J444" i="2"/>
  <c r="K444" i="2"/>
  <c r="L444" i="2"/>
  <c r="Q444" i="2" s="1"/>
  <c r="M444" i="2"/>
  <c r="B445" i="2"/>
  <c r="C445" i="2"/>
  <c r="D445" i="2"/>
  <c r="T445" i="2" s="1"/>
  <c r="E445" i="2"/>
  <c r="F445" i="2"/>
  <c r="G445" i="2"/>
  <c r="H445" i="2"/>
  <c r="I445" i="2"/>
  <c r="J445" i="2"/>
  <c r="K445" i="2"/>
  <c r="L445" i="2"/>
  <c r="Q445" i="2" s="1"/>
  <c r="M445" i="2"/>
  <c r="B446" i="2"/>
  <c r="C446" i="2"/>
  <c r="D446" i="2"/>
  <c r="T446" i="2" s="1"/>
  <c r="E446" i="2"/>
  <c r="F446" i="2"/>
  <c r="G446" i="2"/>
  <c r="H446" i="2"/>
  <c r="I446" i="2"/>
  <c r="J446" i="2"/>
  <c r="K446" i="2"/>
  <c r="L446" i="2"/>
  <c r="Q446" i="2" s="1"/>
  <c r="M446" i="2"/>
  <c r="T447" i="2"/>
  <c r="B379" i="2"/>
  <c r="C379" i="2"/>
  <c r="E379" i="2"/>
  <c r="F379" i="2"/>
  <c r="G379" i="2"/>
  <c r="H379" i="2"/>
  <c r="I379" i="2"/>
  <c r="J379" i="2"/>
  <c r="K379" i="2"/>
  <c r="M379" i="2"/>
  <c r="B380" i="2"/>
  <c r="C380" i="2"/>
  <c r="E380" i="2"/>
  <c r="F380" i="2"/>
  <c r="G380" i="2"/>
  <c r="H380" i="2"/>
  <c r="I380" i="2"/>
  <c r="J380" i="2"/>
  <c r="K380" i="2"/>
  <c r="M380" i="2"/>
  <c r="B381" i="2"/>
  <c r="C381" i="2"/>
  <c r="D381" i="2"/>
  <c r="T381" i="2" s="1"/>
  <c r="E381" i="2"/>
  <c r="F381" i="2"/>
  <c r="G381" i="2"/>
  <c r="H381" i="2"/>
  <c r="I381" i="2"/>
  <c r="J381" i="2"/>
  <c r="K381" i="2"/>
  <c r="M381" i="2"/>
  <c r="B382" i="2"/>
  <c r="C382" i="2"/>
  <c r="D382" i="2"/>
  <c r="E382" i="2"/>
  <c r="F382" i="2"/>
  <c r="G382" i="2"/>
  <c r="H382" i="2"/>
  <c r="I382" i="2"/>
  <c r="J382" i="2"/>
  <c r="K382" i="2"/>
  <c r="M382" i="2"/>
  <c r="B383" i="2"/>
  <c r="C383" i="2"/>
  <c r="E383" i="2"/>
  <c r="F383" i="2"/>
  <c r="G383" i="2"/>
  <c r="H383" i="2"/>
  <c r="I383" i="2"/>
  <c r="J383" i="2"/>
  <c r="K383" i="2"/>
  <c r="M383" i="2"/>
  <c r="B384" i="2"/>
  <c r="C384" i="2"/>
  <c r="E384" i="2"/>
  <c r="F384" i="2"/>
  <c r="G384" i="2"/>
  <c r="H384" i="2"/>
  <c r="I384" i="2"/>
  <c r="J384" i="2"/>
  <c r="K384" i="2"/>
  <c r="M384" i="2"/>
  <c r="C385" i="2"/>
  <c r="D385" i="2"/>
  <c r="T385" i="2" s="1"/>
  <c r="E385" i="2"/>
  <c r="F385" i="2"/>
  <c r="G385" i="2"/>
  <c r="H385" i="2"/>
  <c r="I385" i="2"/>
  <c r="J385" i="2"/>
  <c r="K385" i="2"/>
  <c r="M385" i="2"/>
  <c r="B386" i="2"/>
  <c r="C386" i="2"/>
  <c r="E386" i="2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9" i="1"/>
  <c r="AO40" i="2"/>
  <c r="AP40" i="2"/>
  <c r="AQ40" i="2"/>
  <c r="AR40" i="2"/>
  <c r="AS40" i="2"/>
  <c r="AT40" i="2"/>
  <c r="AU40" i="2"/>
  <c r="AV40" i="2"/>
  <c r="AW40" i="2"/>
  <c r="AX40" i="2"/>
  <c r="AY40" i="2"/>
  <c r="AZ40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R43" i="2"/>
  <c r="AB43" i="2" s="1"/>
  <c r="AF44" i="2"/>
  <c r="R45" i="2"/>
  <c r="AB45" i="2" s="1"/>
  <c r="R46" i="2"/>
  <c r="AA46" i="2" s="1"/>
  <c r="R48" i="2"/>
  <c r="AA48" i="2" s="1"/>
  <c r="AE41" i="2"/>
  <c r="B3" i="11"/>
  <c r="B44" i="11" s="1"/>
  <c r="C3" i="11"/>
  <c r="C44" i="11"/>
  <c r="D3" i="11"/>
  <c r="E3" i="11"/>
  <c r="F3" i="11"/>
  <c r="F44" i="11"/>
  <c r="G3" i="11"/>
  <c r="H3" i="11"/>
  <c r="H44" i="11" s="1"/>
  <c r="I3" i="11"/>
  <c r="I44" i="11" s="1"/>
  <c r="J3" i="11"/>
  <c r="J44" i="11" s="1"/>
  <c r="K3" i="11"/>
  <c r="L3" i="11"/>
  <c r="M3" i="11"/>
  <c r="M44" i="11" s="1"/>
  <c r="B4" i="11"/>
  <c r="B45" i="11" s="1"/>
  <c r="C4" i="11"/>
  <c r="D4" i="11"/>
  <c r="D45" i="11" s="1"/>
  <c r="E4" i="11"/>
  <c r="F4" i="11"/>
  <c r="F45" i="11"/>
  <c r="G4" i="11"/>
  <c r="G45" i="11" s="1"/>
  <c r="H4" i="11"/>
  <c r="I4" i="11"/>
  <c r="I45" i="11" s="1"/>
  <c r="J4" i="11"/>
  <c r="J45" i="11" s="1"/>
  <c r="K4" i="11"/>
  <c r="L4" i="11"/>
  <c r="M4" i="11"/>
  <c r="B5" i="11"/>
  <c r="B46" i="11"/>
  <c r="C5" i="11"/>
  <c r="C46" i="11" s="1"/>
  <c r="D5" i="11"/>
  <c r="E5" i="11"/>
  <c r="F5" i="11"/>
  <c r="F46" i="11" s="1"/>
  <c r="G5" i="11"/>
  <c r="G46" i="11" s="1"/>
  <c r="H5" i="11"/>
  <c r="I5" i="11"/>
  <c r="I46" i="11" s="1"/>
  <c r="J5" i="11"/>
  <c r="J46" i="11" s="1"/>
  <c r="K5" i="11"/>
  <c r="K46" i="11"/>
  <c r="L5" i="11"/>
  <c r="M5" i="11"/>
  <c r="B6" i="11"/>
  <c r="B47" i="11" s="1"/>
  <c r="C6" i="11"/>
  <c r="D6" i="11"/>
  <c r="E6" i="11"/>
  <c r="E47" i="11" s="1"/>
  <c r="F6" i="11"/>
  <c r="F47" i="11" s="1"/>
  <c r="G6" i="11"/>
  <c r="G47" i="11" s="1"/>
  <c r="H6" i="11"/>
  <c r="I6" i="11"/>
  <c r="I47" i="11" s="1"/>
  <c r="J6" i="11"/>
  <c r="J47" i="11" s="1"/>
  <c r="K6" i="11"/>
  <c r="K47" i="11" s="1"/>
  <c r="L6" i="11"/>
  <c r="M6" i="11"/>
  <c r="B7" i="11"/>
  <c r="B48" i="11" s="1"/>
  <c r="C7" i="11"/>
  <c r="D7" i="11"/>
  <c r="E7" i="11"/>
  <c r="F7" i="11"/>
  <c r="F48" i="11" s="1"/>
  <c r="G7" i="11"/>
  <c r="G48" i="11" s="1"/>
  <c r="H7" i="11"/>
  <c r="H48" i="11" s="1"/>
  <c r="I7" i="11"/>
  <c r="I48" i="11" s="1"/>
  <c r="J7" i="11"/>
  <c r="J48" i="11" s="1"/>
  <c r="K7" i="11"/>
  <c r="L7" i="11"/>
  <c r="M7" i="11"/>
  <c r="B8" i="11"/>
  <c r="B49" i="11" s="1"/>
  <c r="C8" i="11"/>
  <c r="D8" i="11"/>
  <c r="E8" i="11"/>
  <c r="F8" i="11"/>
  <c r="F49" i="11" s="1"/>
  <c r="G8" i="11"/>
  <c r="G49" i="11" s="1"/>
  <c r="H8" i="11"/>
  <c r="I8" i="11"/>
  <c r="I49" i="11" s="1"/>
  <c r="J8" i="11"/>
  <c r="J49" i="11" s="1"/>
  <c r="K8" i="11"/>
  <c r="L8" i="11"/>
  <c r="M8" i="11"/>
  <c r="B9" i="11"/>
  <c r="B50" i="11" s="1"/>
  <c r="C9" i="11"/>
  <c r="D9" i="11"/>
  <c r="E9" i="11"/>
  <c r="F9" i="11"/>
  <c r="F50" i="11" s="1"/>
  <c r="G9" i="11"/>
  <c r="G50" i="11" s="1"/>
  <c r="H9" i="11"/>
  <c r="H50" i="11" s="1"/>
  <c r="I9" i="11"/>
  <c r="J9" i="11"/>
  <c r="J50" i="11" s="1"/>
  <c r="K9" i="11"/>
  <c r="L9" i="11"/>
  <c r="M9" i="11"/>
  <c r="M50" i="11" s="1"/>
  <c r="B10" i="11"/>
  <c r="B51" i="11" s="1"/>
  <c r="C10" i="11"/>
  <c r="D10" i="11"/>
  <c r="E10" i="11"/>
  <c r="F10" i="11"/>
  <c r="F51" i="11" s="1"/>
  <c r="G10" i="11"/>
  <c r="H10" i="11"/>
  <c r="I10" i="11"/>
  <c r="I89" i="11" s="1"/>
  <c r="J10" i="11"/>
  <c r="J51" i="11" s="1"/>
  <c r="K10" i="11"/>
  <c r="K51" i="11" s="1"/>
  <c r="L10" i="11"/>
  <c r="M10" i="11"/>
  <c r="B11" i="11"/>
  <c r="B52" i="11" s="1"/>
  <c r="C11" i="11"/>
  <c r="D11" i="11"/>
  <c r="E11" i="11"/>
  <c r="F11" i="11"/>
  <c r="F52" i="11" s="1"/>
  <c r="G11" i="11"/>
  <c r="G52" i="11" s="1"/>
  <c r="H11" i="11"/>
  <c r="I11" i="11"/>
  <c r="J11" i="11"/>
  <c r="J52" i="11"/>
  <c r="K11" i="11"/>
  <c r="L11" i="11"/>
  <c r="M11" i="11"/>
  <c r="B12" i="11"/>
  <c r="B91" i="11" s="1"/>
  <c r="B53" i="11"/>
  <c r="C12" i="11"/>
  <c r="D12" i="11"/>
  <c r="E12" i="11"/>
  <c r="F12" i="11"/>
  <c r="G12" i="11"/>
  <c r="H12" i="11"/>
  <c r="I12" i="11"/>
  <c r="J12" i="11"/>
  <c r="J53" i="11" s="1"/>
  <c r="K12" i="11"/>
  <c r="L12" i="11"/>
  <c r="M12" i="11"/>
  <c r="B13" i="11"/>
  <c r="B54" i="11" s="1"/>
  <c r="C13" i="11"/>
  <c r="D13" i="11"/>
  <c r="E13" i="11"/>
  <c r="F13" i="11"/>
  <c r="F54" i="11" s="1"/>
  <c r="G13" i="11"/>
  <c r="G92" i="11" s="1"/>
  <c r="H13" i="11"/>
  <c r="I13" i="11"/>
  <c r="J13" i="11"/>
  <c r="J54" i="11" s="1"/>
  <c r="K13" i="11"/>
  <c r="K54" i="11" s="1"/>
  <c r="L13" i="11"/>
  <c r="M13" i="11"/>
  <c r="B14" i="11"/>
  <c r="B55" i="11" s="1"/>
  <c r="C14" i="11"/>
  <c r="D14" i="11"/>
  <c r="E14" i="11"/>
  <c r="F14" i="11"/>
  <c r="F55" i="11"/>
  <c r="G14" i="11"/>
  <c r="H14" i="11"/>
  <c r="I14" i="11"/>
  <c r="I55" i="11" s="1"/>
  <c r="J14" i="11"/>
  <c r="K14" i="11"/>
  <c r="L14" i="11"/>
  <c r="L93" i="11" s="1"/>
  <c r="M14" i="11"/>
  <c r="B15" i="11"/>
  <c r="C15" i="11"/>
  <c r="D15" i="11"/>
  <c r="E15" i="11"/>
  <c r="F15" i="11"/>
  <c r="G15" i="11"/>
  <c r="H15" i="11"/>
  <c r="H94" i="11" s="1"/>
  <c r="I15" i="11"/>
  <c r="J15" i="11"/>
  <c r="K15" i="11"/>
  <c r="L15" i="11"/>
  <c r="M15" i="11"/>
  <c r="B16" i="11"/>
  <c r="B57" i="11" s="1"/>
  <c r="C16" i="11"/>
  <c r="D16" i="11"/>
  <c r="E16" i="11"/>
  <c r="F16" i="11"/>
  <c r="F57" i="11" s="1"/>
  <c r="G16" i="11"/>
  <c r="H16" i="11"/>
  <c r="I16" i="11"/>
  <c r="J16" i="11"/>
  <c r="J57" i="11" s="1"/>
  <c r="K16" i="11"/>
  <c r="L16" i="11"/>
  <c r="M16" i="11"/>
  <c r="B17" i="11"/>
  <c r="B58" i="11"/>
  <c r="C17" i="11"/>
  <c r="D17" i="11"/>
  <c r="E17" i="11"/>
  <c r="F17" i="11"/>
  <c r="F96" i="11" s="1"/>
  <c r="F58" i="11"/>
  <c r="G17" i="11"/>
  <c r="H17" i="11"/>
  <c r="I17" i="11"/>
  <c r="J17" i="11"/>
  <c r="K17" i="11"/>
  <c r="L17" i="11"/>
  <c r="M17" i="11"/>
  <c r="M96" i="11" s="1"/>
  <c r="B18" i="11"/>
  <c r="B59" i="11" s="1"/>
  <c r="C18" i="11"/>
  <c r="D18" i="11"/>
  <c r="E18" i="11"/>
  <c r="E59" i="11" s="1"/>
  <c r="F18" i="11"/>
  <c r="F59" i="11" s="1"/>
  <c r="G18" i="11"/>
  <c r="H18" i="11"/>
  <c r="I18" i="11"/>
  <c r="J18" i="11"/>
  <c r="J59" i="11" s="1"/>
  <c r="K18" i="11"/>
  <c r="L18" i="11"/>
  <c r="M18" i="11"/>
  <c r="B19" i="11"/>
  <c r="B60" i="11" s="1"/>
  <c r="C19" i="11"/>
  <c r="D19" i="11"/>
  <c r="E19" i="11"/>
  <c r="E60" i="11" s="1"/>
  <c r="F19" i="11"/>
  <c r="G19" i="11"/>
  <c r="H19" i="11"/>
  <c r="I19" i="11"/>
  <c r="I60" i="11" s="1"/>
  <c r="J19" i="11"/>
  <c r="J60" i="11"/>
  <c r="K19" i="11"/>
  <c r="L19" i="11"/>
  <c r="M19" i="11"/>
  <c r="B20" i="11"/>
  <c r="B61" i="11" s="1"/>
  <c r="C20" i="11"/>
  <c r="D20" i="11"/>
  <c r="D61" i="11" s="1"/>
  <c r="E20" i="11"/>
  <c r="E61" i="11" s="1"/>
  <c r="F20" i="11"/>
  <c r="F61" i="11" s="1"/>
  <c r="G20" i="11"/>
  <c r="H20" i="11"/>
  <c r="I20" i="11"/>
  <c r="J20" i="11"/>
  <c r="K20" i="11"/>
  <c r="L20" i="11"/>
  <c r="M20" i="11"/>
  <c r="B21" i="11"/>
  <c r="C21" i="11"/>
  <c r="D21" i="11"/>
  <c r="E21" i="11"/>
  <c r="F21" i="11"/>
  <c r="F62" i="11" s="1"/>
  <c r="G21" i="11"/>
  <c r="H21" i="11"/>
  <c r="I21" i="11"/>
  <c r="J21" i="11"/>
  <c r="J62" i="11" s="1"/>
  <c r="K21" i="11"/>
  <c r="L21" i="11"/>
  <c r="L62" i="11" s="1"/>
  <c r="M21" i="11"/>
  <c r="B22" i="11"/>
  <c r="B63" i="11" s="1"/>
  <c r="C22" i="11"/>
  <c r="D22" i="11"/>
  <c r="E22" i="11"/>
  <c r="F22" i="11"/>
  <c r="F63" i="11"/>
  <c r="G22" i="11"/>
  <c r="H22" i="11"/>
  <c r="I22" i="11"/>
  <c r="J22" i="11"/>
  <c r="J63" i="11"/>
  <c r="K22" i="11"/>
  <c r="L22" i="11"/>
  <c r="M22" i="11"/>
  <c r="M63" i="11" s="1"/>
  <c r="B23" i="11"/>
  <c r="C23" i="11"/>
  <c r="D23" i="11"/>
  <c r="E23" i="11"/>
  <c r="E64" i="11" s="1"/>
  <c r="F23" i="11"/>
  <c r="F64" i="11" s="1"/>
  <c r="G23" i="11"/>
  <c r="H23" i="11"/>
  <c r="H64" i="11" s="1"/>
  <c r="I23" i="11"/>
  <c r="J23" i="11"/>
  <c r="J64" i="11" s="1"/>
  <c r="K23" i="11"/>
  <c r="K102" i="11" s="1"/>
  <c r="L23" i="11"/>
  <c r="M23" i="11"/>
  <c r="B24" i="11"/>
  <c r="B65" i="11" s="1"/>
  <c r="C24" i="11"/>
  <c r="D24" i="11"/>
  <c r="E24" i="11"/>
  <c r="F24" i="11"/>
  <c r="F65" i="11" s="1"/>
  <c r="G24" i="11"/>
  <c r="H24" i="11"/>
  <c r="I24" i="11"/>
  <c r="I65" i="11" s="1"/>
  <c r="J24" i="11"/>
  <c r="K24" i="11"/>
  <c r="L24" i="11"/>
  <c r="M24" i="11"/>
  <c r="B25" i="11"/>
  <c r="C25" i="11"/>
  <c r="D25" i="11"/>
  <c r="E25" i="11"/>
  <c r="F25" i="11"/>
  <c r="F66" i="11" s="1"/>
  <c r="G25" i="11"/>
  <c r="H25" i="11"/>
  <c r="I25" i="11"/>
  <c r="J25" i="11"/>
  <c r="K25" i="11"/>
  <c r="L25" i="11"/>
  <c r="M25" i="11"/>
  <c r="M66" i="11" s="1"/>
  <c r="B26" i="11"/>
  <c r="C26" i="11"/>
  <c r="D26" i="11"/>
  <c r="E26" i="11"/>
  <c r="F26" i="11"/>
  <c r="F67" i="11"/>
  <c r="G26" i="11"/>
  <c r="H26" i="11"/>
  <c r="I26" i="11"/>
  <c r="J26" i="11"/>
  <c r="J67" i="11" s="1"/>
  <c r="K26" i="11"/>
  <c r="L26" i="11"/>
  <c r="M26" i="11"/>
  <c r="B27" i="11"/>
  <c r="B68" i="11" s="1"/>
  <c r="C27" i="11"/>
  <c r="D27" i="11"/>
  <c r="E27" i="11"/>
  <c r="F27" i="11"/>
  <c r="F68" i="11" s="1"/>
  <c r="G27" i="11"/>
  <c r="H27" i="11"/>
  <c r="I27" i="11"/>
  <c r="J27" i="11"/>
  <c r="J68" i="11"/>
  <c r="K27" i="11"/>
  <c r="L27" i="11"/>
  <c r="M27" i="11"/>
  <c r="B28" i="11"/>
  <c r="B107" i="11" s="1"/>
  <c r="C28" i="11"/>
  <c r="D28" i="11"/>
  <c r="E28" i="11"/>
  <c r="F28" i="11"/>
  <c r="F69" i="11"/>
  <c r="G28" i="11"/>
  <c r="H28" i="11"/>
  <c r="I28" i="11"/>
  <c r="J28" i="11"/>
  <c r="J69" i="11" s="1"/>
  <c r="K28" i="11"/>
  <c r="L28" i="11"/>
  <c r="M28" i="11"/>
  <c r="M107" i="11" s="1"/>
  <c r="B29" i="11"/>
  <c r="B70" i="11" s="1"/>
  <c r="C29" i="11"/>
  <c r="D29" i="11"/>
  <c r="E29" i="11"/>
  <c r="F29" i="11"/>
  <c r="F70" i="11" s="1"/>
  <c r="G29" i="11"/>
  <c r="G108" i="11" s="1"/>
  <c r="H29" i="11"/>
  <c r="I29" i="11"/>
  <c r="J29" i="11"/>
  <c r="J70" i="11" s="1"/>
  <c r="K29" i="11"/>
  <c r="L29" i="11"/>
  <c r="M29" i="11"/>
  <c r="M70" i="11" s="1"/>
  <c r="B30" i="11"/>
  <c r="C30" i="11"/>
  <c r="D30" i="11"/>
  <c r="E30" i="11"/>
  <c r="E71" i="11" s="1"/>
  <c r="F30" i="11"/>
  <c r="F109" i="11" s="1"/>
  <c r="G30" i="11"/>
  <c r="H30" i="11"/>
  <c r="H109" i="11" s="1"/>
  <c r="I30" i="11"/>
  <c r="I71" i="11" s="1"/>
  <c r="J30" i="11"/>
  <c r="K30" i="11"/>
  <c r="L30" i="11"/>
  <c r="L71" i="11" s="1"/>
  <c r="M30" i="11"/>
  <c r="M71" i="11" s="1"/>
  <c r="O31" i="11"/>
  <c r="AC31" i="11" s="1"/>
  <c r="O32" i="11"/>
  <c r="AC32" i="11" s="1"/>
  <c r="O33" i="11"/>
  <c r="AC33" i="11" s="1"/>
  <c r="C41" i="11"/>
  <c r="C47" i="11" s="1"/>
  <c r="D44" i="11"/>
  <c r="E44" i="11"/>
  <c r="G44" i="11"/>
  <c r="K44" i="11"/>
  <c r="L44" i="11"/>
  <c r="E45" i="11"/>
  <c r="H45" i="11"/>
  <c r="K45" i="11"/>
  <c r="L45" i="11"/>
  <c r="M45" i="11"/>
  <c r="D46" i="11"/>
  <c r="E46" i="11"/>
  <c r="H46" i="11"/>
  <c r="L46" i="11"/>
  <c r="M46" i="11"/>
  <c r="D47" i="11"/>
  <c r="H47" i="11"/>
  <c r="L47" i="11"/>
  <c r="M47" i="11"/>
  <c r="D48" i="11"/>
  <c r="E48" i="11"/>
  <c r="K48" i="11"/>
  <c r="L48" i="11"/>
  <c r="M48" i="11"/>
  <c r="D49" i="11"/>
  <c r="E49" i="11"/>
  <c r="H49" i="11"/>
  <c r="K49" i="11"/>
  <c r="L49" i="11"/>
  <c r="M49" i="11"/>
  <c r="D50" i="11"/>
  <c r="E50" i="11"/>
  <c r="I50" i="11"/>
  <c r="K50" i="11"/>
  <c r="L50" i="11"/>
  <c r="C51" i="11"/>
  <c r="D51" i="11"/>
  <c r="E51" i="11"/>
  <c r="G51" i="11"/>
  <c r="H51" i="11"/>
  <c r="I51" i="11"/>
  <c r="L51" i="11"/>
  <c r="M51" i="11"/>
  <c r="C52" i="11"/>
  <c r="D52" i="11"/>
  <c r="E52" i="11"/>
  <c r="H52" i="11"/>
  <c r="I52" i="11"/>
  <c r="K52" i="11"/>
  <c r="L52" i="11"/>
  <c r="M52" i="11"/>
  <c r="C53" i="11"/>
  <c r="D53" i="11"/>
  <c r="E53" i="11"/>
  <c r="G53" i="11"/>
  <c r="H53" i="11"/>
  <c r="I53" i="11"/>
  <c r="K53" i="11"/>
  <c r="L53" i="11"/>
  <c r="M53" i="11"/>
  <c r="D54" i="11"/>
  <c r="E54" i="11"/>
  <c r="G54" i="11"/>
  <c r="H54" i="11"/>
  <c r="I54" i="11"/>
  <c r="L54" i="11"/>
  <c r="M54" i="11"/>
  <c r="D55" i="11"/>
  <c r="E55" i="11"/>
  <c r="G55" i="11"/>
  <c r="H55" i="11"/>
  <c r="K55" i="11"/>
  <c r="D56" i="11"/>
  <c r="E56" i="11"/>
  <c r="G56" i="11"/>
  <c r="I56" i="11"/>
  <c r="K56" i="11"/>
  <c r="L56" i="11"/>
  <c r="M56" i="11"/>
  <c r="C57" i="11"/>
  <c r="D57" i="11"/>
  <c r="E57" i="11"/>
  <c r="G57" i="11"/>
  <c r="H57" i="11"/>
  <c r="I57" i="11"/>
  <c r="L57" i="11"/>
  <c r="M57" i="11"/>
  <c r="D58" i="11"/>
  <c r="E58" i="11"/>
  <c r="G58" i="11"/>
  <c r="H58" i="11"/>
  <c r="I58" i="11"/>
  <c r="K58" i="11"/>
  <c r="L58" i="11"/>
  <c r="M58" i="11"/>
  <c r="C59" i="11"/>
  <c r="D59" i="11"/>
  <c r="H59" i="11"/>
  <c r="I59" i="11"/>
  <c r="L59" i="11"/>
  <c r="M59" i="11"/>
  <c r="D60" i="11"/>
  <c r="H60" i="11"/>
  <c r="K60" i="11"/>
  <c r="L60" i="11"/>
  <c r="M60" i="11"/>
  <c r="C61" i="11"/>
  <c r="G61" i="11"/>
  <c r="H61" i="11"/>
  <c r="I61" i="11"/>
  <c r="K61" i="11"/>
  <c r="L61" i="11"/>
  <c r="C62" i="11"/>
  <c r="D62" i="11"/>
  <c r="G62" i="11"/>
  <c r="H62" i="11"/>
  <c r="I62" i="11"/>
  <c r="K62" i="11"/>
  <c r="M62" i="11"/>
  <c r="C63" i="11"/>
  <c r="D63" i="11"/>
  <c r="E63" i="11"/>
  <c r="G63" i="11"/>
  <c r="H63" i="11"/>
  <c r="I63" i="11"/>
  <c r="K63" i="11"/>
  <c r="L63" i="11"/>
  <c r="C64" i="11"/>
  <c r="D64" i="11"/>
  <c r="G64" i="11"/>
  <c r="I64" i="11"/>
  <c r="L64" i="11"/>
  <c r="M64" i="11"/>
  <c r="C65" i="11"/>
  <c r="D65" i="11"/>
  <c r="E65" i="11"/>
  <c r="H65" i="11"/>
  <c r="L65" i="11"/>
  <c r="M65" i="11"/>
  <c r="C66" i="11"/>
  <c r="D66" i="11"/>
  <c r="G66" i="11"/>
  <c r="H66" i="11"/>
  <c r="I66" i="11"/>
  <c r="K66" i="11"/>
  <c r="L66" i="11"/>
  <c r="D67" i="11"/>
  <c r="E67" i="11"/>
  <c r="G67" i="11"/>
  <c r="I67" i="11"/>
  <c r="K67" i="11"/>
  <c r="L67" i="11"/>
  <c r="M67" i="11"/>
  <c r="D68" i="11"/>
  <c r="E68" i="11"/>
  <c r="H68" i="11"/>
  <c r="I68" i="11"/>
  <c r="L68" i="11"/>
  <c r="M68" i="11"/>
  <c r="C69" i="11"/>
  <c r="D69" i="11"/>
  <c r="E69" i="11"/>
  <c r="G69" i="11"/>
  <c r="H69" i="11"/>
  <c r="I69" i="11"/>
  <c r="K69" i="11"/>
  <c r="L69" i="11"/>
  <c r="M69" i="11"/>
  <c r="D70" i="11"/>
  <c r="E70" i="11"/>
  <c r="G70" i="11"/>
  <c r="I70" i="11"/>
  <c r="L70" i="11"/>
  <c r="C71" i="11"/>
  <c r="D71" i="11"/>
  <c r="G71" i="11"/>
  <c r="K71" i="11"/>
  <c r="B89" i="11"/>
  <c r="C89" i="11"/>
  <c r="D89" i="11"/>
  <c r="E89" i="11"/>
  <c r="F89" i="11"/>
  <c r="G89" i="11"/>
  <c r="H89" i="11"/>
  <c r="J89" i="11"/>
  <c r="K89" i="11"/>
  <c r="L89" i="11"/>
  <c r="M89" i="11"/>
  <c r="B90" i="11"/>
  <c r="C90" i="11"/>
  <c r="D90" i="11"/>
  <c r="E90" i="11"/>
  <c r="F90" i="11"/>
  <c r="G90" i="11"/>
  <c r="H90" i="11"/>
  <c r="I90" i="11"/>
  <c r="J90" i="11"/>
  <c r="K90" i="11"/>
  <c r="L90" i="11"/>
  <c r="M90" i="11"/>
  <c r="C91" i="11"/>
  <c r="D91" i="11"/>
  <c r="E91" i="11"/>
  <c r="G91" i="11"/>
  <c r="H91" i="11"/>
  <c r="I91" i="11"/>
  <c r="K91" i="11"/>
  <c r="L91" i="11"/>
  <c r="M91" i="11"/>
  <c r="D92" i="11"/>
  <c r="E92" i="11"/>
  <c r="H92" i="11"/>
  <c r="I92" i="11"/>
  <c r="K92" i="11"/>
  <c r="L92" i="11"/>
  <c r="M92" i="11"/>
  <c r="B93" i="11"/>
  <c r="C93" i="11"/>
  <c r="D93" i="11"/>
  <c r="E93" i="11"/>
  <c r="F93" i="11"/>
  <c r="G93" i="11"/>
  <c r="H93" i="11"/>
  <c r="K93" i="11"/>
  <c r="D94" i="11"/>
  <c r="E94" i="11"/>
  <c r="G94" i="11"/>
  <c r="I94" i="11"/>
  <c r="K94" i="11"/>
  <c r="L94" i="11"/>
  <c r="M94" i="11"/>
  <c r="B95" i="11"/>
  <c r="D95" i="11"/>
  <c r="E95" i="11"/>
  <c r="F95" i="11"/>
  <c r="G95" i="11"/>
  <c r="H95" i="11"/>
  <c r="I95" i="11"/>
  <c r="J95" i="11"/>
  <c r="L95" i="11"/>
  <c r="M95" i="11"/>
  <c r="B96" i="11"/>
  <c r="D96" i="11"/>
  <c r="E96" i="11"/>
  <c r="G96" i="11"/>
  <c r="H96" i="11"/>
  <c r="I96" i="11"/>
  <c r="K96" i="11"/>
  <c r="L96" i="11"/>
  <c r="B97" i="11"/>
  <c r="C97" i="11"/>
  <c r="D97" i="11"/>
  <c r="H97" i="11"/>
  <c r="I97" i="11"/>
  <c r="L97" i="11"/>
  <c r="M97" i="11"/>
  <c r="D98" i="11"/>
  <c r="H98" i="11"/>
  <c r="J98" i="11"/>
  <c r="K98" i="11"/>
  <c r="L98" i="11"/>
  <c r="M98" i="11"/>
  <c r="B99" i="11"/>
  <c r="E99" i="11"/>
  <c r="F99" i="11"/>
  <c r="G99" i="11"/>
  <c r="H99" i="11"/>
  <c r="I99" i="11"/>
  <c r="K99" i="11"/>
  <c r="L99" i="11"/>
  <c r="C100" i="11"/>
  <c r="D100" i="11"/>
  <c r="F100" i="11"/>
  <c r="G100" i="11"/>
  <c r="H100" i="11"/>
  <c r="I100" i="11"/>
  <c r="J100" i="11"/>
  <c r="K100" i="11"/>
  <c r="M100" i="11"/>
  <c r="B101" i="11"/>
  <c r="C101" i="11"/>
  <c r="D101" i="11"/>
  <c r="E101" i="11"/>
  <c r="F101" i="11"/>
  <c r="G101" i="11"/>
  <c r="H101" i="11"/>
  <c r="I101" i="11"/>
  <c r="J101" i="11"/>
  <c r="K101" i="11"/>
  <c r="L101" i="11"/>
  <c r="C102" i="11"/>
  <c r="D102" i="11"/>
  <c r="E102" i="11"/>
  <c r="F102" i="11"/>
  <c r="G102" i="11"/>
  <c r="H102" i="11"/>
  <c r="I102" i="11"/>
  <c r="L102" i="11"/>
  <c r="M102" i="11"/>
  <c r="D103" i="11"/>
  <c r="E103" i="11"/>
  <c r="H103" i="11"/>
  <c r="L103" i="11"/>
  <c r="M103" i="11"/>
  <c r="D104" i="11"/>
  <c r="F104" i="11"/>
  <c r="G104" i="11"/>
  <c r="H104" i="11"/>
  <c r="I104" i="11"/>
  <c r="K104" i="11"/>
  <c r="L104" i="11"/>
  <c r="D105" i="11"/>
  <c r="E105" i="11"/>
  <c r="F105" i="11"/>
  <c r="G105" i="11"/>
  <c r="I105" i="11"/>
  <c r="J105" i="11"/>
  <c r="K105" i="11"/>
  <c r="L105" i="11"/>
  <c r="M105" i="11"/>
  <c r="B106" i="11"/>
  <c r="D106" i="11"/>
  <c r="E106" i="11"/>
  <c r="F106" i="11"/>
  <c r="H106" i="11"/>
  <c r="I106" i="11"/>
  <c r="J106" i="11"/>
  <c r="L106" i="11"/>
  <c r="M106" i="11"/>
  <c r="D107" i="11"/>
  <c r="E107" i="11"/>
  <c r="F107" i="11"/>
  <c r="G107" i="11"/>
  <c r="H107" i="11"/>
  <c r="I107" i="11"/>
  <c r="J107" i="11"/>
  <c r="K107" i="11"/>
  <c r="L107" i="11"/>
  <c r="D108" i="11"/>
  <c r="E108" i="11"/>
  <c r="F108" i="11"/>
  <c r="I108" i="11"/>
  <c r="L108" i="11"/>
  <c r="M108" i="11"/>
  <c r="C109" i="11"/>
  <c r="D109" i="11"/>
  <c r="G109" i="11"/>
  <c r="I109" i="11"/>
  <c r="K109" i="11"/>
  <c r="L109" i="11"/>
  <c r="M109" i="11"/>
  <c r="A6" i="10"/>
  <c r="A131" i="10" s="1"/>
  <c r="B6" i="10"/>
  <c r="C6" i="10"/>
  <c r="D6" i="10"/>
  <c r="E6" i="10"/>
  <c r="F6" i="10"/>
  <c r="G6" i="10"/>
  <c r="H6" i="10"/>
  <c r="I6" i="10"/>
  <c r="J6" i="10"/>
  <c r="K6" i="10"/>
  <c r="L6" i="10"/>
  <c r="M6" i="10"/>
  <c r="A7" i="10"/>
  <c r="A132" i="10" s="1"/>
  <c r="B7" i="10"/>
  <c r="C7" i="10"/>
  <c r="D7" i="10"/>
  <c r="E7" i="10"/>
  <c r="F7" i="10"/>
  <c r="G7" i="10"/>
  <c r="H7" i="10"/>
  <c r="I7" i="10"/>
  <c r="J7" i="10"/>
  <c r="K7" i="10"/>
  <c r="L7" i="10"/>
  <c r="M7" i="10"/>
  <c r="A8" i="10"/>
  <c r="A133" i="10" s="1"/>
  <c r="B8" i="10"/>
  <c r="C8" i="10"/>
  <c r="D8" i="10"/>
  <c r="E8" i="10"/>
  <c r="F8" i="10"/>
  <c r="G8" i="10"/>
  <c r="H8" i="10"/>
  <c r="I8" i="10"/>
  <c r="J8" i="10"/>
  <c r="K8" i="10"/>
  <c r="L8" i="10"/>
  <c r="M8" i="10"/>
  <c r="A9" i="10"/>
  <c r="A72" i="10" s="1"/>
  <c r="B9" i="10"/>
  <c r="C9" i="10"/>
  <c r="D9" i="10"/>
  <c r="E9" i="10"/>
  <c r="F9" i="10"/>
  <c r="G9" i="10"/>
  <c r="H9" i="10"/>
  <c r="I9" i="10"/>
  <c r="J9" i="10"/>
  <c r="K9" i="10"/>
  <c r="L9" i="10"/>
  <c r="M9" i="10"/>
  <c r="A10" i="10"/>
  <c r="A73" i="10" s="1"/>
  <c r="B10" i="10"/>
  <c r="C10" i="10"/>
  <c r="D10" i="10"/>
  <c r="E10" i="10"/>
  <c r="F10" i="10"/>
  <c r="G10" i="10"/>
  <c r="H10" i="10"/>
  <c r="I10" i="10"/>
  <c r="J10" i="10"/>
  <c r="K10" i="10"/>
  <c r="L10" i="10"/>
  <c r="M10" i="10"/>
  <c r="A11" i="10"/>
  <c r="A74" i="10" s="1"/>
  <c r="B11" i="10"/>
  <c r="C11" i="10"/>
  <c r="D11" i="10"/>
  <c r="E11" i="10"/>
  <c r="F11" i="10"/>
  <c r="G11" i="10"/>
  <c r="H11" i="10"/>
  <c r="I11" i="10"/>
  <c r="J11" i="10"/>
  <c r="K11" i="10"/>
  <c r="L11" i="10"/>
  <c r="M11" i="10"/>
  <c r="A12" i="10"/>
  <c r="A137" i="10" s="1"/>
  <c r="B12" i="10"/>
  <c r="C12" i="10"/>
  <c r="D12" i="10"/>
  <c r="E12" i="10"/>
  <c r="F12" i="10"/>
  <c r="G12" i="10"/>
  <c r="H12" i="10"/>
  <c r="I12" i="10"/>
  <c r="J12" i="10"/>
  <c r="K12" i="10"/>
  <c r="L12" i="10"/>
  <c r="M12" i="10"/>
  <c r="A13" i="10"/>
  <c r="A138" i="10" s="1"/>
  <c r="B13" i="10"/>
  <c r="C13" i="10"/>
  <c r="D13" i="10"/>
  <c r="E13" i="10"/>
  <c r="F13" i="10"/>
  <c r="G13" i="10"/>
  <c r="H13" i="10"/>
  <c r="I13" i="10"/>
  <c r="J13" i="10"/>
  <c r="K13" i="10"/>
  <c r="L13" i="10"/>
  <c r="M13" i="10"/>
  <c r="A14" i="10"/>
  <c r="A139" i="10" s="1"/>
  <c r="B14" i="10"/>
  <c r="C14" i="10"/>
  <c r="D14" i="10"/>
  <c r="E14" i="10"/>
  <c r="F14" i="10"/>
  <c r="G14" i="10"/>
  <c r="H14" i="10"/>
  <c r="I14" i="10"/>
  <c r="J14" i="10"/>
  <c r="K14" i="10"/>
  <c r="L14" i="10"/>
  <c r="M14" i="10"/>
  <c r="A15" i="10"/>
  <c r="A78" i="10" s="1"/>
  <c r="B15" i="10"/>
  <c r="C15" i="10"/>
  <c r="D15" i="10"/>
  <c r="E15" i="10"/>
  <c r="F15" i="10"/>
  <c r="G15" i="10"/>
  <c r="H15" i="10"/>
  <c r="I15" i="10"/>
  <c r="J15" i="10"/>
  <c r="K15" i="10"/>
  <c r="L15" i="10"/>
  <c r="M15" i="10"/>
  <c r="A16" i="10"/>
  <c r="A141" i="10" s="1"/>
  <c r="B16" i="10"/>
  <c r="C16" i="10"/>
  <c r="D16" i="10"/>
  <c r="E16" i="10"/>
  <c r="F16" i="10"/>
  <c r="G16" i="10"/>
  <c r="H16" i="10"/>
  <c r="I16" i="10"/>
  <c r="J16" i="10"/>
  <c r="K16" i="10"/>
  <c r="L16" i="10"/>
  <c r="M16" i="10"/>
  <c r="A17" i="10"/>
  <c r="A142" i="10" s="1"/>
  <c r="B17" i="10"/>
  <c r="C17" i="10"/>
  <c r="D17" i="10"/>
  <c r="E17" i="10"/>
  <c r="F17" i="10"/>
  <c r="G17" i="10"/>
  <c r="H17" i="10"/>
  <c r="I17" i="10"/>
  <c r="J17" i="10"/>
  <c r="K17" i="10"/>
  <c r="L17" i="10"/>
  <c r="M17" i="10"/>
  <c r="A18" i="10"/>
  <c r="A81" i="10" s="1"/>
  <c r="B18" i="10"/>
  <c r="C18" i="10"/>
  <c r="D18" i="10"/>
  <c r="E18" i="10"/>
  <c r="F18" i="10"/>
  <c r="G18" i="10"/>
  <c r="H18" i="10"/>
  <c r="I18" i="10"/>
  <c r="J18" i="10"/>
  <c r="K18" i="10"/>
  <c r="L18" i="10"/>
  <c r="M18" i="10"/>
  <c r="A19" i="10"/>
  <c r="A82" i="10" s="1"/>
  <c r="B19" i="10"/>
  <c r="C19" i="10"/>
  <c r="D19" i="10"/>
  <c r="E19" i="10"/>
  <c r="F19" i="10"/>
  <c r="G19" i="10"/>
  <c r="H19" i="10"/>
  <c r="I19" i="10"/>
  <c r="J19" i="10"/>
  <c r="K19" i="10"/>
  <c r="L19" i="10"/>
  <c r="M19" i="10"/>
  <c r="A20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A21" i="10"/>
  <c r="A146" i="10" s="1"/>
  <c r="B21" i="10"/>
  <c r="C21" i="10"/>
  <c r="D21" i="10"/>
  <c r="E21" i="10"/>
  <c r="F21" i="10"/>
  <c r="G21" i="10"/>
  <c r="H21" i="10"/>
  <c r="I21" i="10"/>
  <c r="J21" i="10"/>
  <c r="K21" i="10"/>
  <c r="L21" i="10"/>
  <c r="M21" i="10"/>
  <c r="A22" i="10"/>
  <c r="A85" i="10" s="1"/>
  <c r="B22" i="10"/>
  <c r="C22" i="10"/>
  <c r="D22" i="10"/>
  <c r="E22" i="10"/>
  <c r="F22" i="10"/>
  <c r="G22" i="10"/>
  <c r="H22" i="10"/>
  <c r="I22" i="10"/>
  <c r="J22" i="10"/>
  <c r="K22" i="10"/>
  <c r="L22" i="10"/>
  <c r="M22" i="10"/>
  <c r="A23" i="10"/>
  <c r="A86" i="10" s="1"/>
  <c r="B23" i="10"/>
  <c r="C23" i="10"/>
  <c r="D23" i="10"/>
  <c r="E23" i="10"/>
  <c r="F23" i="10"/>
  <c r="G23" i="10"/>
  <c r="H23" i="10"/>
  <c r="I23" i="10"/>
  <c r="J23" i="10"/>
  <c r="K23" i="10"/>
  <c r="L23" i="10"/>
  <c r="M23" i="10"/>
  <c r="A24" i="10"/>
  <c r="A149" i="10" s="1"/>
  <c r="B24" i="10"/>
  <c r="C24" i="10"/>
  <c r="D24" i="10"/>
  <c r="E24" i="10"/>
  <c r="F24" i="10"/>
  <c r="G24" i="10"/>
  <c r="H24" i="10"/>
  <c r="I24" i="10"/>
  <c r="J24" i="10"/>
  <c r="K24" i="10"/>
  <c r="L24" i="10"/>
  <c r="M24" i="10"/>
  <c r="A25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A26" i="10"/>
  <c r="A89" i="10" s="1"/>
  <c r="B26" i="10"/>
  <c r="C26" i="10"/>
  <c r="D26" i="10"/>
  <c r="E26" i="10"/>
  <c r="F26" i="10"/>
  <c r="G26" i="10"/>
  <c r="H26" i="10"/>
  <c r="I26" i="10"/>
  <c r="J26" i="10"/>
  <c r="K26" i="10"/>
  <c r="L26" i="10"/>
  <c r="M26" i="10"/>
  <c r="A27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A28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A29" i="10"/>
  <c r="A154" i="10" s="1"/>
  <c r="B29" i="10"/>
  <c r="C29" i="10"/>
  <c r="D29" i="10"/>
  <c r="E29" i="10"/>
  <c r="F29" i="10"/>
  <c r="G29" i="10"/>
  <c r="H29" i="10"/>
  <c r="I29" i="10"/>
  <c r="J29" i="10"/>
  <c r="K29" i="10"/>
  <c r="L29" i="10"/>
  <c r="M29" i="10"/>
  <c r="A30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A31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A32" i="10"/>
  <c r="A95" i="10" s="1"/>
  <c r="B32" i="10"/>
  <c r="C32" i="10"/>
  <c r="D32" i="10"/>
  <c r="E32" i="10"/>
  <c r="F32" i="10"/>
  <c r="G32" i="10"/>
  <c r="H32" i="10"/>
  <c r="I32" i="10"/>
  <c r="J32" i="10"/>
  <c r="K32" i="10"/>
  <c r="L32" i="10"/>
  <c r="M32" i="10"/>
  <c r="A33" i="10"/>
  <c r="A158" i="10" s="1"/>
  <c r="B33" i="10"/>
  <c r="C33" i="10"/>
  <c r="D33" i="10"/>
  <c r="E33" i="10"/>
  <c r="F33" i="10"/>
  <c r="G33" i="10"/>
  <c r="H33" i="10"/>
  <c r="I33" i="10"/>
  <c r="J33" i="10"/>
  <c r="K33" i="10"/>
  <c r="L33" i="10"/>
  <c r="M33" i="10"/>
  <c r="A34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A160" i="10" s="1"/>
  <c r="B35" i="10"/>
  <c r="C35" i="10"/>
  <c r="D35" i="10"/>
  <c r="E35" i="10"/>
  <c r="F35" i="10"/>
  <c r="G35" i="10"/>
  <c r="H35" i="10"/>
  <c r="I35" i="10"/>
  <c r="J35" i="10"/>
  <c r="K35" i="10"/>
  <c r="L35" i="10"/>
  <c r="M35" i="10"/>
  <c r="A36" i="10"/>
  <c r="A99" i="10" s="1"/>
  <c r="B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A162" i="10" s="1"/>
  <c r="B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B38" i="10"/>
  <c r="C38" i="10"/>
  <c r="D38" i="10"/>
  <c r="E38" i="10"/>
  <c r="F38" i="10"/>
  <c r="G38" i="10"/>
  <c r="H38" i="10"/>
  <c r="I38" i="10"/>
  <c r="J38" i="10"/>
  <c r="K38" i="10"/>
  <c r="L38" i="10"/>
  <c r="M38" i="10"/>
  <c r="A39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A40" i="10"/>
  <c r="A103" i="10" s="1"/>
  <c r="B40" i="10"/>
  <c r="C40" i="10"/>
  <c r="A41" i="10"/>
  <c r="A42" i="10"/>
  <c r="A105" i="10" s="1"/>
  <c r="A43" i="10"/>
  <c r="A106" i="10" s="1"/>
  <c r="B76" i="10"/>
  <c r="C76" i="10"/>
  <c r="D76" i="10"/>
  <c r="E76" i="10"/>
  <c r="F76" i="10"/>
  <c r="G76" i="10"/>
  <c r="H76" i="10"/>
  <c r="I76" i="10"/>
  <c r="J76" i="10"/>
  <c r="K76" i="10"/>
  <c r="L76" i="10"/>
  <c r="M76" i="10"/>
  <c r="B77" i="10"/>
  <c r="C77" i="10"/>
  <c r="D77" i="10"/>
  <c r="E77" i="10"/>
  <c r="F77" i="10"/>
  <c r="G77" i="10"/>
  <c r="H77" i="10"/>
  <c r="I77" i="10"/>
  <c r="J77" i="10"/>
  <c r="K77" i="10"/>
  <c r="L77" i="10"/>
  <c r="M77" i="10"/>
  <c r="B78" i="10"/>
  <c r="C78" i="10"/>
  <c r="D78" i="10"/>
  <c r="E78" i="10"/>
  <c r="F78" i="10"/>
  <c r="G78" i="10"/>
  <c r="H78" i="10"/>
  <c r="I78" i="10"/>
  <c r="J78" i="10"/>
  <c r="K78" i="10"/>
  <c r="L78" i="10"/>
  <c r="M78" i="10"/>
  <c r="B79" i="10"/>
  <c r="C79" i="10"/>
  <c r="D79" i="10"/>
  <c r="E79" i="10"/>
  <c r="F79" i="10"/>
  <c r="G79" i="10"/>
  <c r="H79" i="10"/>
  <c r="I79" i="10"/>
  <c r="J79" i="10"/>
  <c r="K79" i="10"/>
  <c r="L79" i="10"/>
  <c r="M79" i="10"/>
  <c r="B80" i="10"/>
  <c r="C80" i="10"/>
  <c r="D80" i="10"/>
  <c r="E80" i="10"/>
  <c r="F80" i="10"/>
  <c r="G80" i="10"/>
  <c r="H80" i="10"/>
  <c r="J80" i="10"/>
  <c r="K80" i="10"/>
  <c r="L80" i="10"/>
  <c r="M80" i="10"/>
  <c r="B81" i="10"/>
  <c r="C81" i="10"/>
  <c r="D81" i="10"/>
  <c r="E81" i="10"/>
  <c r="F81" i="10"/>
  <c r="G81" i="10"/>
  <c r="H81" i="10"/>
  <c r="I81" i="10"/>
  <c r="J81" i="10"/>
  <c r="K81" i="10"/>
  <c r="L81" i="10"/>
  <c r="M81" i="10"/>
  <c r="B82" i="10"/>
  <c r="C82" i="10"/>
  <c r="D82" i="10"/>
  <c r="E82" i="10"/>
  <c r="F82" i="10"/>
  <c r="G82" i="10"/>
  <c r="H82" i="10"/>
  <c r="I82" i="10"/>
  <c r="J82" i="10"/>
  <c r="K82" i="10"/>
  <c r="L82" i="10"/>
  <c r="M82" i="10"/>
  <c r="B83" i="10"/>
  <c r="C83" i="10"/>
  <c r="D83" i="10"/>
  <c r="E83" i="10"/>
  <c r="F83" i="10"/>
  <c r="G83" i="10"/>
  <c r="H83" i="10"/>
  <c r="I83" i="10"/>
  <c r="J83" i="10"/>
  <c r="K83" i="10"/>
  <c r="L83" i="10"/>
  <c r="M83" i="10"/>
  <c r="A84" i="10"/>
  <c r="B84" i="10"/>
  <c r="C84" i="10"/>
  <c r="D84" i="10"/>
  <c r="E84" i="10"/>
  <c r="F84" i="10"/>
  <c r="G84" i="10"/>
  <c r="H84" i="10"/>
  <c r="I84" i="10"/>
  <c r="J84" i="10"/>
  <c r="K84" i="10"/>
  <c r="L84" i="10"/>
  <c r="M84" i="10"/>
  <c r="B85" i="10"/>
  <c r="C85" i="10"/>
  <c r="D85" i="10"/>
  <c r="E85" i="10"/>
  <c r="F85" i="10"/>
  <c r="G85" i="10"/>
  <c r="H85" i="10"/>
  <c r="I85" i="10"/>
  <c r="J85" i="10"/>
  <c r="K85" i="10"/>
  <c r="L85" i="10"/>
  <c r="M85" i="10"/>
  <c r="B86" i="10"/>
  <c r="C86" i="10"/>
  <c r="D86" i="10"/>
  <c r="E86" i="10"/>
  <c r="F86" i="10"/>
  <c r="G86" i="10"/>
  <c r="H86" i="10"/>
  <c r="I86" i="10"/>
  <c r="J86" i="10"/>
  <c r="K86" i="10"/>
  <c r="L86" i="10"/>
  <c r="M86" i="10"/>
  <c r="B87" i="10"/>
  <c r="C87" i="10"/>
  <c r="D87" i="10"/>
  <c r="E87" i="10"/>
  <c r="F87" i="10"/>
  <c r="G87" i="10"/>
  <c r="H87" i="10"/>
  <c r="I87" i="10"/>
  <c r="J87" i="10"/>
  <c r="K87" i="10"/>
  <c r="L87" i="10"/>
  <c r="M87" i="10"/>
  <c r="B88" i="10"/>
  <c r="C88" i="10"/>
  <c r="D88" i="10"/>
  <c r="E88" i="10"/>
  <c r="F88" i="10"/>
  <c r="G88" i="10"/>
  <c r="H88" i="10"/>
  <c r="I88" i="10"/>
  <c r="J88" i="10"/>
  <c r="K88" i="10"/>
  <c r="L88" i="10"/>
  <c r="M88" i="10"/>
  <c r="B89" i="10"/>
  <c r="C89" i="10"/>
  <c r="D89" i="10"/>
  <c r="E89" i="10"/>
  <c r="F89" i="10"/>
  <c r="G89" i="10"/>
  <c r="H89" i="10"/>
  <c r="I89" i="10"/>
  <c r="J89" i="10"/>
  <c r="K89" i="10"/>
  <c r="L89" i="10"/>
  <c r="M89" i="10"/>
  <c r="B90" i="10"/>
  <c r="C90" i="10"/>
  <c r="D90" i="10"/>
  <c r="E90" i="10"/>
  <c r="F90" i="10"/>
  <c r="G90" i="10"/>
  <c r="H90" i="10"/>
  <c r="I90" i="10"/>
  <c r="J90" i="10"/>
  <c r="K90" i="10"/>
  <c r="L90" i="10"/>
  <c r="M90" i="10"/>
  <c r="B91" i="10"/>
  <c r="C91" i="10"/>
  <c r="D91" i="10"/>
  <c r="E91" i="10"/>
  <c r="F91" i="10"/>
  <c r="G91" i="10"/>
  <c r="H91" i="10"/>
  <c r="I91" i="10"/>
  <c r="J91" i="10"/>
  <c r="K91" i="10"/>
  <c r="L91" i="10"/>
  <c r="M91" i="10"/>
  <c r="B92" i="10"/>
  <c r="C92" i="10"/>
  <c r="D92" i="10"/>
  <c r="E92" i="10"/>
  <c r="F92" i="10"/>
  <c r="G92" i="10"/>
  <c r="H92" i="10"/>
  <c r="I92" i="10"/>
  <c r="J92" i="10"/>
  <c r="K92" i="10"/>
  <c r="L92" i="10"/>
  <c r="M92" i="10"/>
  <c r="B93" i="10"/>
  <c r="C93" i="10"/>
  <c r="D93" i="10"/>
  <c r="E93" i="10"/>
  <c r="F93" i="10"/>
  <c r="G93" i="10"/>
  <c r="H93" i="10"/>
  <c r="I93" i="10"/>
  <c r="J93" i="10"/>
  <c r="K93" i="10"/>
  <c r="L93" i="10"/>
  <c r="M93" i="10"/>
  <c r="B94" i="10"/>
  <c r="C94" i="10"/>
  <c r="D94" i="10"/>
  <c r="E94" i="10"/>
  <c r="F94" i="10"/>
  <c r="G94" i="10"/>
  <c r="H94" i="10"/>
  <c r="I94" i="10"/>
  <c r="J94" i="10"/>
  <c r="K94" i="10"/>
  <c r="L94" i="10"/>
  <c r="M94" i="10"/>
  <c r="B95" i="10"/>
  <c r="C95" i="10"/>
  <c r="D95" i="10"/>
  <c r="E95" i="10"/>
  <c r="F95" i="10"/>
  <c r="G95" i="10"/>
  <c r="H95" i="10"/>
  <c r="I95" i="10"/>
  <c r="J95" i="10"/>
  <c r="K95" i="10"/>
  <c r="L95" i="10"/>
  <c r="M95" i="10"/>
  <c r="B96" i="10"/>
  <c r="C96" i="10"/>
  <c r="D96" i="10"/>
  <c r="E96" i="10"/>
  <c r="F96" i="10"/>
  <c r="G96" i="10"/>
  <c r="H96" i="10"/>
  <c r="I96" i="10"/>
  <c r="J96" i="10"/>
  <c r="K96" i="10"/>
  <c r="L96" i="10"/>
  <c r="M96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B101" i="10"/>
  <c r="C101" i="10"/>
  <c r="D101" i="10"/>
  <c r="E101" i="10"/>
  <c r="F101" i="10"/>
  <c r="G101" i="10"/>
  <c r="H101" i="10"/>
  <c r="I101" i="10"/>
  <c r="J101" i="10"/>
  <c r="K101" i="10"/>
  <c r="L101" i="10"/>
  <c r="M101" i="10"/>
  <c r="B102" i="10"/>
  <c r="C102" i="10"/>
  <c r="D102" i="10"/>
  <c r="E102" i="10"/>
  <c r="F102" i="10"/>
  <c r="G102" i="10"/>
  <c r="H102" i="10"/>
  <c r="I102" i="10"/>
  <c r="J102" i="10"/>
  <c r="K102" i="10"/>
  <c r="L102" i="10"/>
  <c r="M102" i="10"/>
  <c r="B103" i="10"/>
  <c r="B138" i="10"/>
  <c r="C138" i="10"/>
  <c r="D138" i="10"/>
  <c r="E138" i="10"/>
  <c r="F138" i="10"/>
  <c r="G138" i="10"/>
  <c r="H138" i="10"/>
  <c r="I138" i="10"/>
  <c r="J138" i="10"/>
  <c r="K138" i="10"/>
  <c r="L138" i="10"/>
  <c r="M138" i="10"/>
  <c r="B139" i="10"/>
  <c r="C139" i="10"/>
  <c r="D139" i="10"/>
  <c r="E139" i="10"/>
  <c r="F139" i="10"/>
  <c r="G139" i="10"/>
  <c r="H139" i="10"/>
  <c r="I139" i="10"/>
  <c r="J139" i="10"/>
  <c r="K139" i="10"/>
  <c r="L139" i="10"/>
  <c r="M139" i="10"/>
  <c r="B140" i="10"/>
  <c r="C140" i="10"/>
  <c r="D140" i="10"/>
  <c r="E140" i="10"/>
  <c r="F140" i="10"/>
  <c r="G140" i="10"/>
  <c r="H140" i="10"/>
  <c r="I140" i="10"/>
  <c r="J140" i="10"/>
  <c r="K140" i="10"/>
  <c r="L140" i="10"/>
  <c r="M140" i="10"/>
  <c r="B141" i="10"/>
  <c r="C141" i="10"/>
  <c r="D141" i="10"/>
  <c r="E141" i="10"/>
  <c r="F141" i="10"/>
  <c r="G141" i="10"/>
  <c r="H141" i="10"/>
  <c r="I141" i="10"/>
  <c r="J141" i="10"/>
  <c r="K141" i="10"/>
  <c r="L141" i="10"/>
  <c r="M141" i="10"/>
  <c r="B142" i="10"/>
  <c r="C142" i="10"/>
  <c r="D142" i="10"/>
  <c r="E142" i="10"/>
  <c r="F142" i="10"/>
  <c r="G142" i="10"/>
  <c r="H142" i="10"/>
  <c r="J142" i="10"/>
  <c r="K142" i="10"/>
  <c r="L142" i="10"/>
  <c r="M142" i="10"/>
  <c r="B143" i="10"/>
  <c r="C143" i="10"/>
  <c r="D143" i="10"/>
  <c r="E143" i="10"/>
  <c r="F143" i="10"/>
  <c r="G143" i="10"/>
  <c r="H143" i="10"/>
  <c r="I143" i="10"/>
  <c r="J143" i="10"/>
  <c r="K143" i="10"/>
  <c r="L143" i="10"/>
  <c r="M143" i="10"/>
  <c r="B144" i="10"/>
  <c r="C144" i="10"/>
  <c r="D144" i="10"/>
  <c r="E144" i="10"/>
  <c r="F144" i="10"/>
  <c r="G144" i="10"/>
  <c r="H144" i="10"/>
  <c r="I144" i="10"/>
  <c r="J144" i="10"/>
  <c r="K144" i="10"/>
  <c r="L144" i="10"/>
  <c r="M144" i="10"/>
  <c r="B145" i="10"/>
  <c r="C145" i="10"/>
  <c r="D145" i="10"/>
  <c r="E145" i="10"/>
  <c r="F145" i="10"/>
  <c r="G145" i="10"/>
  <c r="H145" i="10"/>
  <c r="I145" i="10"/>
  <c r="J145" i="10"/>
  <c r="K145" i="10"/>
  <c r="L145" i="10"/>
  <c r="M145" i="10"/>
  <c r="B146" i="10"/>
  <c r="C146" i="10"/>
  <c r="D146" i="10"/>
  <c r="E146" i="10"/>
  <c r="F146" i="10"/>
  <c r="G146" i="10"/>
  <c r="H146" i="10"/>
  <c r="I146" i="10"/>
  <c r="J146" i="10"/>
  <c r="K146" i="10"/>
  <c r="L146" i="10"/>
  <c r="M146" i="10"/>
  <c r="B147" i="10"/>
  <c r="C147" i="10"/>
  <c r="D147" i="10"/>
  <c r="E147" i="10"/>
  <c r="F147" i="10"/>
  <c r="G147" i="10"/>
  <c r="H147" i="10"/>
  <c r="I147" i="10"/>
  <c r="J147" i="10"/>
  <c r="K147" i="10"/>
  <c r="L147" i="10"/>
  <c r="M147" i="10"/>
  <c r="B148" i="10"/>
  <c r="C148" i="10"/>
  <c r="D148" i="10"/>
  <c r="E148" i="10"/>
  <c r="F148" i="10"/>
  <c r="G148" i="10"/>
  <c r="H148" i="10"/>
  <c r="I148" i="10"/>
  <c r="J148" i="10"/>
  <c r="K148" i="10"/>
  <c r="L148" i="10"/>
  <c r="M148" i="10"/>
  <c r="B149" i="10"/>
  <c r="C149" i="10"/>
  <c r="D149" i="10"/>
  <c r="E149" i="10"/>
  <c r="F149" i="10"/>
  <c r="G149" i="10"/>
  <c r="H149" i="10"/>
  <c r="I149" i="10"/>
  <c r="J149" i="10"/>
  <c r="K149" i="10"/>
  <c r="L149" i="10"/>
  <c r="M149" i="10"/>
  <c r="B150" i="10"/>
  <c r="C150" i="10"/>
  <c r="D150" i="10"/>
  <c r="E150" i="10"/>
  <c r="F150" i="10"/>
  <c r="G150" i="10"/>
  <c r="H150" i="10"/>
  <c r="I150" i="10"/>
  <c r="J150" i="10"/>
  <c r="K150" i="10"/>
  <c r="L150" i="10"/>
  <c r="M150" i="10"/>
  <c r="B151" i="10"/>
  <c r="C151" i="10"/>
  <c r="D151" i="10"/>
  <c r="E151" i="10"/>
  <c r="F151" i="10"/>
  <c r="G151" i="10"/>
  <c r="H151" i="10"/>
  <c r="I151" i="10"/>
  <c r="J151" i="10"/>
  <c r="K151" i="10"/>
  <c r="L151" i="10"/>
  <c r="M151" i="10"/>
  <c r="B152" i="10"/>
  <c r="C152" i="10"/>
  <c r="D152" i="10"/>
  <c r="E152" i="10"/>
  <c r="F152" i="10"/>
  <c r="G152" i="10"/>
  <c r="H152" i="10"/>
  <c r="I152" i="10"/>
  <c r="J152" i="10"/>
  <c r="K152" i="10"/>
  <c r="L152" i="10"/>
  <c r="M152" i="10"/>
  <c r="B153" i="10"/>
  <c r="C153" i="10"/>
  <c r="D153" i="10"/>
  <c r="E153" i="10"/>
  <c r="F153" i="10"/>
  <c r="G153" i="10"/>
  <c r="H153" i="10"/>
  <c r="I153" i="10"/>
  <c r="J153" i="10"/>
  <c r="K153" i="10"/>
  <c r="L153" i="10"/>
  <c r="M153" i="10"/>
  <c r="B154" i="10"/>
  <c r="C154" i="10"/>
  <c r="D154" i="10"/>
  <c r="E154" i="10"/>
  <c r="F154" i="10"/>
  <c r="G154" i="10"/>
  <c r="H154" i="10"/>
  <c r="I154" i="10"/>
  <c r="J154" i="10"/>
  <c r="K154" i="10"/>
  <c r="L154" i="10"/>
  <c r="M154" i="10"/>
  <c r="B155" i="10"/>
  <c r="C155" i="10"/>
  <c r="D155" i="10"/>
  <c r="E155" i="10"/>
  <c r="F155" i="10"/>
  <c r="G155" i="10"/>
  <c r="H155" i="10"/>
  <c r="I155" i="10"/>
  <c r="J155" i="10"/>
  <c r="K155" i="10"/>
  <c r="L155" i="10"/>
  <c r="M155" i="10"/>
  <c r="B156" i="10"/>
  <c r="C156" i="10"/>
  <c r="D156" i="10"/>
  <c r="E156" i="10"/>
  <c r="F156" i="10"/>
  <c r="G156" i="10"/>
  <c r="H156" i="10"/>
  <c r="I156" i="10"/>
  <c r="J156" i="10"/>
  <c r="K156" i="10"/>
  <c r="L156" i="10"/>
  <c r="M156" i="10"/>
  <c r="B157" i="10"/>
  <c r="C157" i="10"/>
  <c r="D157" i="10"/>
  <c r="E157" i="10"/>
  <c r="F157" i="10"/>
  <c r="G157" i="10"/>
  <c r="H157" i="10"/>
  <c r="I157" i="10"/>
  <c r="J157" i="10"/>
  <c r="K157" i="10"/>
  <c r="L157" i="10"/>
  <c r="M157" i="10"/>
  <c r="B158" i="10"/>
  <c r="C158" i="10"/>
  <c r="D158" i="10"/>
  <c r="E158" i="10"/>
  <c r="F158" i="10"/>
  <c r="G158" i="10"/>
  <c r="H158" i="10"/>
  <c r="I158" i="10"/>
  <c r="J158" i="10"/>
  <c r="K158" i="10"/>
  <c r="L158" i="10"/>
  <c r="M158" i="10"/>
  <c r="B159" i="10"/>
  <c r="C159" i="10"/>
  <c r="D159" i="10"/>
  <c r="E159" i="10"/>
  <c r="F159" i="10"/>
  <c r="G159" i="10"/>
  <c r="H159" i="10"/>
  <c r="I159" i="10"/>
  <c r="J159" i="10"/>
  <c r="K159" i="10"/>
  <c r="L159" i="10"/>
  <c r="M159" i="10"/>
  <c r="B160" i="10"/>
  <c r="C160" i="10"/>
  <c r="D160" i="10"/>
  <c r="E160" i="10"/>
  <c r="F160" i="10"/>
  <c r="G160" i="10"/>
  <c r="H160" i="10"/>
  <c r="I160" i="10"/>
  <c r="J160" i="10"/>
  <c r="K160" i="10"/>
  <c r="L160" i="10"/>
  <c r="M160" i="10"/>
  <c r="B161" i="10"/>
  <c r="C161" i="10"/>
  <c r="D161" i="10"/>
  <c r="E161" i="10"/>
  <c r="F161" i="10"/>
  <c r="G161" i="10"/>
  <c r="H161" i="10"/>
  <c r="I161" i="10"/>
  <c r="J161" i="10"/>
  <c r="K161" i="10"/>
  <c r="L161" i="10"/>
  <c r="M161" i="10"/>
  <c r="B162" i="10"/>
  <c r="C162" i="10"/>
  <c r="D162" i="10"/>
  <c r="E162" i="10"/>
  <c r="F162" i="10"/>
  <c r="G162" i="10"/>
  <c r="H162" i="10"/>
  <c r="I162" i="10"/>
  <c r="J162" i="10"/>
  <c r="K162" i="10"/>
  <c r="L162" i="10"/>
  <c r="M162" i="10"/>
  <c r="B163" i="10"/>
  <c r="C163" i="10"/>
  <c r="D163" i="10"/>
  <c r="E163" i="10"/>
  <c r="F163" i="10"/>
  <c r="G163" i="10"/>
  <c r="H163" i="10"/>
  <c r="I163" i="10"/>
  <c r="J163" i="10"/>
  <c r="K163" i="10"/>
  <c r="L163" i="10"/>
  <c r="M163" i="10"/>
  <c r="B164" i="10"/>
  <c r="C164" i="10"/>
  <c r="D164" i="10"/>
  <c r="E164" i="10"/>
  <c r="F164" i="10"/>
  <c r="G164" i="10"/>
  <c r="H164" i="10"/>
  <c r="I164" i="10"/>
  <c r="J164" i="10"/>
  <c r="K164" i="10"/>
  <c r="L164" i="10"/>
  <c r="M164" i="10"/>
  <c r="B165" i="10"/>
  <c r="C6" i="9"/>
  <c r="D6" i="9"/>
  <c r="H6" i="9"/>
  <c r="I6" i="9"/>
  <c r="C7" i="9"/>
  <c r="D7" i="9"/>
  <c r="H7" i="9"/>
  <c r="I7" i="9"/>
  <c r="C8" i="9"/>
  <c r="D8" i="9"/>
  <c r="H8" i="9"/>
  <c r="I8" i="9"/>
  <c r="C9" i="9"/>
  <c r="D9" i="9"/>
  <c r="H9" i="9"/>
  <c r="I9" i="9"/>
  <c r="C10" i="9"/>
  <c r="D10" i="9"/>
  <c r="H10" i="9"/>
  <c r="I10" i="9"/>
  <c r="C11" i="9"/>
  <c r="D11" i="9"/>
  <c r="H11" i="9"/>
  <c r="I11" i="9"/>
  <c r="C12" i="9"/>
  <c r="D12" i="9"/>
  <c r="H12" i="9"/>
  <c r="I12" i="9"/>
  <c r="C13" i="9"/>
  <c r="D13" i="9"/>
  <c r="H13" i="9"/>
  <c r="I13" i="9"/>
  <c r="C14" i="9"/>
  <c r="D14" i="9"/>
  <c r="H14" i="9"/>
  <c r="I14" i="9"/>
  <c r="C15" i="9"/>
  <c r="D15" i="9"/>
  <c r="H15" i="9"/>
  <c r="I15" i="9"/>
  <c r="C16" i="9"/>
  <c r="D16" i="9"/>
  <c r="H16" i="9"/>
  <c r="I16" i="9"/>
  <c r="C17" i="9"/>
  <c r="D17" i="9"/>
  <c r="H17" i="9"/>
  <c r="I17" i="9"/>
  <c r="C18" i="9"/>
  <c r="D18" i="9"/>
  <c r="H18" i="9"/>
  <c r="I18" i="9"/>
  <c r="C19" i="9"/>
  <c r="D19" i="9"/>
  <c r="H19" i="9"/>
  <c r="I19" i="9"/>
  <c r="C20" i="9"/>
  <c r="D20" i="9"/>
  <c r="H20" i="9"/>
  <c r="I20" i="9"/>
  <c r="C21" i="9"/>
  <c r="D21" i="9"/>
  <c r="H21" i="9"/>
  <c r="I21" i="9"/>
  <c r="C22" i="9"/>
  <c r="D22" i="9"/>
  <c r="H22" i="9"/>
  <c r="I22" i="9"/>
  <c r="C23" i="9"/>
  <c r="D23" i="9"/>
  <c r="H23" i="9"/>
  <c r="I23" i="9"/>
  <c r="C24" i="9"/>
  <c r="D24" i="9"/>
  <c r="H24" i="9"/>
  <c r="I24" i="9"/>
  <c r="C25" i="9"/>
  <c r="D25" i="9"/>
  <c r="H25" i="9"/>
  <c r="I25" i="9"/>
  <c r="C26" i="9"/>
  <c r="D26" i="9"/>
  <c r="H26" i="9"/>
  <c r="I26" i="9"/>
  <c r="C27" i="9"/>
  <c r="D27" i="9"/>
  <c r="H27" i="9"/>
  <c r="I27" i="9"/>
  <c r="C28" i="9"/>
  <c r="D28" i="9"/>
  <c r="H28" i="9"/>
  <c r="I28" i="9"/>
  <c r="C29" i="9"/>
  <c r="D29" i="9"/>
  <c r="H29" i="9"/>
  <c r="I29" i="9"/>
  <c r="C30" i="9"/>
  <c r="D30" i="9"/>
  <c r="H30" i="9"/>
  <c r="I30" i="9"/>
  <c r="C31" i="9"/>
  <c r="D31" i="9"/>
  <c r="H31" i="9"/>
  <c r="I31" i="9"/>
  <c r="C32" i="9"/>
  <c r="D32" i="9"/>
  <c r="H32" i="9"/>
  <c r="I32" i="9"/>
  <c r="C33" i="9"/>
  <c r="D33" i="9"/>
  <c r="H33" i="9"/>
  <c r="I33" i="9"/>
  <c r="C34" i="9"/>
  <c r="D34" i="9"/>
  <c r="H34" i="9"/>
  <c r="I34" i="9"/>
  <c r="C35" i="9"/>
  <c r="D35" i="9"/>
  <c r="H35" i="9"/>
  <c r="I35" i="9"/>
  <c r="C36" i="9"/>
  <c r="D36" i="9"/>
  <c r="H36" i="9"/>
  <c r="I36" i="9"/>
  <c r="C37" i="9"/>
  <c r="D37" i="9"/>
  <c r="H37" i="9"/>
  <c r="I37" i="9"/>
  <c r="C38" i="9"/>
  <c r="D38" i="9"/>
  <c r="H38" i="9"/>
  <c r="I38" i="9"/>
  <c r="C39" i="9"/>
  <c r="D39" i="9"/>
  <c r="H39" i="9"/>
  <c r="I39" i="9"/>
  <c r="C40" i="9"/>
  <c r="D40" i="9"/>
  <c r="H40" i="9"/>
  <c r="I40" i="9"/>
  <c r="C41" i="9"/>
  <c r="D41" i="9"/>
  <c r="H41" i="9"/>
  <c r="I41" i="9"/>
  <c r="C42" i="9"/>
  <c r="D42" i="9"/>
  <c r="H42" i="9"/>
  <c r="I42" i="9"/>
  <c r="C43" i="9"/>
  <c r="D43" i="9"/>
  <c r="H43" i="9"/>
  <c r="I43" i="9"/>
  <c r="C44" i="9"/>
  <c r="D44" i="9"/>
  <c r="H44" i="9"/>
  <c r="I44" i="9"/>
  <c r="C45" i="9"/>
  <c r="D45" i="9"/>
  <c r="H45" i="9"/>
  <c r="I45" i="9"/>
  <c r="C46" i="9"/>
  <c r="D46" i="9"/>
  <c r="H46" i="9"/>
  <c r="I46" i="9"/>
  <c r="C47" i="9"/>
  <c r="D47" i="9"/>
  <c r="H47" i="9"/>
  <c r="I47" i="9"/>
  <c r="C48" i="9"/>
  <c r="D48" i="9"/>
  <c r="H48" i="9"/>
  <c r="I48" i="9"/>
  <c r="C49" i="9"/>
  <c r="D49" i="9"/>
  <c r="H49" i="9"/>
  <c r="I49" i="9"/>
  <c r="C50" i="9"/>
  <c r="D50" i="9"/>
  <c r="H50" i="9"/>
  <c r="I50" i="9"/>
  <c r="C51" i="9"/>
  <c r="D51" i="9"/>
  <c r="H51" i="9"/>
  <c r="I51" i="9"/>
  <c r="C52" i="9"/>
  <c r="D52" i="9"/>
  <c r="H52" i="9"/>
  <c r="I52" i="9"/>
  <c r="C53" i="9"/>
  <c r="D53" i="9"/>
  <c r="H53" i="9"/>
  <c r="I53" i="9"/>
  <c r="C54" i="9"/>
  <c r="D54" i="9"/>
  <c r="H54" i="9"/>
  <c r="I54" i="9"/>
  <c r="C55" i="9"/>
  <c r="D55" i="9"/>
  <c r="H55" i="9"/>
  <c r="I55" i="9"/>
  <c r="C56" i="9"/>
  <c r="D56" i="9"/>
  <c r="H56" i="9"/>
  <c r="I56" i="9"/>
  <c r="C57" i="9"/>
  <c r="D57" i="9"/>
  <c r="H57" i="9"/>
  <c r="I57" i="9"/>
  <c r="C58" i="9"/>
  <c r="D58" i="9"/>
  <c r="H58" i="9"/>
  <c r="I58" i="9"/>
  <c r="C59" i="9"/>
  <c r="D59" i="9"/>
  <c r="H59" i="9"/>
  <c r="I59" i="9"/>
  <c r="C60" i="9"/>
  <c r="D60" i="9"/>
  <c r="H60" i="9"/>
  <c r="I60" i="9"/>
  <c r="C61" i="9"/>
  <c r="D61" i="9"/>
  <c r="H61" i="9"/>
  <c r="I61" i="9"/>
  <c r="C62" i="9"/>
  <c r="D62" i="9"/>
  <c r="H62" i="9"/>
  <c r="I62" i="9"/>
  <c r="C63" i="9"/>
  <c r="D63" i="9"/>
  <c r="H63" i="9"/>
  <c r="I63" i="9"/>
  <c r="C64" i="9"/>
  <c r="D64" i="9"/>
  <c r="H64" i="9"/>
  <c r="I64" i="9"/>
  <c r="C65" i="9"/>
  <c r="D65" i="9"/>
  <c r="H65" i="9"/>
  <c r="I65" i="9"/>
  <c r="C66" i="9"/>
  <c r="D66" i="9"/>
  <c r="H66" i="9"/>
  <c r="I66" i="9"/>
  <c r="C67" i="9"/>
  <c r="D67" i="9"/>
  <c r="H67" i="9"/>
  <c r="I67" i="9"/>
  <c r="C68" i="9"/>
  <c r="D68" i="9"/>
  <c r="H68" i="9"/>
  <c r="I68" i="9"/>
  <c r="C69" i="9"/>
  <c r="D69" i="9"/>
  <c r="H69" i="9"/>
  <c r="I69" i="9"/>
  <c r="C70" i="9"/>
  <c r="D70" i="9"/>
  <c r="H70" i="9"/>
  <c r="I70" i="9"/>
  <c r="C71" i="9"/>
  <c r="D71" i="9"/>
  <c r="H71" i="9"/>
  <c r="I71" i="9"/>
  <c r="C72" i="9"/>
  <c r="D72" i="9"/>
  <c r="H72" i="9"/>
  <c r="I72" i="9"/>
  <c r="C73" i="9"/>
  <c r="D73" i="9"/>
  <c r="H73" i="9"/>
  <c r="I73" i="9"/>
  <c r="C74" i="9"/>
  <c r="D74" i="9"/>
  <c r="H74" i="9"/>
  <c r="I74" i="9"/>
  <c r="C75" i="9"/>
  <c r="D75" i="9"/>
  <c r="H75" i="9"/>
  <c r="I75" i="9"/>
  <c r="C76" i="9"/>
  <c r="D76" i="9"/>
  <c r="H76" i="9"/>
  <c r="I76" i="9"/>
  <c r="C77" i="9"/>
  <c r="D77" i="9"/>
  <c r="H77" i="9"/>
  <c r="I77" i="9"/>
  <c r="C78" i="9"/>
  <c r="D78" i="9"/>
  <c r="H78" i="9"/>
  <c r="I78" i="9"/>
  <c r="C79" i="9"/>
  <c r="D79" i="9"/>
  <c r="H79" i="9"/>
  <c r="I79" i="9"/>
  <c r="C80" i="9"/>
  <c r="D80" i="9"/>
  <c r="H80" i="9"/>
  <c r="I80" i="9"/>
  <c r="C81" i="9"/>
  <c r="D81" i="9"/>
  <c r="H81" i="9"/>
  <c r="I81" i="9"/>
  <c r="C82" i="9"/>
  <c r="D82" i="9"/>
  <c r="H82" i="9"/>
  <c r="I82" i="9"/>
  <c r="C83" i="9"/>
  <c r="D83" i="9"/>
  <c r="H83" i="9"/>
  <c r="I83" i="9"/>
  <c r="C84" i="9"/>
  <c r="D84" i="9"/>
  <c r="H84" i="9"/>
  <c r="I84" i="9"/>
  <c r="C85" i="9"/>
  <c r="D85" i="9"/>
  <c r="H85" i="9"/>
  <c r="I85" i="9"/>
  <c r="C86" i="9"/>
  <c r="D86" i="9"/>
  <c r="H86" i="9"/>
  <c r="I86" i="9"/>
  <c r="C87" i="9"/>
  <c r="D87" i="9"/>
  <c r="I87" i="9"/>
  <c r="C88" i="9"/>
  <c r="D88" i="9"/>
  <c r="H88" i="9"/>
  <c r="I88" i="9"/>
  <c r="C89" i="9"/>
  <c r="D89" i="9"/>
  <c r="H89" i="9"/>
  <c r="I89" i="9"/>
  <c r="C90" i="9"/>
  <c r="D90" i="9"/>
  <c r="H90" i="9"/>
  <c r="I90" i="9"/>
  <c r="C91" i="9"/>
  <c r="D91" i="9"/>
  <c r="H91" i="9"/>
  <c r="I91" i="9"/>
  <c r="C92" i="9"/>
  <c r="D92" i="9"/>
  <c r="H92" i="9"/>
  <c r="I92" i="9"/>
  <c r="C93" i="9"/>
  <c r="D93" i="9"/>
  <c r="H93" i="9"/>
  <c r="I93" i="9"/>
  <c r="C94" i="9"/>
  <c r="D94" i="9"/>
  <c r="H94" i="9"/>
  <c r="I94" i="9"/>
  <c r="C95" i="9"/>
  <c r="D95" i="9"/>
  <c r="H95" i="9"/>
  <c r="I95" i="9"/>
  <c r="C96" i="9"/>
  <c r="D96" i="9"/>
  <c r="H96" i="9"/>
  <c r="I96" i="9"/>
  <c r="C97" i="9"/>
  <c r="D97" i="9"/>
  <c r="H97" i="9"/>
  <c r="I97" i="9"/>
  <c r="C98" i="9"/>
  <c r="D98" i="9"/>
  <c r="H98" i="9"/>
  <c r="I98" i="9"/>
  <c r="C99" i="9"/>
  <c r="D99" i="9"/>
  <c r="H99" i="9"/>
  <c r="I99" i="9"/>
  <c r="C100" i="9"/>
  <c r="D100" i="9"/>
  <c r="H100" i="9"/>
  <c r="I100" i="9"/>
  <c r="C101" i="9"/>
  <c r="D101" i="9"/>
  <c r="H101" i="9"/>
  <c r="I101" i="9"/>
  <c r="C102" i="9"/>
  <c r="D102" i="9"/>
  <c r="H102" i="9"/>
  <c r="I102" i="9"/>
  <c r="C103" i="9"/>
  <c r="D103" i="9"/>
  <c r="H103" i="9"/>
  <c r="I103" i="9"/>
  <c r="C104" i="9"/>
  <c r="D104" i="9"/>
  <c r="H104" i="9"/>
  <c r="I104" i="9"/>
  <c r="C105" i="9"/>
  <c r="D105" i="9"/>
  <c r="H105" i="9"/>
  <c r="I105" i="9"/>
  <c r="C106" i="9"/>
  <c r="D106" i="9"/>
  <c r="H106" i="9"/>
  <c r="I106" i="9"/>
  <c r="C107" i="9"/>
  <c r="D107" i="9"/>
  <c r="H107" i="9"/>
  <c r="I107" i="9"/>
  <c r="C108" i="9"/>
  <c r="D108" i="9"/>
  <c r="H108" i="9"/>
  <c r="I108" i="9"/>
  <c r="C109" i="9"/>
  <c r="D109" i="9"/>
  <c r="H109" i="9"/>
  <c r="I109" i="9"/>
  <c r="C110" i="9"/>
  <c r="D110" i="9"/>
  <c r="H110" i="9"/>
  <c r="I110" i="9"/>
  <c r="C111" i="9"/>
  <c r="D111" i="9"/>
  <c r="H111" i="9"/>
  <c r="I111" i="9"/>
  <c r="C112" i="9"/>
  <c r="D112" i="9"/>
  <c r="H112" i="9"/>
  <c r="I112" i="9"/>
  <c r="C113" i="9"/>
  <c r="D113" i="9"/>
  <c r="H113" i="9"/>
  <c r="I113" i="9"/>
  <c r="C114" i="9"/>
  <c r="D114" i="9"/>
  <c r="H114" i="9"/>
  <c r="I114" i="9"/>
  <c r="C115" i="9"/>
  <c r="D115" i="9"/>
  <c r="H115" i="9"/>
  <c r="I115" i="9"/>
  <c r="C116" i="9"/>
  <c r="D116" i="9"/>
  <c r="H116" i="9"/>
  <c r="I116" i="9"/>
  <c r="C117" i="9"/>
  <c r="D117" i="9"/>
  <c r="H117" i="9"/>
  <c r="I117" i="9"/>
  <c r="C118" i="9"/>
  <c r="D118" i="9"/>
  <c r="H118" i="9"/>
  <c r="I118" i="9"/>
  <c r="C119" i="9"/>
  <c r="H119" i="9"/>
  <c r="I119" i="9"/>
  <c r="C120" i="9"/>
  <c r="H120" i="9"/>
  <c r="I120" i="9"/>
  <c r="C121" i="9"/>
  <c r="D121" i="9"/>
  <c r="H121" i="9"/>
  <c r="I121" i="9"/>
  <c r="C122" i="9"/>
  <c r="D122" i="9"/>
  <c r="H122" i="9"/>
  <c r="I122" i="9"/>
  <c r="C123" i="9"/>
  <c r="D123" i="9"/>
  <c r="H123" i="9"/>
  <c r="I123" i="9"/>
  <c r="C124" i="9"/>
  <c r="D124" i="9"/>
  <c r="H124" i="9"/>
  <c r="I124" i="9"/>
  <c r="C125" i="9"/>
  <c r="D125" i="9"/>
  <c r="H125" i="9"/>
  <c r="I125" i="9"/>
  <c r="C126" i="9"/>
  <c r="D126" i="9"/>
  <c r="H126" i="9"/>
  <c r="I126" i="9"/>
  <c r="C127" i="9"/>
  <c r="D127" i="9"/>
  <c r="H127" i="9"/>
  <c r="I127" i="9"/>
  <c r="C128" i="9"/>
  <c r="D128" i="9"/>
  <c r="H128" i="9"/>
  <c r="I128" i="9"/>
  <c r="C129" i="9"/>
  <c r="H129" i="9"/>
  <c r="I129" i="9"/>
  <c r="C130" i="9"/>
  <c r="D130" i="9"/>
  <c r="H130" i="9"/>
  <c r="I130" i="9"/>
  <c r="C131" i="9"/>
  <c r="H131" i="9"/>
  <c r="I131" i="9"/>
  <c r="C132" i="9"/>
  <c r="H132" i="9"/>
  <c r="I132" i="9"/>
  <c r="C133" i="9"/>
  <c r="H133" i="9"/>
  <c r="I133" i="9"/>
  <c r="C134" i="9"/>
  <c r="H134" i="9"/>
  <c r="I134" i="9"/>
  <c r="C135" i="9"/>
  <c r="H135" i="9"/>
  <c r="I135" i="9"/>
  <c r="C136" i="9"/>
  <c r="D136" i="9"/>
  <c r="H136" i="9"/>
  <c r="I136" i="9"/>
  <c r="C137" i="9"/>
  <c r="D137" i="9"/>
  <c r="H137" i="9"/>
  <c r="I137" i="9"/>
  <c r="C138" i="9"/>
  <c r="D138" i="9"/>
  <c r="H138" i="9"/>
  <c r="I138" i="9"/>
  <c r="C139" i="9"/>
  <c r="D139" i="9"/>
  <c r="H139" i="9"/>
  <c r="I139" i="9"/>
  <c r="C140" i="9"/>
  <c r="D140" i="9"/>
  <c r="H140" i="9"/>
  <c r="I140" i="9"/>
  <c r="C141" i="9"/>
  <c r="D141" i="9"/>
  <c r="H141" i="9"/>
  <c r="I141" i="9"/>
  <c r="C142" i="9"/>
  <c r="D142" i="9"/>
  <c r="H142" i="9"/>
  <c r="I142" i="9"/>
  <c r="C143" i="9"/>
  <c r="D143" i="9"/>
  <c r="H143" i="9"/>
  <c r="I143" i="9"/>
  <c r="C144" i="9"/>
  <c r="H144" i="9"/>
  <c r="I144" i="9"/>
  <c r="C145" i="9"/>
  <c r="H145" i="9"/>
  <c r="I145" i="9"/>
  <c r="H146" i="9"/>
  <c r="I146" i="9"/>
  <c r="H147" i="9"/>
  <c r="I147" i="9"/>
  <c r="H148" i="9"/>
  <c r="I148" i="9"/>
  <c r="H149" i="9"/>
  <c r="I149" i="9"/>
  <c r="H150" i="9"/>
  <c r="I150" i="9"/>
  <c r="H151" i="9"/>
  <c r="I151" i="9"/>
  <c r="H152" i="9"/>
  <c r="I152" i="9"/>
  <c r="H153" i="9"/>
  <c r="I153" i="9"/>
  <c r="H154" i="9"/>
  <c r="I154" i="9"/>
  <c r="H155" i="9"/>
  <c r="I155" i="9"/>
  <c r="H156" i="9"/>
  <c r="I156" i="9"/>
  <c r="H157" i="9"/>
  <c r="I157" i="9"/>
  <c r="H158" i="9"/>
  <c r="I158" i="9"/>
  <c r="H159" i="9"/>
  <c r="I159" i="9"/>
  <c r="H160" i="9"/>
  <c r="I160" i="9"/>
  <c r="H161" i="9"/>
  <c r="I161" i="9"/>
  <c r="H162" i="9"/>
  <c r="I162" i="9"/>
  <c r="H163" i="9"/>
  <c r="I163" i="9"/>
  <c r="H164" i="9"/>
  <c r="I164" i="9"/>
  <c r="H165" i="9"/>
  <c r="I165" i="9"/>
  <c r="H166" i="9"/>
  <c r="H167" i="9"/>
  <c r="I167" i="9"/>
  <c r="H168" i="9"/>
  <c r="I168" i="9"/>
  <c r="H169" i="9"/>
  <c r="I169" i="9"/>
  <c r="H170" i="9"/>
  <c r="I170" i="9"/>
  <c r="H171" i="9"/>
  <c r="I171" i="9"/>
  <c r="H172" i="9"/>
  <c r="I172" i="9"/>
  <c r="H173" i="9"/>
  <c r="I173" i="9"/>
  <c r="H174" i="9"/>
  <c r="I174" i="9"/>
  <c r="H175" i="9"/>
  <c r="I175" i="9"/>
  <c r="H176" i="9"/>
  <c r="I176" i="9"/>
  <c r="H177" i="9"/>
  <c r="I177" i="9"/>
  <c r="H178" i="9"/>
  <c r="I178" i="9"/>
  <c r="H179" i="9"/>
  <c r="I179" i="9"/>
  <c r="H180" i="9"/>
  <c r="I180" i="9"/>
  <c r="H181" i="9"/>
  <c r="H182" i="9"/>
  <c r="H183" i="9"/>
  <c r="H184" i="9"/>
  <c r="H185" i="9"/>
  <c r="H186" i="9"/>
  <c r="H187" i="9"/>
  <c r="H188" i="9"/>
  <c r="I188" i="9"/>
  <c r="H189" i="9"/>
  <c r="I189" i="9"/>
  <c r="H190" i="9"/>
  <c r="I190" i="9"/>
  <c r="H191" i="9"/>
  <c r="I191" i="9"/>
  <c r="H192" i="9"/>
  <c r="I192" i="9"/>
  <c r="H193" i="9"/>
  <c r="I193" i="9"/>
  <c r="H194" i="9"/>
  <c r="I194" i="9"/>
  <c r="H195" i="9"/>
  <c r="I195" i="9"/>
  <c r="H196" i="9"/>
  <c r="I196" i="9"/>
  <c r="H197" i="9"/>
  <c r="I197" i="9"/>
  <c r="H198" i="9"/>
  <c r="I198" i="9"/>
  <c r="H199" i="9"/>
  <c r="I199" i="9"/>
  <c r="H200" i="9"/>
  <c r="I200" i="9"/>
  <c r="H201" i="9"/>
  <c r="I201" i="9"/>
  <c r="A6" i="8"/>
  <c r="A62" i="8" s="1"/>
  <c r="R6" i="8"/>
  <c r="AC6" i="8" s="1"/>
  <c r="AC60" i="8" s="1"/>
  <c r="S6" i="8"/>
  <c r="T6" i="8"/>
  <c r="A7" i="8"/>
  <c r="A63" i="8" s="1"/>
  <c r="R7" i="8"/>
  <c r="AG7" i="8" s="1"/>
  <c r="S7" i="8"/>
  <c r="T7" i="8"/>
  <c r="AN7" i="8"/>
  <c r="AO7" i="8"/>
  <c r="AP7" i="8"/>
  <c r="AQ7" i="8"/>
  <c r="AR7" i="8"/>
  <c r="AS7" i="8"/>
  <c r="AT7" i="8"/>
  <c r="AU7" i="8"/>
  <c r="AV7" i="8"/>
  <c r="AW7" i="8"/>
  <c r="AX7" i="8"/>
  <c r="AY7" i="8"/>
  <c r="BB7" i="8"/>
  <c r="BB8" i="8" s="1"/>
  <c r="BB9" i="8" s="1"/>
  <c r="BB10" i="8" s="1"/>
  <c r="BB11" i="8" s="1"/>
  <c r="BB12" i="8" s="1"/>
  <c r="A8" i="8"/>
  <c r="A64" i="8" s="1"/>
  <c r="R8" i="8"/>
  <c r="AF8" i="8" s="1"/>
  <c r="S8" i="8"/>
  <c r="T8" i="8"/>
  <c r="AN8" i="8"/>
  <c r="AO8" i="8"/>
  <c r="AP8" i="8"/>
  <c r="AQ8" i="8"/>
  <c r="AR8" i="8"/>
  <c r="AS8" i="8"/>
  <c r="AT8" i="8"/>
  <c r="AU8" i="8"/>
  <c r="AV8" i="8"/>
  <c r="AW8" i="8"/>
  <c r="AX8" i="8"/>
  <c r="AY8" i="8"/>
  <c r="A9" i="8"/>
  <c r="Y9" i="8" s="1"/>
  <c r="AM9" i="8" s="1"/>
  <c r="R9" i="8"/>
  <c r="AH9" i="8" s="1"/>
  <c r="S9" i="8"/>
  <c r="T9" i="8"/>
  <c r="AN9" i="8"/>
  <c r="AO9" i="8"/>
  <c r="AP9" i="8"/>
  <c r="AQ9" i="8"/>
  <c r="AR9" i="8"/>
  <c r="AS9" i="8"/>
  <c r="AT9" i="8"/>
  <c r="AU9" i="8"/>
  <c r="AV9" i="8"/>
  <c r="AW9" i="8"/>
  <c r="AX9" i="8"/>
  <c r="AY9" i="8"/>
  <c r="A10" i="8"/>
  <c r="A121" i="8" s="1"/>
  <c r="R10" i="8"/>
  <c r="AH10" i="8" s="1"/>
  <c r="S10" i="8"/>
  <c r="T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11" i="8"/>
  <c r="A67" i="8" s="1"/>
  <c r="R11" i="8"/>
  <c r="AE11" i="8" s="1"/>
  <c r="S11" i="8"/>
  <c r="T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12" i="8"/>
  <c r="A123" i="8" s="1"/>
  <c r="R12" i="8"/>
  <c r="AF12" i="8" s="1"/>
  <c r="S12" i="8"/>
  <c r="T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13" i="8"/>
  <c r="A69" i="8" s="1"/>
  <c r="R13" i="8"/>
  <c r="AG13" i="8" s="1"/>
  <c r="S13" i="8"/>
  <c r="T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14" i="8"/>
  <c r="A70" i="8" s="1"/>
  <c r="R14" i="8"/>
  <c r="AF14" i="8" s="1"/>
  <c r="S14" i="8"/>
  <c r="T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15" i="8"/>
  <c r="A71" i="8" s="1"/>
  <c r="R15" i="8"/>
  <c r="AF15" i="8" s="1"/>
  <c r="S15" i="8"/>
  <c r="T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16" i="8"/>
  <c r="Y16" i="8" s="1"/>
  <c r="AM16" i="8" s="1"/>
  <c r="R16" i="8"/>
  <c r="S16" i="8"/>
  <c r="T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17" i="8"/>
  <c r="Y17" i="8" s="1"/>
  <c r="AM17" i="8" s="1"/>
  <c r="I17" i="8"/>
  <c r="I142" i="10" s="1"/>
  <c r="S17" i="8"/>
  <c r="T17" i="8"/>
  <c r="AN17" i="8"/>
  <c r="AO17" i="8"/>
  <c r="AP17" i="8"/>
  <c r="AQ17" i="8"/>
  <c r="AR17" i="8"/>
  <c r="AS17" i="8"/>
  <c r="AT17" i="8"/>
  <c r="AV17" i="8"/>
  <c r="AW17" i="8"/>
  <c r="AX17" i="8"/>
  <c r="AY17" i="8"/>
  <c r="A18" i="8"/>
  <c r="R18" i="8"/>
  <c r="AH18" i="8" s="1"/>
  <c r="S18" i="8"/>
  <c r="T18" i="8"/>
  <c r="AN18" i="8"/>
  <c r="AO18" i="8"/>
  <c r="AP18" i="8"/>
  <c r="AQ18" i="8"/>
  <c r="AR18" i="8"/>
  <c r="AS18" i="8"/>
  <c r="AT18" i="8"/>
  <c r="AV18" i="8"/>
  <c r="AW18" i="8"/>
  <c r="AX18" i="8"/>
  <c r="AY18" i="8"/>
  <c r="A19" i="8"/>
  <c r="R19" i="8"/>
  <c r="AD19" i="8" s="1"/>
  <c r="S19" i="8"/>
  <c r="T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20" i="8"/>
  <c r="R20" i="8"/>
  <c r="AD20" i="8" s="1"/>
  <c r="S20" i="8"/>
  <c r="T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21" i="8"/>
  <c r="A132" i="8" s="1"/>
  <c r="R21" i="8"/>
  <c r="AE21" i="8" s="1"/>
  <c r="S21" i="8"/>
  <c r="T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22" i="8"/>
  <c r="R22" i="8"/>
  <c r="AF22" i="8" s="1"/>
  <c r="S22" i="8"/>
  <c r="T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23" i="8"/>
  <c r="Y23" i="8" s="1"/>
  <c r="AM23" i="8" s="1"/>
  <c r="R23" i="8"/>
  <c r="AE23" i="8" s="1"/>
  <c r="S23" i="8"/>
  <c r="T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24" i="8"/>
  <c r="R24" i="8"/>
  <c r="AE24" i="8" s="1"/>
  <c r="S24" i="8"/>
  <c r="T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25" i="8"/>
  <c r="R25" i="8"/>
  <c r="AH25" i="8" s="1"/>
  <c r="S25" i="8"/>
  <c r="T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26" i="8"/>
  <c r="R26" i="8"/>
  <c r="AC26" i="8" s="1"/>
  <c r="S26" i="8"/>
  <c r="T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27" i="8"/>
  <c r="Y27" i="8" s="1"/>
  <c r="AM27" i="8" s="1"/>
  <c r="R27" i="8"/>
  <c r="AC27" i="8" s="1"/>
  <c r="S27" i="8"/>
  <c r="T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28" i="8"/>
  <c r="Y28" i="8" s="1"/>
  <c r="AM28" i="8" s="1"/>
  <c r="R28" i="8"/>
  <c r="AG28" i="8" s="1"/>
  <c r="S28" i="8"/>
  <c r="T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29" i="8"/>
  <c r="Y29" i="8" s="1"/>
  <c r="AM29" i="8" s="1"/>
  <c r="R29" i="8"/>
  <c r="AE29" i="8" s="1"/>
  <c r="S29" i="8"/>
  <c r="T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30" i="8"/>
  <c r="R30" i="8"/>
  <c r="AF30" i="8" s="1"/>
  <c r="S30" i="8"/>
  <c r="T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31" i="8"/>
  <c r="Y31" i="8" s="1"/>
  <c r="AM31" i="8" s="1"/>
  <c r="R31" i="8"/>
  <c r="AF31" i="8" s="1"/>
  <c r="S31" i="8"/>
  <c r="T31" i="8"/>
  <c r="AN31" i="8"/>
  <c r="AO31" i="8"/>
  <c r="AP31" i="8"/>
  <c r="AQ31" i="8"/>
  <c r="AR31" i="8"/>
  <c r="AS31" i="8"/>
  <c r="AT31" i="8"/>
  <c r="AU31" i="8"/>
  <c r="AV31" i="8"/>
  <c r="AW31" i="8"/>
  <c r="AX31" i="8"/>
  <c r="AY31" i="8"/>
  <c r="A32" i="8"/>
  <c r="R32" i="8"/>
  <c r="AF32" i="8" s="1"/>
  <c r="S32" i="8"/>
  <c r="T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33" i="8"/>
  <c r="A89" i="8" s="1"/>
  <c r="A34" i="8"/>
  <c r="A35" i="8"/>
  <c r="A146" i="8" s="1"/>
  <c r="A36" i="8"/>
  <c r="A92" i="8" s="1"/>
  <c r="A37" i="8"/>
  <c r="A148" i="8" s="1"/>
  <c r="A38" i="8"/>
  <c r="A94" i="8" s="1"/>
  <c r="A39" i="8"/>
  <c r="A95" i="8" s="1"/>
  <c r="A40" i="8"/>
  <c r="A151" i="8" s="1"/>
  <c r="A41" i="8"/>
  <c r="A42" i="8"/>
  <c r="A98" i="8" s="1"/>
  <c r="Y129" i="8"/>
  <c r="Y130" i="8" s="1"/>
  <c r="Y131" i="8" s="1"/>
  <c r="Y132" i="8" s="1"/>
  <c r="Y133" i="8" s="1"/>
  <c r="Y134" i="8" s="1"/>
  <c r="Y135" i="8" s="1"/>
  <c r="Y136" i="8" s="1"/>
  <c r="Y137" i="8" s="1"/>
  <c r="Y138" i="8" s="1"/>
  <c r="Y139" i="8" s="1"/>
  <c r="Y140" i="8" s="1"/>
  <c r="Y141" i="8" s="1"/>
  <c r="Y142" i="8" s="1"/>
  <c r="Y143" i="8" s="1"/>
  <c r="Y144" i="8" s="1"/>
  <c r="Y145" i="8" s="1"/>
  <c r="Y146" i="8" s="1"/>
  <c r="Y147" i="8" s="1"/>
  <c r="Y148" i="8" s="1"/>
  <c r="Y149" i="8" s="1"/>
  <c r="Y150" i="8" s="1"/>
  <c r="Y151" i="8" s="1"/>
  <c r="Y152" i="8" s="1"/>
  <c r="Y153" i="8" s="1"/>
  <c r="Y154" i="8" s="1"/>
  <c r="A6" i="7"/>
  <c r="B6" i="7"/>
  <c r="C6" i="7"/>
  <c r="D6" i="7"/>
  <c r="E6" i="7"/>
  <c r="F6" i="7"/>
  <c r="G6" i="7"/>
  <c r="H6" i="7"/>
  <c r="I6" i="7"/>
  <c r="J6" i="7"/>
  <c r="K6" i="7"/>
  <c r="L6" i="7"/>
  <c r="M6" i="7"/>
  <c r="S6" i="7"/>
  <c r="A7" i="7"/>
  <c r="A116" i="7" s="1"/>
  <c r="B7" i="7"/>
  <c r="C7" i="7"/>
  <c r="D7" i="7"/>
  <c r="E7" i="7"/>
  <c r="F7" i="7"/>
  <c r="G7" i="7"/>
  <c r="H7" i="7"/>
  <c r="I7" i="7"/>
  <c r="J7" i="7"/>
  <c r="K7" i="7"/>
  <c r="L7" i="7"/>
  <c r="M7" i="7"/>
  <c r="A8" i="7"/>
  <c r="B8" i="7"/>
  <c r="C8" i="7"/>
  <c r="D8" i="7"/>
  <c r="E8" i="7"/>
  <c r="F8" i="7"/>
  <c r="G8" i="7"/>
  <c r="H8" i="7"/>
  <c r="I8" i="7"/>
  <c r="J8" i="7"/>
  <c r="K8" i="7"/>
  <c r="L8" i="7"/>
  <c r="M8" i="7"/>
  <c r="A9" i="7"/>
  <c r="B9" i="7"/>
  <c r="C9" i="7"/>
  <c r="D9" i="7"/>
  <c r="E9" i="7"/>
  <c r="F9" i="7"/>
  <c r="G9" i="7"/>
  <c r="H9" i="7"/>
  <c r="I9" i="7"/>
  <c r="J9" i="7"/>
  <c r="K9" i="7"/>
  <c r="L9" i="7"/>
  <c r="M9" i="7"/>
  <c r="A10" i="7"/>
  <c r="A119" i="7" s="1"/>
  <c r="B10" i="7"/>
  <c r="C10" i="7"/>
  <c r="D10" i="7"/>
  <c r="E10" i="7"/>
  <c r="F10" i="7"/>
  <c r="G10" i="7"/>
  <c r="H10" i="7"/>
  <c r="I10" i="7"/>
  <c r="J10" i="7"/>
  <c r="K10" i="7"/>
  <c r="L10" i="7"/>
  <c r="M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A12" i="7"/>
  <c r="A121" i="7" s="1"/>
  <c r="B12" i="7"/>
  <c r="C12" i="7"/>
  <c r="D12" i="7"/>
  <c r="E12" i="7"/>
  <c r="F12" i="7"/>
  <c r="G12" i="7"/>
  <c r="H12" i="7"/>
  <c r="I12" i="7"/>
  <c r="J12" i="7"/>
  <c r="K12" i="7"/>
  <c r="L12" i="7"/>
  <c r="M12" i="7"/>
  <c r="A13" i="7"/>
  <c r="B13" i="7"/>
  <c r="B75" i="7" s="1"/>
  <c r="C13" i="7"/>
  <c r="C75" i="7" s="1"/>
  <c r="D13" i="7"/>
  <c r="D75" i="7" s="1"/>
  <c r="E13" i="7"/>
  <c r="E75" i="7" s="1"/>
  <c r="F13" i="7"/>
  <c r="F75" i="7" s="1"/>
  <c r="G13" i="7"/>
  <c r="G75" i="7" s="1"/>
  <c r="H13" i="7"/>
  <c r="H75" i="7" s="1"/>
  <c r="I13" i="7"/>
  <c r="I75" i="7" s="1"/>
  <c r="J13" i="7"/>
  <c r="J75" i="7" s="1"/>
  <c r="K13" i="7"/>
  <c r="K75" i="7" s="1"/>
  <c r="L13" i="7"/>
  <c r="L75" i="7" s="1"/>
  <c r="M13" i="7"/>
  <c r="M75" i="7" s="1"/>
  <c r="A14" i="7"/>
  <c r="B14" i="7"/>
  <c r="B76" i="7" s="1"/>
  <c r="C14" i="7"/>
  <c r="C76" i="7" s="1"/>
  <c r="D14" i="7"/>
  <c r="D76" i="7" s="1"/>
  <c r="E14" i="7"/>
  <c r="E76" i="7" s="1"/>
  <c r="F14" i="7"/>
  <c r="G14" i="7"/>
  <c r="G76" i="7" s="1"/>
  <c r="H14" i="7"/>
  <c r="H76" i="7" s="1"/>
  <c r="I14" i="7"/>
  <c r="I76" i="7" s="1"/>
  <c r="J14" i="7"/>
  <c r="J76" i="7" s="1"/>
  <c r="K14" i="7"/>
  <c r="K76" i="7" s="1"/>
  <c r="L14" i="7"/>
  <c r="L76" i="7" s="1"/>
  <c r="M14" i="7"/>
  <c r="M76" i="7" s="1"/>
  <c r="A15" i="7"/>
  <c r="A77" i="7" s="1"/>
  <c r="B15" i="7"/>
  <c r="B77" i="7" s="1"/>
  <c r="C15" i="7"/>
  <c r="C77" i="7" s="1"/>
  <c r="D15" i="7"/>
  <c r="D77" i="7" s="1"/>
  <c r="E15" i="7"/>
  <c r="E77" i="7" s="1"/>
  <c r="F15" i="7"/>
  <c r="F77" i="7" s="1"/>
  <c r="G15" i="7"/>
  <c r="G77" i="7" s="1"/>
  <c r="H15" i="7"/>
  <c r="H77" i="7" s="1"/>
  <c r="I15" i="7"/>
  <c r="I77" i="7" s="1"/>
  <c r="J15" i="7"/>
  <c r="J77" i="7" s="1"/>
  <c r="K15" i="7"/>
  <c r="K77" i="7" s="1"/>
  <c r="L15" i="7"/>
  <c r="M15" i="7"/>
  <c r="M77" i="7" s="1"/>
  <c r="A16" i="7"/>
  <c r="A78" i="7" s="1"/>
  <c r="B16" i="7"/>
  <c r="B78" i="7" s="1"/>
  <c r="C16" i="7"/>
  <c r="C78" i="7" s="1"/>
  <c r="D16" i="7"/>
  <c r="D78" i="7" s="1"/>
  <c r="E16" i="7"/>
  <c r="E78" i="7" s="1"/>
  <c r="F16" i="7"/>
  <c r="F78" i="7" s="1"/>
  <c r="G16" i="7"/>
  <c r="G78" i="7" s="1"/>
  <c r="H16" i="7"/>
  <c r="H78" i="7" s="1"/>
  <c r="I16" i="7"/>
  <c r="I78" i="7" s="1"/>
  <c r="J16" i="7"/>
  <c r="J78" i="7" s="1"/>
  <c r="K16" i="7"/>
  <c r="K78" i="7" s="1"/>
  <c r="L16" i="7"/>
  <c r="L78" i="7" s="1"/>
  <c r="M16" i="7"/>
  <c r="M78" i="7" s="1"/>
  <c r="A17" i="7"/>
  <c r="A126" i="7" s="1"/>
  <c r="B17" i="7"/>
  <c r="B79" i="7" s="1"/>
  <c r="C17" i="7"/>
  <c r="C79" i="7" s="1"/>
  <c r="D17" i="7"/>
  <c r="D79" i="7" s="1"/>
  <c r="E17" i="7"/>
  <c r="E79" i="7" s="1"/>
  <c r="F17" i="7"/>
  <c r="F79" i="7" s="1"/>
  <c r="G17" i="7"/>
  <c r="G79" i="7" s="1"/>
  <c r="H17" i="7"/>
  <c r="H79" i="7" s="1"/>
  <c r="I17" i="7"/>
  <c r="J17" i="7"/>
  <c r="J79" i="7" s="1"/>
  <c r="K17" i="7"/>
  <c r="K79" i="7" s="1"/>
  <c r="L17" i="7"/>
  <c r="L79" i="7" s="1"/>
  <c r="M17" i="7"/>
  <c r="M79" i="7" s="1"/>
  <c r="A18" i="7"/>
  <c r="A176" i="7" s="1"/>
  <c r="B18" i="7"/>
  <c r="B80" i="7" s="1"/>
  <c r="C18" i="7"/>
  <c r="C80" i="7" s="1"/>
  <c r="D18" i="7"/>
  <c r="D80" i="7" s="1"/>
  <c r="E18" i="7"/>
  <c r="E80" i="7" s="1"/>
  <c r="F18" i="7"/>
  <c r="F80" i="7" s="1"/>
  <c r="G18" i="7"/>
  <c r="H18" i="7"/>
  <c r="H80" i="7" s="1"/>
  <c r="I18" i="7"/>
  <c r="I80" i="7" s="1"/>
  <c r="J18" i="7"/>
  <c r="J80" i="7" s="1"/>
  <c r="K18" i="7"/>
  <c r="K80" i="7" s="1"/>
  <c r="L18" i="7"/>
  <c r="L80" i="7" s="1"/>
  <c r="M18" i="7"/>
  <c r="M80" i="7" s="1"/>
  <c r="A19" i="7"/>
  <c r="A177" i="7" s="1"/>
  <c r="B19" i="7"/>
  <c r="B81" i="7" s="1"/>
  <c r="C19" i="7"/>
  <c r="C81" i="7" s="1"/>
  <c r="D19" i="7"/>
  <c r="D81" i="7" s="1"/>
  <c r="E19" i="7"/>
  <c r="E81" i="7" s="1"/>
  <c r="F19" i="7"/>
  <c r="F81" i="7" s="1"/>
  <c r="G19" i="7"/>
  <c r="G81" i="7" s="1"/>
  <c r="H19" i="7"/>
  <c r="H81" i="7" s="1"/>
  <c r="I19" i="7"/>
  <c r="I81" i="7" s="1"/>
  <c r="J19" i="7"/>
  <c r="J81" i="7" s="1"/>
  <c r="K19" i="7"/>
  <c r="K81" i="7" s="1"/>
  <c r="L19" i="7"/>
  <c r="L81" i="7" s="1"/>
  <c r="M19" i="7"/>
  <c r="A20" i="7"/>
  <c r="A82" i="7" s="1"/>
  <c r="B20" i="7"/>
  <c r="B82" i="7" s="1"/>
  <c r="C20" i="7"/>
  <c r="C82" i="7" s="1"/>
  <c r="D20" i="7"/>
  <c r="D82" i="7" s="1"/>
  <c r="E20" i="7"/>
  <c r="E82" i="7" s="1"/>
  <c r="F20" i="7"/>
  <c r="F82" i="7" s="1"/>
  <c r="G20" i="7"/>
  <c r="G82" i="7" s="1"/>
  <c r="H20" i="7"/>
  <c r="H82" i="7" s="1"/>
  <c r="I20" i="7"/>
  <c r="I82" i="7" s="1"/>
  <c r="J20" i="7"/>
  <c r="J82" i="7" s="1"/>
  <c r="K20" i="7"/>
  <c r="K82" i="7" s="1"/>
  <c r="L20" i="7"/>
  <c r="L82" i="7" s="1"/>
  <c r="M20" i="7"/>
  <c r="M82" i="7" s="1"/>
  <c r="A21" i="7"/>
  <c r="A130" i="7" s="1"/>
  <c r="B21" i="7"/>
  <c r="B83" i="7" s="1"/>
  <c r="C21" i="7"/>
  <c r="C83" i="7" s="1"/>
  <c r="D21" i="7"/>
  <c r="D83" i="7" s="1"/>
  <c r="E21" i="7"/>
  <c r="E83" i="7" s="1"/>
  <c r="F21" i="7"/>
  <c r="F83" i="7" s="1"/>
  <c r="G21" i="7"/>
  <c r="G83" i="7" s="1"/>
  <c r="H21" i="7"/>
  <c r="H83" i="7" s="1"/>
  <c r="I21" i="7"/>
  <c r="I83" i="7" s="1"/>
  <c r="J21" i="7"/>
  <c r="J83" i="7" s="1"/>
  <c r="K21" i="7"/>
  <c r="K83" i="7" s="1"/>
  <c r="L21" i="7"/>
  <c r="L83" i="7" s="1"/>
  <c r="M21" i="7"/>
  <c r="M83" i="7" s="1"/>
  <c r="A22" i="7"/>
  <c r="B22" i="7"/>
  <c r="B84" i="7" s="1"/>
  <c r="C22" i="7"/>
  <c r="C84" i="7" s="1"/>
  <c r="D22" i="7"/>
  <c r="D84" i="7" s="1"/>
  <c r="E22" i="7"/>
  <c r="E84" i="7" s="1"/>
  <c r="F22" i="7"/>
  <c r="F84" i="7" s="1"/>
  <c r="G22" i="7"/>
  <c r="G84" i="7" s="1"/>
  <c r="H22" i="7"/>
  <c r="I22" i="7"/>
  <c r="I84" i="7" s="1"/>
  <c r="J22" i="7"/>
  <c r="J84" i="7" s="1"/>
  <c r="K22" i="7"/>
  <c r="K84" i="7" s="1"/>
  <c r="L22" i="7"/>
  <c r="L84" i="7" s="1"/>
  <c r="M22" i="7"/>
  <c r="A23" i="7"/>
  <c r="A132" i="7" s="1"/>
  <c r="B23" i="7"/>
  <c r="C23" i="7"/>
  <c r="C85" i="7" s="1"/>
  <c r="D23" i="7"/>
  <c r="D85" i="7" s="1"/>
  <c r="E23" i="7"/>
  <c r="E85" i="7" s="1"/>
  <c r="F23" i="7"/>
  <c r="F85" i="7" s="1"/>
  <c r="G23" i="7"/>
  <c r="G85" i="7" s="1"/>
  <c r="H23" i="7"/>
  <c r="H85" i="7" s="1"/>
  <c r="I23" i="7"/>
  <c r="I85" i="7" s="1"/>
  <c r="J23" i="7"/>
  <c r="J85" i="7" s="1"/>
  <c r="K23" i="7"/>
  <c r="K85" i="7" s="1"/>
  <c r="L23" i="7"/>
  <c r="M23" i="7"/>
  <c r="M85" i="7" s="1"/>
  <c r="A24" i="7"/>
  <c r="B24" i="7"/>
  <c r="B86" i="7" s="1"/>
  <c r="C24" i="7"/>
  <c r="C86" i="7" s="1"/>
  <c r="D24" i="7"/>
  <c r="D86" i="7" s="1"/>
  <c r="E24" i="7"/>
  <c r="E86" i="7" s="1"/>
  <c r="F24" i="7"/>
  <c r="F86" i="7" s="1"/>
  <c r="G24" i="7"/>
  <c r="G86" i="7" s="1"/>
  <c r="H24" i="7"/>
  <c r="H86" i="7" s="1"/>
  <c r="I24" i="7"/>
  <c r="I86" i="7" s="1"/>
  <c r="J24" i="7"/>
  <c r="J86" i="7" s="1"/>
  <c r="K24" i="7"/>
  <c r="K86" i="7" s="1"/>
  <c r="L24" i="7"/>
  <c r="L86" i="7" s="1"/>
  <c r="M24" i="7"/>
  <c r="M86" i="7" s="1"/>
  <c r="A25" i="7"/>
  <c r="A87" i="7" s="1"/>
  <c r="B25" i="7"/>
  <c r="B87" i="7" s="1"/>
  <c r="C25" i="7"/>
  <c r="C87" i="7" s="1"/>
  <c r="D25" i="7"/>
  <c r="D87" i="7" s="1"/>
  <c r="E25" i="7"/>
  <c r="E87" i="7" s="1"/>
  <c r="F25" i="7"/>
  <c r="F87" i="7" s="1"/>
  <c r="G25" i="7"/>
  <c r="G87" i="7" s="1"/>
  <c r="H25" i="7"/>
  <c r="H87" i="7" s="1"/>
  <c r="I25" i="7"/>
  <c r="J25" i="7"/>
  <c r="J87" i="7" s="1"/>
  <c r="K25" i="7"/>
  <c r="K87" i="7" s="1"/>
  <c r="L25" i="7"/>
  <c r="L87" i="7" s="1"/>
  <c r="M25" i="7"/>
  <c r="M87" i="7" s="1"/>
  <c r="A26" i="7"/>
  <c r="A88" i="7" s="1"/>
  <c r="B26" i="7"/>
  <c r="B88" i="7" s="1"/>
  <c r="C26" i="7"/>
  <c r="C88" i="7" s="1"/>
  <c r="D26" i="7"/>
  <c r="D88" i="7" s="1"/>
  <c r="E26" i="7"/>
  <c r="E88" i="7" s="1"/>
  <c r="F26" i="7"/>
  <c r="F88" i="7" s="1"/>
  <c r="G26" i="7"/>
  <c r="G88" i="7" s="1"/>
  <c r="H26" i="7"/>
  <c r="H88" i="7" s="1"/>
  <c r="I26" i="7"/>
  <c r="I88" i="7" s="1"/>
  <c r="J26" i="7"/>
  <c r="J88" i="7" s="1"/>
  <c r="K26" i="7"/>
  <c r="K88" i="7" s="1"/>
  <c r="L26" i="7"/>
  <c r="M26" i="7"/>
  <c r="M88" i="7" s="1"/>
  <c r="A27" i="7"/>
  <c r="A185" i="7" s="1"/>
  <c r="B27" i="7"/>
  <c r="B89" i="7" s="1"/>
  <c r="C27" i="7"/>
  <c r="C89" i="7" s="1"/>
  <c r="D27" i="7"/>
  <c r="D89" i="7" s="1"/>
  <c r="E27" i="7"/>
  <c r="E89" i="7" s="1"/>
  <c r="F27" i="7"/>
  <c r="F89" i="7" s="1"/>
  <c r="G27" i="7"/>
  <c r="G89" i="7" s="1"/>
  <c r="H27" i="7"/>
  <c r="H89" i="7" s="1"/>
  <c r="I27" i="7"/>
  <c r="I89" i="7" s="1"/>
  <c r="J27" i="7"/>
  <c r="J89" i="7" s="1"/>
  <c r="K27" i="7"/>
  <c r="K89" i="7" s="1"/>
  <c r="L27" i="7"/>
  <c r="L89" i="7" s="1"/>
  <c r="M27" i="7"/>
  <c r="A28" i="7"/>
  <c r="A90" i="7" s="1"/>
  <c r="B28" i="7"/>
  <c r="B90" i="7" s="1"/>
  <c r="C28" i="7"/>
  <c r="C90" i="7" s="1"/>
  <c r="D28" i="7"/>
  <c r="D90" i="7" s="1"/>
  <c r="E28" i="7"/>
  <c r="E90" i="7" s="1"/>
  <c r="F28" i="7"/>
  <c r="F90" i="7" s="1"/>
  <c r="G28" i="7"/>
  <c r="G90" i="7" s="1"/>
  <c r="H28" i="7"/>
  <c r="H90" i="7" s="1"/>
  <c r="I28" i="7"/>
  <c r="I90" i="7" s="1"/>
  <c r="J28" i="7"/>
  <c r="J90" i="7" s="1"/>
  <c r="A29" i="7"/>
  <c r="A91" i="7" s="1"/>
  <c r="B29" i="7"/>
  <c r="B91" i="7" s="1"/>
  <c r="C29" i="7"/>
  <c r="C91" i="7" s="1"/>
  <c r="D29" i="7"/>
  <c r="D91" i="7" s="1"/>
  <c r="E29" i="7"/>
  <c r="E91" i="7" s="1"/>
  <c r="F29" i="7"/>
  <c r="F91" i="7" s="1"/>
  <c r="G29" i="7"/>
  <c r="G91" i="7" s="1"/>
  <c r="H29" i="7"/>
  <c r="H91" i="7" s="1"/>
  <c r="I29" i="7"/>
  <c r="I91" i="7" s="1"/>
  <c r="J29" i="7"/>
  <c r="J91" i="7" s="1"/>
  <c r="K29" i="7"/>
  <c r="K91" i="7" s="1"/>
  <c r="L29" i="7"/>
  <c r="L91" i="7" s="1"/>
  <c r="M29" i="7"/>
  <c r="M91" i="7" s="1"/>
  <c r="A30" i="7"/>
  <c r="A92" i="7" s="1"/>
  <c r="B30" i="7"/>
  <c r="B92" i="7" s="1"/>
  <c r="C30" i="7"/>
  <c r="C92" i="7" s="1"/>
  <c r="D30" i="7"/>
  <c r="D92" i="7" s="1"/>
  <c r="E30" i="7"/>
  <c r="E92" i="7" s="1"/>
  <c r="F30" i="7"/>
  <c r="F92" i="7" s="1"/>
  <c r="G30" i="7"/>
  <c r="G92" i="7" s="1"/>
  <c r="H30" i="7"/>
  <c r="H92" i="7" s="1"/>
  <c r="I30" i="7"/>
  <c r="I92" i="7" s="1"/>
  <c r="J30" i="7"/>
  <c r="J92" i="7" s="1"/>
  <c r="K30" i="7"/>
  <c r="K92" i="7" s="1"/>
  <c r="M30" i="7"/>
  <c r="M92" i="7" s="1"/>
  <c r="A31" i="7"/>
  <c r="A189" i="7" s="1"/>
  <c r="A32" i="7"/>
  <c r="A94" i="7" s="1"/>
  <c r="B32" i="7"/>
  <c r="B94" i="7" s="1"/>
  <c r="C32" i="7"/>
  <c r="C94" i="7" s="1"/>
  <c r="D32" i="7"/>
  <c r="E32" i="7"/>
  <c r="F32" i="7"/>
  <c r="F94" i="7" s="1"/>
  <c r="G32" i="7"/>
  <c r="G94" i="7" s="1"/>
  <c r="H32" i="7"/>
  <c r="H94" i="7" s="1"/>
  <c r="I32" i="7"/>
  <c r="I94" i="7" s="1"/>
  <c r="J32" i="7"/>
  <c r="J94" i="7" s="1"/>
  <c r="K32" i="7"/>
  <c r="K94" i="7" s="1"/>
  <c r="L32" i="7"/>
  <c r="L94" i="7" s="1"/>
  <c r="M32" i="7"/>
  <c r="M94" i="7" s="1"/>
  <c r="A33" i="7"/>
  <c r="A142" i="7" s="1"/>
  <c r="B33" i="7"/>
  <c r="B95" i="7" s="1"/>
  <c r="C33" i="7"/>
  <c r="C95" i="7" s="1"/>
  <c r="D33" i="7"/>
  <c r="D95" i="7" s="1"/>
  <c r="E33" i="7"/>
  <c r="E95" i="7" s="1"/>
  <c r="F33" i="7"/>
  <c r="F95" i="7" s="1"/>
  <c r="G33" i="7"/>
  <c r="G95" i="7" s="1"/>
  <c r="H33" i="7"/>
  <c r="H95" i="7" s="1"/>
  <c r="I33" i="7"/>
  <c r="I95" i="7" s="1"/>
  <c r="J33" i="7"/>
  <c r="J95" i="7" s="1"/>
  <c r="K33" i="7"/>
  <c r="K95" i="7" s="1"/>
  <c r="A34" i="7"/>
  <c r="A192" i="7" s="1"/>
  <c r="E34" i="7"/>
  <c r="E96" i="7" s="1"/>
  <c r="F34" i="7"/>
  <c r="F96" i="7" s="1"/>
  <c r="G34" i="7"/>
  <c r="G96" i="7" s="1"/>
  <c r="I34" i="7"/>
  <c r="I96" i="7" s="1"/>
  <c r="L34" i="7"/>
  <c r="L96" i="7" s="1"/>
  <c r="M34" i="7"/>
  <c r="M96" i="7" s="1"/>
  <c r="A35" i="7"/>
  <c r="B35" i="7"/>
  <c r="B97" i="7" s="1"/>
  <c r="C35" i="7"/>
  <c r="C97" i="7" s="1"/>
  <c r="D35" i="7"/>
  <c r="D97" i="7" s="1"/>
  <c r="F35" i="7"/>
  <c r="F97" i="7" s="1"/>
  <c r="H35" i="7"/>
  <c r="H97" i="7" s="1"/>
  <c r="H193" i="7" s="1"/>
  <c r="I35" i="7"/>
  <c r="I97" i="7" s="1"/>
  <c r="J35" i="7"/>
  <c r="J97" i="7" s="1"/>
  <c r="L35" i="7"/>
  <c r="L97" i="7" s="1"/>
  <c r="M35" i="7"/>
  <c r="M97" i="7" s="1"/>
  <c r="A36" i="7"/>
  <c r="A194" i="7" s="1"/>
  <c r="B36" i="7"/>
  <c r="B98" i="7" s="1"/>
  <c r="C36" i="7"/>
  <c r="C98" i="7" s="1"/>
  <c r="D36" i="7"/>
  <c r="D98" i="7" s="1"/>
  <c r="E36" i="7"/>
  <c r="F36" i="7"/>
  <c r="F98" i="7" s="1"/>
  <c r="G36" i="7"/>
  <c r="G98" i="7" s="1"/>
  <c r="H36" i="7"/>
  <c r="H98" i="7" s="1"/>
  <c r="I36" i="7"/>
  <c r="I98" i="7" s="1"/>
  <c r="J36" i="7"/>
  <c r="J98" i="7" s="1"/>
  <c r="K36" i="7"/>
  <c r="K98" i="7" s="1"/>
  <c r="L36" i="7"/>
  <c r="M36" i="7"/>
  <c r="M98" i="7" s="1"/>
  <c r="A37" i="7"/>
  <c r="A195" i="7" s="1"/>
  <c r="A38" i="7"/>
  <c r="A196" i="7" s="1"/>
  <c r="A39" i="7"/>
  <c r="A148" i="7" s="1"/>
  <c r="A40" i="7"/>
  <c r="A149" i="7" s="1"/>
  <c r="A41" i="7"/>
  <c r="A103" i="7" s="1"/>
  <c r="A42" i="7"/>
  <c r="A200" i="7" s="1"/>
  <c r="B115" i="7"/>
  <c r="B164" i="7" s="1"/>
  <c r="C115" i="7"/>
  <c r="C164" i="7" s="1"/>
  <c r="D115" i="7"/>
  <c r="D164" i="7" s="1"/>
  <c r="E115" i="7"/>
  <c r="E164" i="7" s="1"/>
  <c r="F115" i="7"/>
  <c r="F164" i="7" s="1"/>
  <c r="G115" i="7"/>
  <c r="G164" i="7" s="1"/>
  <c r="H115" i="7"/>
  <c r="H164" i="7" s="1"/>
  <c r="I115" i="7"/>
  <c r="I164" i="7" s="1"/>
  <c r="J115" i="7"/>
  <c r="J164" i="7" s="1"/>
  <c r="K115" i="7"/>
  <c r="K164" i="7" s="1"/>
  <c r="L115" i="7"/>
  <c r="L164" i="7" s="1"/>
  <c r="M115" i="7"/>
  <c r="M164" i="7" s="1"/>
  <c r="B116" i="7"/>
  <c r="B165" i="7" s="1"/>
  <c r="C116" i="7"/>
  <c r="C165" i="7" s="1"/>
  <c r="D116" i="7"/>
  <c r="D165" i="7" s="1"/>
  <c r="E116" i="7"/>
  <c r="E165" i="7" s="1"/>
  <c r="F116" i="7"/>
  <c r="F165" i="7" s="1"/>
  <c r="G116" i="7"/>
  <c r="G165" i="7" s="1"/>
  <c r="H116" i="7"/>
  <c r="H165" i="7" s="1"/>
  <c r="I116" i="7"/>
  <c r="I165" i="7" s="1"/>
  <c r="J116" i="7"/>
  <c r="J165" i="7" s="1"/>
  <c r="K116" i="7"/>
  <c r="K165" i="7" s="1"/>
  <c r="L116" i="7"/>
  <c r="L165" i="7" s="1"/>
  <c r="M116" i="7"/>
  <c r="M165" i="7" s="1"/>
  <c r="B117" i="7"/>
  <c r="B166" i="7" s="1"/>
  <c r="C117" i="7"/>
  <c r="C166" i="7" s="1"/>
  <c r="D117" i="7"/>
  <c r="D166" i="7" s="1"/>
  <c r="E117" i="7"/>
  <c r="E166" i="7" s="1"/>
  <c r="F117" i="7"/>
  <c r="F166" i="7" s="1"/>
  <c r="G117" i="7"/>
  <c r="G166" i="7" s="1"/>
  <c r="H117" i="7"/>
  <c r="H166" i="7" s="1"/>
  <c r="I117" i="7"/>
  <c r="I166" i="7" s="1"/>
  <c r="J117" i="7"/>
  <c r="J166" i="7" s="1"/>
  <c r="K117" i="7"/>
  <c r="K166" i="7" s="1"/>
  <c r="L117" i="7"/>
  <c r="L166" i="7" s="1"/>
  <c r="M117" i="7"/>
  <c r="M166" i="7" s="1"/>
  <c r="B118" i="7"/>
  <c r="B167" i="7" s="1"/>
  <c r="C118" i="7"/>
  <c r="C167" i="7" s="1"/>
  <c r="D118" i="7"/>
  <c r="D167" i="7" s="1"/>
  <c r="E118" i="7"/>
  <c r="E167" i="7" s="1"/>
  <c r="F118" i="7"/>
  <c r="F167" i="7" s="1"/>
  <c r="G118" i="7"/>
  <c r="G167" i="7" s="1"/>
  <c r="H118" i="7"/>
  <c r="H167" i="7" s="1"/>
  <c r="I118" i="7"/>
  <c r="I167" i="7" s="1"/>
  <c r="J118" i="7"/>
  <c r="J167" i="7" s="1"/>
  <c r="K118" i="7"/>
  <c r="K167" i="7" s="1"/>
  <c r="L118" i="7"/>
  <c r="L167" i="7" s="1"/>
  <c r="M118" i="7"/>
  <c r="M167" i="7" s="1"/>
  <c r="B119" i="7"/>
  <c r="B168" i="7" s="1"/>
  <c r="C119" i="7"/>
  <c r="C168" i="7" s="1"/>
  <c r="D119" i="7"/>
  <c r="D168" i="7" s="1"/>
  <c r="E119" i="7"/>
  <c r="E168" i="7" s="1"/>
  <c r="F119" i="7"/>
  <c r="F168" i="7" s="1"/>
  <c r="G119" i="7"/>
  <c r="G168" i="7" s="1"/>
  <c r="H119" i="7"/>
  <c r="H168" i="7" s="1"/>
  <c r="I119" i="7"/>
  <c r="I168" i="7" s="1"/>
  <c r="J119" i="7"/>
  <c r="J168" i="7" s="1"/>
  <c r="K119" i="7"/>
  <c r="K168" i="7" s="1"/>
  <c r="L119" i="7"/>
  <c r="L168" i="7" s="1"/>
  <c r="M119" i="7"/>
  <c r="M168" i="7" s="1"/>
  <c r="B120" i="7"/>
  <c r="B169" i="7" s="1"/>
  <c r="C120" i="7"/>
  <c r="C169" i="7" s="1"/>
  <c r="D120" i="7"/>
  <c r="D169" i="7" s="1"/>
  <c r="E120" i="7"/>
  <c r="E169" i="7" s="1"/>
  <c r="F120" i="7"/>
  <c r="F169" i="7" s="1"/>
  <c r="G120" i="7"/>
  <c r="G169" i="7" s="1"/>
  <c r="H120" i="7"/>
  <c r="H169" i="7" s="1"/>
  <c r="I120" i="7"/>
  <c r="I169" i="7" s="1"/>
  <c r="J120" i="7"/>
  <c r="J169" i="7" s="1"/>
  <c r="K120" i="7"/>
  <c r="K169" i="7" s="1"/>
  <c r="L120" i="7"/>
  <c r="L169" i="7" s="1"/>
  <c r="M120" i="7"/>
  <c r="M169" i="7" s="1"/>
  <c r="B121" i="7"/>
  <c r="B170" i="7" s="1"/>
  <c r="C121" i="7"/>
  <c r="C170" i="7" s="1"/>
  <c r="D121" i="7"/>
  <c r="D170" i="7" s="1"/>
  <c r="E121" i="7"/>
  <c r="E170" i="7" s="1"/>
  <c r="F121" i="7"/>
  <c r="F170" i="7" s="1"/>
  <c r="G121" i="7"/>
  <c r="G170" i="7" s="1"/>
  <c r="H121" i="7"/>
  <c r="H170" i="7" s="1"/>
  <c r="I121" i="7"/>
  <c r="I170" i="7" s="1"/>
  <c r="J121" i="7"/>
  <c r="J170" i="7" s="1"/>
  <c r="K121" i="7"/>
  <c r="K170" i="7" s="1"/>
  <c r="L121" i="7"/>
  <c r="L170" i="7" s="1"/>
  <c r="M121" i="7"/>
  <c r="M170" i="7" s="1"/>
  <c r="B122" i="7"/>
  <c r="C122" i="7"/>
  <c r="D122" i="7"/>
  <c r="E122" i="7"/>
  <c r="F122" i="7"/>
  <c r="G122" i="7"/>
  <c r="H122" i="7"/>
  <c r="I122" i="7"/>
  <c r="J122" i="7"/>
  <c r="K122" i="7"/>
  <c r="L122" i="7"/>
  <c r="M122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B124" i="7"/>
  <c r="C124" i="7"/>
  <c r="D124" i="7"/>
  <c r="E124" i="7"/>
  <c r="F124" i="7"/>
  <c r="G124" i="7"/>
  <c r="H124" i="7"/>
  <c r="H173" i="7" s="1"/>
  <c r="I124" i="7"/>
  <c r="J124" i="7"/>
  <c r="K124" i="7"/>
  <c r="L124" i="7"/>
  <c r="M124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B136" i="7"/>
  <c r="C136" i="7"/>
  <c r="D136" i="7"/>
  <c r="E136" i="7"/>
  <c r="E185" i="7" s="1"/>
  <c r="F136" i="7"/>
  <c r="G136" i="7"/>
  <c r="G185" i="7" s="1"/>
  <c r="H136" i="7"/>
  <c r="I136" i="7"/>
  <c r="J136" i="7"/>
  <c r="K136" i="7"/>
  <c r="L136" i="7"/>
  <c r="M136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B139" i="7"/>
  <c r="B188" i="7" s="1"/>
  <c r="C139" i="7"/>
  <c r="D139" i="7"/>
  <c r="E139" i="7"/>
  <c r="F139" i="7"/>
  <c r="G139" i="7"/>
  <c r="G188" i="7" s="1"/>
  <c r="H139" i="7"/>
  <c r="I139" i="7"/>
  <c r="I188" i="7" s="1"/>
  <c r="J139" i="7"/>
  <c r="J188" i="7" s="1"/>
  <c r="K139" i="7"/>
  <c r="L139" i="7"/>
  <c r="M139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B144" i="7"/>
  <c r="C144" i="7"/>
  <c r="D144" i="7"/>
  <c r="E144" i="7"/>
  <c r="F144" i="7"/>
  <c r="G144" i="7"/>
  <c r="I144" i="7"/>
  <c r="J144" i="7"/>
  <c r="K144" i="7"/>
  <c r="L144" i="7"/>
  <c r="M144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B146" i="7"/>
  <c r="C146" i="7"/>
  <c r="D146" i="7"/>
  <c r="E146" i="7"/>
  <c r="F146" i="7"/>
  <c r="G146" i="7"/>
  <c r="H146" i="7"/>
  <c r="I146" i="7"/>
  <c r="K146" i="7"/>
  <c r="L146" i="7"/>
  <c r="M146" i="7"/>
  <c r="B147" i="7"/>
  <c r="C147" i="7"/>
  <c r="D147" i="7"/>
  <c r="E147" i="7"/>
  <c r="B148" i="7"/>
  <c r="C148" i="7"/>
  <c r="D148" i="7"/>
  <c r="E148" i="7"/>
  <c r="B149" i="7"/>
  <c r="C149" i="7"/>
  <c r="D149" i="7"/>
  <c r="E149" i="7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K28" i="6"/>
  <c r="L28" i="6"/>
  <c r="D119" i="9" s="1"/>
  <c r="M28" i="6"/>
  <c r="D120" i="9" s="1"/>
  <c r="A29" i="6"/>
  <c r="A30" i="6"/>
  <c r="L30" i="6"/>
  <c r="A31" i="6"/>
  <c r="B31" i="6"/>
  <c r="C31" i="6"/>
  <c r="D31" i="6"/>
  <c r="W31" i="6" s="1"/>
  <c r="E31" i="6"/>
  <c r="I181" i="9" s="1"/>
  <c r="F31" i="6"/>
  <c r="G31" i="6"/>
  <c r="I183" i="9"/>
  <c r="H31" i="6"/>
  <c r="I184" i="9" s="1"/>
  <c r="I31" i="6"/>
  <c r="J31" i="6"/>
  <c r="K31" i="6"/>
  <c r="I187" i="9" s="1"/>
  <c r="L31" i="6"/>
  <c r="D134" i="9" s="1"/>
  <c r="M31" i="6"/>
  <c r="A32" i="6"/>
  <c r="A33" i="6"/>
  <c r="L33" i="6"/>
  <c r="AA33" i="6" s="1"/>
  <c r="M33" i="6"/>
  <c r="A34" i="6"/>
  <c r="B34" i="6"/>
  <c r="Q34" i="6" s="1"/>
  <c r="C34" i="6"/>
  <c r="C34" i="7" s="1"/>
  <c r="C96" i="7" s="1"/>
  <c r="D34" i="6"/>
  <c r="D34" i="7" s="1"/>
  <c r="D96" i="7" s="1"/>
  <c r="H34" i="6"/>
  <c r="H34" i="7"/>
  <c r="H96" i="7" s="1"/>
  <c r="J34" i="6"/>
  <c r="J34" i="7" s="1"/>
  <c r="J96" i="7" s="1"/>
  <c r="K34" i="6"/>
  <c r="K34" i="7" s="1"/>
  <c r="K96" i="7" s="1"/>
  <c r="A35" i="6"/>
  <c r="E35" i="6"/>
  <c r="E35" i="7" s="1"/>
  <c r="E97" i="7" s="1"/>
  <c r="G35" i="6"/>
  <c r="G35" i="7" s="1"/>
  <c r="G97" i="7" s="1"/>
  <c r="K35" i="6"/>
  <c r="K35" i="7" s="1"/>
  <c r="K97" i="7" s="1"/>
  <c r="A36" i="6"/>
  <c r="A37" i="6"/>
  <c r="B37" i="6"/>
  <c r="Q37" i="6" s="1"/>
  <c r="C37" i="6"/>
  <c r="C37" i="7" s="1"/>
  <c r="C99" i="7" s="1"/>
  <c r="D37" i="6"/>
  <c r="D37" i="7" s="1"/>
  <c r="D99" i="7" s="1"/>
  <c r="E37" i="6"/>
  <c r="E37" i="7" s="1"/>
  <c r="E99" i="7" s="1"/>
  <c r="F37" i="6"/>
  <c r="F37" i="7" s="1"/>
  <c r="F99" i="7" s="1"/>
  <c r="G37" i="6"/>
  <c r="H37" i="6"/>
  <c r="H37" i="7" s="1"/>
  <c r="H99" i="7" s="1"/>
  <c r="I37" i="6"/>
  <c r="I37" i="7" s="1"/>
  <c r="I99" i="7" s="1"/>
  <c r="J37" i="6"/>
  <c r="J37" i="7" s="1"/>
  <c r="J99" i="7" s="1"/>
  <c r="J195" i="7" s="1"/>
  <c r="K37" i="6"/>
  <c r="K37" i="7" s="1"/>
  <c r="K99" i="7" s="1"/>
  <c r="L37" i="6"/>
  <c r="L37" i="7" s="1"/>
  <c r="L99" i="7" s="1"/>
  <c r="M37" i="6"/>
  <c r="M37" i="7" s="1"/>
  <c r="A38" i="6"/>
  <c r="B38" i="6"/>
  <c r="Q38" i="6" s="1"/>
  <c r="C38" i="6"/>
  <c r="C38" i="7" s="1"/>
  <c r="C100" i="7" s="1"/>
  <c r="D38" i="6"/>
  <c r="D38" i="7" s="1"/>
  <c r="D100" i="7" s="1"/>
  <c r="E38" i="6"/>
  <c r="E38" i="7" s="1"/>
  <c r="F38" i="6"/>
  <c r="F38" i="7" s="1"/>
  <c r="F100" i="7" s="1"/>
  <c r="F196" i="7" s="1"/>
  <c r="G38" i="6"/>
  <c r="G38" i="7" s="1"/>
  <c r="G100" i="7" s="1"/>
  <c r="G196" i="7" s="1"/>
  <c r="H38" i="6"/>
  <c r="H38" i="7" s="1"/>
  <c r="H100" i="7" s="1"/>
  <c r="H196" i="7" s="1"/>
  <c r="I38" i="6"/>
  <c r="J38" i="6"/>
  <c r="J38" i="7" s="1"/>
  <c r="J100" i="7" s="1"/>
  <c r="J196" i="7" s="1"/>
  <c r="K38" i="6"/>
  <c r="K38" i="7" s="1"/>
  <c r="K100" i="7" s="1"/>
  <c r="K196" i="7" s="1"/>
  <c r="L38" i="6"/>
  <c r="L38" i="7" s="1"/>
  <c r="M38" i="6"/>
  <c r="M38" i="7" s="1"/>
  <c r="M100" i="7" s="1"/>
  <c r="M196" i="7" s="1"/>
  <c r="A39" i="6"/>
  <c r="B39" i="6"/>
  <c r="B39" i="7" s="1"/>
  <c r="C39" i="6"/>
  <c r="D39" i="6"/>
  <c r="D39" i="7" s="1"/>
  <c r="D101" i="7" s="1"/>
  <c r="E39" i="6"/>
  <c r="E39" i="7" s="1"/>
  <c r="E101" i="7" s="1"/>
  <c r="F39" i="6"/>
  <c r="F39" i="7" s="1"/>
  <c r="F101" i="7" s="1"/>
  <c r="F197" i="7" s="1"/>
  <c r="G39" i="6"/>
  <c r="G39" i="7" s="1"/>
  <c r="G101" i="7" s="1"/>
  <c r="G197" i="7" s="1"/>
  <c r="H39" i="6"/>
  <c r="H39" i="7" s="1"/>
  <c r="I39" i="6"/>
  <c r="J39" i="6"/>
  <c r="J39" i="7" s="1"/>
  <c r="J101" i="7" s="1"/>
  <c r="J197" i="7" s="1"/>
  <c r="K39" i="6"/>
  <c r="K39" i="7" s="1"/>
  <c r="K101" i="7" s="1"/>
  <c r="K197" i="7" s="1"/>
  <c r="L39" i="6"/>
  <c r="L39" i="7" s="1"/>
  <c r="L101" i="7" s="1"/>
  <c r="L197" i="7" s="1"/>
  <c r="M39" i="6"/>
  <c r="M39" i="7" s="1"/>
  <c r="M101" i="7" s="1"/>
  <c r="M197" i="7" s="1"/>
  <c r="A40" i="6"/>
  <c r="A41" i="6"/>
  <c r="A42" i="6"/>
  <c r="V19" i="6"/>
  <c r="V20" i="6" s="1"/>
  <c r="V21" i="6" s="1"/>
  <c r="V22" i="6" s="1"/>
  <c r="V23" i="6" s="1"/>
  <c r="V24" i="6" s="1"/>
  <c r="V25" i="6" s="1"/>
  <c r="V26" i="6" s="1"/>
  <c r="V27" i="6" s="1"/>
  <c r="V28" i="6" s="1"/>
  <c r="V29" i="6" s="1"/>
  <c r="V30" i="6" s="1"/>
  <c r="V31" i="6" s="1"/>
  <c r="V32" i="6" s="1"/>
  <c r="V33" i="6" s="1"/>
  <c r="V34" i="6" s="1"/>
  <c r="V35" i="6" s="1"/>
  <c r="Z19" i="6"/>
  <c r="Z20" i="6" s="1"/>
  <c r="Z21" i="6" s="1"/>
  <c r="Z22" i="6" s="1"/>
  <c r="Z23" i="6" s="1"/>
  <c r="Z24" i="6" s="1"/>
  <c r="Z25" i="6" s="1"/>
  <c r="Z26" i="6" s="1"/>
  <c r="Z27" i="6" s="1"/>
  <c r="Z28" i="6" s="1"/>
  <c r="Z29" i="6" s="1"/>
  <c r="Z30" i="6" s="1"/>
  <c r="Z31" i="6" s="1"/>
  <c r="Z32" i="6" s="1"/>
  <c r="Z33" i="6" s="1"/>
  <c r="X20" i="6"/>
  <c r="W21" i="6"/>
  <c r="AB21" i="6"/>
  <c r="W22" i="6"/>
  <c r="X23" i="6"/>
  <c r="X37" i="6" s="1"/>
  <c r="AB23" i="6"/>
  <c r="W24" i="6"/>
  <c r="AA24" i="6"/>
  <c r="X25" i="6"/>
  <c r="AB25" i="6"/>
  <c r="W26" i="6"/>
  <c r="AB26" i="6"/>
  <c r="X27" i="6"/>
  <c r="AB27" i="6"/>
  <c r="W28" i="6"/>
  <c r="AB28" i="6"/>
  <c r="X29" i="6"/>
  <c r="AB29" i="6"/>
  <c r="X30" i="6"/>
  <c r="AA30" i="6"/>
  <c r="W32" i="6"/>
  <c r="AB32" i="6"/>
  <c r="X33" i="6"/>
  <c r="W35" i="6"/>
  <c r="AA38" i="6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Q9" i="4"/>
  <c r="Q10" i="4"/>
  <c r="Q11" i="4"/>
  <c r="Q12" i="4"/>
  <c r="Q13" i="4"/>
  <c r="Q14" i="4"/>
  <c r="Q15" i="4"/>
  <c r="Q16" i="4"/>
  <c r="Q17" i="4"/>
  <c r="Q18" i="4"/>
  <c r="Q19" i="4"/>
  <c r="V19" i="4"/>
  <c r="V28" i="4" s="1"/>
  <c r="Q20" i="4"/>
  <c r="V20" i="4"/>
  <c r="Q21" i="4"/>
  <c r="V21" i="4"/>
  <c r="Q22" i="4"/>
  <c r="V22" i="4"/>
  <c r="Q23" i="4"/>
  <c r="Q29" i="4" s="1"/>
  <c r="V23" i="4"/>
  <c r="V29" i="4" s="1"/>
  <c r="B28" i="4"/>
  <c r="C28" i="4"/>
  <c r="E28" i="4"/>
  <c r="F28" i="4"/>
  <c r="G28" i="4"/>
  <c r="H28" i="4"/>
  <c r="I28" i="4"/>
  <c r="J28" i="4"/>
  <c r="K28" i="4"/>
  <c r="O28" i="4"/>
  <c r="T28" i="4"/>
  <c r="Y28" i="4"/>
  <c r="AA28" i="4"/>
  <c r="B29" i="4"/>
  <c r="C29" i="4"/>
  <c r="E29" i="4"/>
  <c r="F29" i="4"/>
  <c r="G29" i="4"/>
  <c r="H29" i="4"/>
  <c r="I29" i="4"/>
  <c r="J29" i="4"/>
  <c r="K29" i="4"/>
  <c r="O29" i="4"/>
  <c r="T29" i="4"/>
  <c r="Y29" i="4"/>
  <c r="AA29" i="4"/>
  <c r="B30" i="4"/>
  <c r="C30" i="4"/>
  <c r="E30" i="4"/>
  <c r="F30" i="4"/>
  <c r="G30" i="4"/>
  <c r="H30" i="4"/>
  <c r="I30" i="4"/>
  <c r="J30" i="4"/>
  <c r="K30" i="4"/>
  <c r="O30" i="4"/>
  <c r="P30" i="4"/>
  <c r="R30" i="4"/>
  <c r="T30" i="4"/>
  <c r="U30" i="4"/>
  <c r="W30" i="4"/>
  <c r="Y30" i="4"/>
  <c r="Z30" i="4"/>
  <c r="AA30" i="4"/>
  <c r="AB30" i="4"/>
  <c r="Q13" i="3"/>
  <c r="Q14" i="3"/>
  <c r="Q15" i="3"/>
  <c r="Q35" i="3" s="1"/>
  <c r="Q16" i="3"/>
  <c r="Q17" i="3"/>
  <c r="Q18" i="3"/>
  <c r="Q19" i="3"/>
  <c r="Q20" i="3"/>
  <c r="Q21" i="3"/>
  <c r="Q22" i="3"/>
  <c r="Q23" i="3"/>
  <c r="Q24" i="3"/>
  <c r="Q25" i="3"/>
  <c r="V25" i="3"/>
  <c r="Q26" i="3"/>
  <c r="V26" i="3"/>
  <c r="Q27" i="3"/>
  <c r="V27" i="3"/>
  <c r="Q28" i="3"/>
  <c r="V28" i="3"/>
  <c r="Q29" i="3"/>
  <c r="V29" i="3"/>
  <c r="Q30" i="3"/>
  <c r="V30" i="3"/>
  <c r="Q31" i="3"/>
  <c r="V31" i="3"/>
  <c r="Q32" i="3"/>
  <c r="V32" i="3"/>
  <c r="Q33" i="3"/>
  <c r="V33" i="3"/>
  <c r="B35" i="3"/>
  <c r="C35" i="3"/>
  <c r="E35" i="3"/>
  <c r="F35" i="3"/>
  <c r="G35" i="3"/>
  <c r="H35" i="3"/>
  <c r="I35" i="3"/>
  <c r="J35" i="3"/>
  <c r="K35" i="3"/>
  <c r="O35" i="3"/>
  <c r="P35" i="3"/>
  <c r="R35" i="3"/>
  <c r="T35" i="3"/>
  <c r="U35" i="3"/>
  <c r="V35" i="3"/>
  <c r="W35" i="3"/>
  <c r="Y35" i="3"/>
  <c r="Z35" i="3"/>
  <c r="AA35" i="3"/>
  <c r="AB35" i="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P21" i="13" s="1"/>
  <c r="A22" i="13"/>
  <c r="P22" i="13" s="1"/>
  <c r="A23" i="13"/>
  <c r="P23" i="13" s="1"/>
  <c r="D23" i="13"/>
  <c r="S23" i="13" s="1"/>
  <c r="I23" i="13"/>
  <c r="X23" i="13" s="1"/>
  <c r="A24" i="13"/>
  <c r="P24" i="13" s="1"/>
  <c r="H24" i="13"/>
  <c r="W24" i="13" s="1"/>
  <c r="I24" i="13"/>
  <c r="X24" i="13" s="1"/>
  <c r="A25" i="13"/>
  <c r="P25" i="13" s="1"/>
  <c r="C25" i="13"/>
  <c r="R25" i="13" s="1"/>
  <c r="D25" i="13"/>
  <c r="S25" i="13" s="1"/>
  <c r="G25" i="13"/>
  <c r="V25" i="13" s="1"/>
  <c r="J25" i="13"/>
  <c r="Y25" i="13" s="1"/>
  <c r="A26" i="13"/>
  <c r="P26" i="13" s="1"/>
  <c r="C26" i="13"/>
  <c r="R26" i="13" s="1"/>
  <c r="J26" i="13"/>
  <c r="Y26" i="13" s="1"/>
  <c r="A27" i="13"/>
  <c r="P27" i="13" s="1"/>
  <c r="B27" i="13"/>
  <c r="Q27" i="13" s="1"/>
  <c r="E27" i="13"/>
  <c r="T27" i="13" s="1"/>
  <c r="G27" i="13"/>
  <c r="V27" i="13" s="1"/>
  <c r="A28" i="13"/>
  <c r="P28" i="13" s="1"/>
  <c r="C28" i="13"/>
  <c r="R28" i="13" s="1"/>
  <c r="A29" i="13"/>
  <c r="P29" i="13" s="1"/>
  <c r="E29" i="13"/>
  <c r="T29" i="13" s="1"/>
  <c r="F29" i="13"/>
  <c r="U29" i="13" s="1"/>
  <c r="G29" i="13"/>
  <c r="V29" i="13" s="1"/>
  <c r="A30" i="13"/>
  <c r="P30" i="13" s="1"/>
  <c r="C30" i="13"/>
  <c r="R30" i="13" s="1"/>
  <c r="D30" i="13"/>
  <c r="S30" i="13" s="1"/>
  <c r="F30" i="13"/>
  <c r="U30" i="13" s="1"/>
  <c r="I30" i="13"/>
  <c r="X30" i="13" s="1"/>
  <c r="K30" i="13"/>
  <c r="Z30" i="13" s="1"/>
  <c r="M30" i="13"/>
  <c r="AB30" i="13" s="1"/>
  <c r="A31" i="13"/>
  <c r="P31" i="13" s="1"/>
  <c r="B31" i="13"/>
  <c r="Q31" i="13" s="1"/>
  <c r="E31" i="13"/>
  <c r="T31" i="13" s="1"/>
  <c r="F31" i="13"/>
  <c r="U31" i="13" s="1"/>
  <c r="G31" i="13"/>
  <c r="V31" i="13" s="1"/>
  <c r="H31" i="13"/>
  <c r="W31" i="13" s="1"/>
  <c r="I31" i="13"/>
  <c r="X31" i="13" s="1"/>
  <c r="J31" i="13"/>
  <c r="Y31" i="13" s="1"/>
  <c r="K31" i="13"/>
  <c r="Z31" i="13" s="1"/>
  <c r="A32" i="13"/>
  <c r="P32" i="13" s="1"/>
  <c r="B32" i="13"/>
  <c r="Q32" i="13" s="1"/>
  <c r="J32" i="13"/>
  <c r="Y32" i="13" s="1"/>
  <c r="A33" i="13"/>
  <c r="P33" i="13" s="1"/>
  <c r="B33" i="13"/>
  <c r="Q33" i="13" s="1"/>
  <c r="C33" i="13"/>
  <c r="R33" i="13" s="1"/>
  <c r="H33" i="13"/>
  <c r="W33" i="13" s="1"/>
  <c r="J33" i="13"/>
  <c r="Y33" i="13" s="1"/>
  <c r="K33" i="13"/>
  <c r="Z33" i="13" s="1"/>
  <c r="A34" i="13"/>
  <c r="P34" i="13" s="1"/>
  <c r="E34" i="13"/>
  <c r="T34" i="13" s="1"/>
  <c r="F34" i="13"/>
  <c r="U34" i="13" s="1"/>
  <c r="L34" i="13"/>
  <c r="AA34" i="13" s="1"/>
  <c r="A35" i="13"/>
  <c r="P35" i="13" s="1"/>
  <c r="B35" i="13"/>
  <c r="Q35" i="13" s="1"/>
  <c r="F35" i="13"/>
  <c r="U35" i="13" s="1"/>
  <c r="A36" i="13"/>
  <c r="P36" i="13" s="1"/>
  <c r="A37" i="13"/>
  <c r="P37" i="13" s="1"/>
  <c r="A38" i="13"/>
  <c r="P38" i="13" s="1"/>
  <c r="A39" i="13"/>
  <c r="P39" i="13" s="1"/>
  <c r="A40" i="13"/>
  <c r="P40" i="13" s="1"/>
  <c r="A41" i="13"/>
  <c r="P41" i="13" s="1"/>
  <c r="A7" i="2"/>
  <c r="Z7" i="2" s="1"/>
  <c r="AN7" i="2" s="1"/>
  <c r="U7" i="2"/>
  <c r="A8" i="2"/>
  <c r="A274" i="2" s="1"/>
  <c r="AD8" i="2"/>
  <c r="AO8" i="2"/>
  <c r="AP8" i="2"/>
  <c r="AQ8" i="2"/>
  <c r="AR8" i="2"/>
  <c r="AS8" i="2"/>
  <c r="AT8" i="2"/>
  <c r="AU8" i="2"/>
  <c r="AV8" i="2"/>
  <c r="AW8" i="2"/>
  <c r="AX8" i="2"/>
  <c r="AY8" i="2"/>
  <c r="AZ8" i="2"/>
  <c r="A9" i="2"/>
  <c r="A199" i="2" s="1"/>
  <c r="AD9" i="2"/>
  <c r="AO9" i="2"/>
  <c r="AP9" i="2"/>
  <c r="AQ9" i="2"/>
  <c r="AR9" i="2"/>
  <c r="AS9" i="2"/>
  <c r="AT9" i="2"/>
  <c r="AU9" i="2"/>
  <c r="AV9" i="2"/>
  <c r="AW9" i="2"/>
  <c r="AX9" i="2"/>
  <c r="AY9" i="2"/>
  <c r="AZ9" i="2"/>
  <c r="A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A11" i="2"/>
  <c r="A201" i="2" s="1"/>
  <c r="AF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A12" i="2"/>
  <c r="A411" i="2" s="1"/>
  <c r="AO12" i="2"/>
  <c r="AP12" i="2"/>
  <c r="AQ12" i="2"/>
  <c r="AR12" i="2"/>
  <c r="AS12" i="2"/>
  <c r="AT12" i="2"/>
  <c r="AU12" i="2"/>
  <c r="AV12" i="2"/>
  <c r="AW12" i="2"/>
  <c r="AX12" i="2"/>
  <c r="AY12" i="2"/>
  <c r="AZ12" i="2"/>
  <c r="A13" i="2"/>
  <c r="A72" i="2" s="1"/>
  <c r="AF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A14" i="2"/>
  <c r="AD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A15" i="2"/>
  <c r="A353" i="2" s="1"/>
  <c r="R15" i="2"/>
  <c r="AA15" i="2" s="1"/>
  <c r="AO15" i="2"/>
  <c r="AP15" i="2"/>
  <c r="AQ15" i="2"/>
  <c r="AR15" i="2"/>
  <c r="AS15" i="2"/>
  <c r="AT15" i="2"/>
  <c r="AU15" i="2"/>
  <c r="AV15" i="2"/>
  <c r="AW15" i="2"/>
  <c r="AX15" i="2"/>
  <c r="AY15" i="2"/>
  <c r="AZ15" i="2"/>
  <c r="A16" i="2"/>
  <c r="A75" i="2" s="1"/>
  <c r="AO16" i="2"/>
  <c r="AP16" i="2"/>
  <c r="AQ16" i="2"/>
  <c r="AR16" i="2"/>
  <c r="AS16" i="2"/>
  <c r="AT16" i="2"/>
  <c r="AU16" i="2"/>
  <c r="AV16" i="2"/>
  <c r="AW16" i="2"/>
  <c r="AX16" i="2"/>
  <c r="AY16" i="2"/>
  <c r="AZ16" i="2"/>
  <c r="A17" i="2"/>
  <c r="A355" i="2" s="1"/>
  <c r="R17" i="2"/>
  <c r="AA17" i="2" s="1"/>
  <c r="AO17" i="2"/>
  <c r="AP17" i="2"/>
  <c r="AQ17" i="2"/>
  <c r="AR17" i="2"/>
  <c r="AS17" i="2"/>
  <c r="AT17" i="2"/>
  <c r="AU17" i="2"/>
  <c r="AV17" i="2"/>
  <c r="AW17" i="2"/>
  <c r="AX17" i="2"/>
  <c r="AY17" i="2"/>
  <c r="AZ17" i="2"/>
  <c r="A18" i="2"/>
  <c r="A284" i="2" s="1"/>
  <c r="AB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19" i="2"/>
  <c r="A135" i="2" s="1"/>
  <c r="O135" i="2" s="1"/>
  <c r="AO19" i="2"/>
  <c r="AP19" i="2"/>
  <c r="AQ19" i="2"/>
  <c r="AR19" i="2"/>
  <c r="AS19" i="2"/>
  <c r="AT19" i="2"/>
  <c r="AU19" i="2"/>
  <c r="AV19" i="2"/>
  <c r="AW19" i="2"/>
  <c r="AX19" i="2"/>
  <c r="AY19" i="2"/>
  <c r="AZ19" i="2"/>
  <c r="A20" i="2"/>
  <c r="A79" i="2" s="1"/>
  <c r="R20" i="2"/>
  <c r="AA20" i="2" s="1"/>
  <c r="AO20" i="2"/>
  <c r="AP20" i="2"/>
  <c r="AQ20" i="2"/>
  <c r="AR20" i="2"/>
  <c r="AS20" i="2"/>
  <c r="AT20" i="2"/>
  <c r="AU20" i="2"/>
  <c r="AV20" i="2"/>
  <c r="AW20" i="2"/>
  <c r="AX20" i="2"/>
  <c r="AY20" i="2"/>
  <c r="AZ20" i="2"/>
  <c r="A21" i="2"/>
  <c r="A211" i="2" s="1"/>
  <c r="AF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A22" i="2"/>
  <c r="A138" i="2" s="1"/>
  <c r="O138" i="2" s="1"/>
  <c r="AO22" i="2"/>
  <c r="AP22" i="2"/>
  <c r="AQ22" i="2"/>
  <c r="AR22" i="2"/>
  <c r="AS22" i="2"/>
  <c r="AT22" i="2"/>
  <c r="AU22" i="2"/>
  <c r="AV22" i="2"/>
  <c r="AW22" i="2"/>
  <c r="AX22" i="2"/>
  <c r="AY22" i="2"/>
  <c r="AZ22" i="2"/>
  <c r="A23" i="2"/>
  <c r="A139" i="2" s="1"/>
  <c r="O139" i="2" s="1"/>
  <c r="AD23" i="2"/>
  <c r="R23" i="2"/>
  <c r="AA23" i="2" s="1"/>
  <c r="AO23" i="2"/>
  <c r="AP23" i="2"/>
  <c r="AQ23" i="2"/>
  <c r="AR23" i="2"/>
  <c r="AS23" i="2"/>
  <c r="AT23" i="2"/>
  <c r="AU23" i="2"/>
  <c r="AV23" i="2"/>
  <c r="AW23" i="2"/>
  <c r="AX23" i="2"/>
  <c r="AY23" i="2"/>
  <c r="AZ23" i="2"/>
  <c r="A24" i="2"/>
  <c r="A362" i="2" s="1"/>
  <c r="AC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A25" i="2"/>
  <c r="A363" i="2" s="1"/>
  <c r="AO25" i="2"/>
  <c r="AP25" i="2"/>
  <c r="AQ25" i="2"/>
  <c r="AR25" i="2"/>
  <c r="AS25" i="2"/>
  <c r="AT25" i="2"/>
  <c r="AU25" i="2"/>
  <c r="AV25" i="2"/>
  <c r="AW25" i="2"/>
  <c r="AX25" i="2"/>
  <c r="AY25" i="2"/>
  <c r="AZ25" i="2"/>
  <c r="A26" i="2"/>
  <c r="A85" i="2" s="1"/>
  <c r="R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A27" i="2"/>
  <c r="A293" i="2" s="1"/>
  <c r="AO27" i="2"/>
  <c r="AP27" i="2"/>
  <c r="AQ27" i="2"/>
  <c r="AR27" i="2"/>
  <c r="AS27" i="2"/>
  <c r="AT27" i="2"/>
  <c r="AU27" i="2"/>
  <c r="AV27" i="2"/>
  <c r="AW27" i="2"/>
  <c r="AX27" i="2"/>
  <c r="AY27" i="2"/>
  <c r="AZ27" i="2"/>
  <c r="A28" i="2"/>
  <c r="A427" i="2" s="1"/>
  <c r="AC28" i="2"/>
  <c r="R28" i="2"/>
  <c r="AB28" i="2" s="1"/>
  <c r="AO28" i="2"/>
  <c r="AP28" i="2"/>
  <c r="AQ28" i="2"/>
  <c r="AR28" i="2"/>
  <c r="AS28" i="2"/>
  <c r="AT28" i="2"/>
  <c r="AU28" i="2"/>
  <c r="AV28" i="2"/>
  <c r="AW28" i="2"/>
  <c r="AX28" i="2"/>
  <c r="AY28" i="2"/>
  <c r="AZ28" i="2"/>
  <c r="A29" i="2"/>
  <c r="AC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A30" i="2"/>
  <c r="Z30" i="2" s="1"/>
  <c r="AN30" i="2" s="1"/>
  <c r="R30" i="2"/>
  <c r="AK30" i="2" s="1"/>
  <c r="AO30" i="2"/>
  <c r="AP30" i="2"/>
  <c r="AQ30" i="2"/>
  <c r="AR30" i="2"/>
  <c r="AS30" i="2"/>
  <c r="AT30" i="2"/>
  <c r="AU30" i="2"/>
  <c r="AV30" i="2"/>
  <c r="AW30" i="2"/>
  <c r="AX30" i="2"/>
  <c r="AY30" i="2"/>
  <c r="AZ30" i="2"/>
  <c r="A31" i="2"/>
  <c r="A221" i="2" s="1"/>
  <c r="R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A32" i="2"/>
  <c r="A431" i="2" s="1"/>
  <c r="AO32" i="2"/>
  <c r="AP32" i="2"/>
  <c r="AQ32" i="2"/>
  <c r="AR32" i="2"/>
  <c r="AS32" i="2"/>
  <c r="AT32" i="2"/>
  <c r="AU32" i="2"/>
  <c r="AV32" i="2"/>
  <c r="AW32" i="2"/>
  <c r="AX32" i="2"/>
  <c r="AY32" i="2"/>
  <c r="AZ32" i="2"/>
  <c r="A33" i="2"/>
  <c r="AI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A34" i="2"/>
  <c r="A300" i="2" s="1"/>
  <c r="AH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A35" i="2"/>
  <c r="R35" i="2"/>
  <c r="AB35" i="2" s="1"/>
  <c r="AO35" i="2"/>
  <c r="AP35" i="2"/>
  <c r="AQ35" i="2"/>
  <c r="AR35" i="2"/>
  <c r="AS35" i="2"/>
  <c r="AT35" i="2"/>
  <c r="AU35" i="2"/>
  <c r="AV35" i="2"/>
  <c r="AW35" i="2"/>
  <c r="AX35" i="2"/>
  <c r="AY35" i="2"/>
  <c r="AZ35" i="2"/>
  <c r="A36" i="2"/>
  <c r="AI36" i="2"/>
  <c r="R36" i="2"/>
  <c r="AA36" i="2" s="1"/>
  <c r="AO36" i="2"/>
  <c r="AP36" i="2"/>
  <c r="AQ36" i="2"/>
  <c r="AR36" i="2"/>
  <c r="AS36" i="2"/>
  <c r="AT36" i="2"/>
  <c r="AU36" i="2"/>
  <c r="AV36" i="2"/>
  <c r="AW36" i="2"/>
  <c r="AX36" i="2"/>
  <c r="AY36" i="2"/>
  <c r="AZ36" i="2"/>
  <c r="A37" i="2"/>
  <c r="A303" i="2" s="1"/>
  <c r="AC37" i="2"/>
  <c r="R37" i="2"/>
  <c r="AB37" i="2" s="1"/>
  <c r="AO37" i="2"/>
  <c r="AP37" i="2"/>
  <c r="AQ37" i="2"/>
  <c r="AR37" i="2"/>
  <c r="AS37" i="2"/>
  <c r="AT37" i="2"/>
  <c r="AU37" i="2"/>
  <c r="AV37" i="2"/>
  <c r="AW37" i="2"/>
  <c r="AX37" i="2"/>
  <c r="AY37" i="2"/>
  <c r="AZ37" i="2"/>
  <c r="A38" i="2"/>
  <c r="AH38" i="2"/>
  <c r="R38" i="2"/>
  <c r="AL37" i="2" s="1"/>
  <c r="AO38" i="2"/>
  <c r="AP38" i="2"/>
  <c r="AQ38" i="2"/>
  <c r="AR38" i="2"/>
  <c r="AS38" i="2"/>
  <c r="AT38" i="2"/>
  <c r="AU38" i="2"/>
  <c r="AV38" i="2"/>
  <c r="AW38" i="2"/>
  <c r="AX38" i="2"/>
  <c r="AY38" i="2"/>
  <c r="AZ38" i="2"/>
  <c r="A39" i="2"/>
  <c r="AG39" i="2"/>
  <c r="R39" i="2"/>
  <c r="AA39" i="2" s="1"/>
  <c r="AO39" i="2"/>
  <c r="AP39" i="2"/>
  <c r="AQ39" i="2"/>
  <c r="AR39" i="2"/>
  <c r="AS39" i="2"/>
  <c r="AT39" i="2"/>
  <c r="AU39" i="2"/>
  <c r="AV39" i="2"/>
  <c r="AW39" i="2"/>
  <c r="AX39" i="2"/>
  <c r="AY39" i="2"/>
  <c r="AZ39" i="2"/>
  <c r="A40" i="2"/>
  <c r="AG40" i="2"/>
  <c r="AD40" i="2"/>
  <c r="R40" i="2"/>
  <c r="AB40" i="2" s="1"/>
  <c r="AC40" i="2"/>
  <c r="A41" i="2"/>
  <c r="A42" i="2"/>
  <c r="A43" i="2"/>
  <c r="A49" i="2"/>
  <c r="T197" i="2"/>
  <c r="Q198" i="2"/>
  <c r="T198" i="2"/>
  <c r="S199" i="2"/>
  <c r="T200" i="2"/>
  <c r="Q201" i="2"/>
  <c r="T201" i="2"/>
  <c r="S202" i="2"/>
  <c r="S203" i="2"/>
  <c r="Q204" i="2"/>
  <c r="Q206" i="2"/>
  <c r="S206" i="2"/>
  <c r="S208" i="2"/>
  <c r="Q209" i="2"/>
  <c r="S209" i="2"/>
  <c r="Q210" i="2"/>
  <c r="S210" i="2"/>
  <c r="W210" i="2"/>
  <c r="Q211" i="2"/>
  <c r="V211" i="2"/>
  <c r="Q212" i="2"/>
  <c r="S212" i="2"/>
  <c r="V212" i="2"/>
  <c r="Q213" i="2"/>
  <c r="S213" i="2"/>
  <c r="Q214" i="2"/>
  <c r="T214" i="2"/>
  <c r="V214" i="2"/>
  <c r="S215" i="2"/>
  <c r="V215" i="2"/>
  <c r="Q216" i="2"/>
  <c r="V216" i="2"/>
  <c r="Q217" i="2"/>
  <c r="S217" i="2"/>
  <c r="V217" i="2"/>
  <c r="Q218" i="2"/>
  <c r="T218" i="2"/>
  <c r="W218" i="2"/>
  <c r="Q219" i="2"/>
  <c r="S219" i="2"/>
  <c r="V219" i="2"/>
  <c r="Q220" i="2"/>
  <c r="S220" i="2"/>
  <c r="V220" i="2"/>
  <c r="T221" i="2"/>
  <c r="Q222" i="2"/>
  <c r="S222" i="2"/>
  <c r="V222" i="2"/>
  <c r="Q223" i="2"/>
  <c r="S223" i="2"/>
  <c r="V223" i="2"/>
  <c r="T224" i="2"/>
  <c r="V224" i="2"/>
  <c r="Q225" i="2"/>
  <c r="T225" i="2"/>
  <c r="W225" i="2"/>
  <c r="Q226" i="2"/>
  <c r="S226" i="2"/>
  <c r="V226" i="2"/>
  <c r="Q227" i="2"/>
  <c r="T227" i="2"/>
  <c r="V227" i="2"/>
  <c r="Q228" i="2"/>
  <c r="T228" i="2"/>
  <c r="V228" i="2"/>
  <c r="Q229" i="2"/>
  <c r="V229" i="2"/>
  <c r="Q230" i="2"/>
  <c r="T230" i="2"/>
  <c r="W230" i="2"/>
  <c r="W252" i="2" s="1"/>
  <c r="W258" i="2" s="1"/>
  <c r="Q273" i="2"/>
  <c r="T273" i="2"/>
  <c r="W273" i="2"/>
  <c r="Q274" i="2"/>
  <c r="T274" i="2"/>
  <c r="V274" i="2"/>
  <c r="S275" i="2"/>
  <c r="W275" i="2"/>
  <c r="T276" i="2"/>
  <c r="V276" i="2"/>
  <c r="Q277" i="2"/>
  <c r="T277" i="2"/>
  <c r="V277" i="2"/>
  <c r="Q278" i="2"/>
  <c r="S278" i="2"/>
  <c r="W278" i="2"/>
  <c r="Q279" i="2"/>
  <c r="S279" i="2"/>
  <c r="V279" i="2"/>
  <c r="Q280" i="2"/>
  <c r="T280" i="2"/>
  <c r="V280" i="2"/>
  <c r="T281" i="2"/>
  <c r="V281" i="2"/>
  <c r="Q282" i="2"/>
  <c r="S282" i="2"/>
  <c r="V282" i="2"/>
  <c r="T283" i="2"/>
  <c r="V283" i="2"/>
  <c r="S284" i="2"/>
  <c r="V284" i="2"/>
  <c r="Q285" i="2"/>
  <c r="S285" i="2"/>
  <c r="V285" i="2"/>
  <c r="Q286" i="2"/>
  <c r="S286" i="2"/>
  <c r="W286" i="2"/>
  <c r="Q287" i="2"/>
  <c r="T287" i="2"/>
  <c r="V287" i="2"/>
  <c r="Q288" i="2"/>
  <c r="S288" i="2"/>
  <c r="V288" i="2"/>
  <c r="Q289" i="2"/>
  <c r="S289" i="2"/>
  <c r="W289" i="2"/>
  <c r="Q290" i="2"/>
  <c r="T290" i="2"/>
  <c r="V290" i="2"/>
  <c r="S291" i="2"/>
  <c r="V291" i="2"/>
  <c r="Q292" i="2"/>
  <c r="T292" i="2"/>
  <c r="V292" i="2"/>
  <c r="Q293" i="2"/>
  <c r="S293" i="2"/>
  <c r="S326" i="2" s="1"/>
  <c r="V293" i="2"/>
  <c r="Q294" i="2"/>
  <c r="T294" i="2"/>
  <c r="W294" i="2"/>
  <c r="Q295" i="2"/>
  <c r="S295" i="2"/>
  <c r="V295" i="2"/>
  <c r="Q296" i="2"/>
  <c r="S296" i="2"/>
  <c r="V296" i="2"/>
  <c r="T297" i="2"/>
  <c r="W297" i="2"/>
  <c r="Q298" i="2"/>
  <c r="S298" i="2"/>
  <c r="V298" i="2"/>
  <c r="Q299" i="2"/>
  <c r="S299" i="2"/>
  <c r="V299" i="2"/>
  <c r="T300" i="2"/>
  <c r="V300" i="2"/>
  <c r="W301" i="2"/>
  <c r="V302" i="2"/>
  <c r="E333" i="2"/>
  <c r="I333" i="2"/>
  <c r="M333" i="2"/>
  <c r="C333" i="2"/>
  <c r="F333" i="2"/>
  <c r="J333" i="2"/>
  <c r="C334" i="2"/>
  <c r="F334" i="2"/>
  <c r="G334" i="2"/>
  <c r="J334" i="2"/>
  <c r="C345" i="2"/>
  <c r="D345" i="2"/>
  <c r="E345" i="2"/>
  <c r="F345" i="2"/>
  <c r="G345" i="2"/>
  <c r="H345" i="2"/>
  <c r="I345" i="2"/>
  <c r="J345" i="2"/>
  <c r="K345" i="2"/>
  <c r="L345" i="2"/>
  <c r="M345" i="2"/>
  <c r="B346" i="2"/>
  <c r="C346" i="2"/>
  <c r="D346" i="2"/>
  <c r="E346" i="2"/>
  <c r="F346" i="2"/>
  <c r="G346" i="2"/>
  <c r="H346" i="2"/>
  <c r="I346" i="2"/>
  <c r="J346" i="2"/>
  <c r="K346" i="2"/>
  <c r="L346" i="2"/>
  <c r="M346" i="2"/>
  <c r="B347" i="2"/>
  <c r="C347" i="2"/>
  <c r="D347" i="2"/>
  <c r="T347" i="2" s="1"/>
  <c r="E347" i="2"/>
  <c r="F347" i="2"/>
  <c r="G347" i="2"/>
  <c r="H347" i="2"/>
  <c r="I347" i="2"/>
  <c r="J347" i="2"/>
  <c r="K347" i="2"/>
  <c r="L347" i="2"/>
  <c r="Q347" i="2" s="1"/>
  <c r="M347" i="2"/>
  <c r="B348" i="2"/>
  <c r="C348" i="2"/>
  <c r="D348" i="2"/>
  <c r="E348" i="2"/>
  <c r="F348" i="2"/>
  <c r="G348" i="2"/>
  <c r="H348" i="2"/>
  <c r="I348" i="2"/>
  <c r="J348" i="2"/>
  <c r="K348" i="2"/>
  <c r="L348" i="2"/>
  <c r="R348" i="2" s="1"/>
  <c r="M348" i="2"/>
  <c r="B349" i="2"/>
  <c r="C349" i="2"/>
  <c r="D349" i="2"/>
  <c r="E349" i="2"/>
  <c r="F349" i="2"/>
  <c r="G349" i="2"/>
  <c r="H349" i="2"/>
  <c r="I349" i="2"/>
  <c r="J349" i="2"/>
  <c r="K349" i="2"/>
  <c r="L349" i="2"/>
  <c r="M349" i="2"/>
  <c r="B350" i="2"/>
  <c r="C350" i="2"/>
  <c r="D350" i="2"/>
  <c r="T350" i="2" s="1"/>
  <c r="E350" i="2"/>
  <c r="F350" i="2"/>
  <c r="G350" i="2"/>
  <c r="H350" i="2"/>
  <c r="I350" i="2"/>
  <c r="J350" i="2"/>
  <c r="K350" i="2"/>
  <c r="L350" i="2"/>
  <c r="M350" i="2"/>
  <c r="B351" i="2"/>
  <c r="C351" i="2"/>
  <c r="D351" i="2"/>
  <c r="T351" i="2" s="1"/>
  <c r="E351" i="2"/>
  <c r="F351" i="2"/>
  <c r="G351" i="2"/>
  <c r="H351" i="2"/>
  <c r="I351" i="2"/>
  <c r="J351" i="2"/>
  <c r="K351" i="2"/>
  <c r="L351" i="2"/>
  <c r="R351" i="2" s="1"/>
  <c r="M351" i="2"/>
  <c r="B352" i="2"/>
  <c r="C352" i="2"/>
  <c r="D352" i="2"/>
  <c r="U352" i="2" s="1"/>
  <c r="E352" i="2"/>
  <c r="F352" i="2"/>
  <c r="G352" i="2"/>
  <c r="H352" i="2"/>
  <c r="I352" i="2"/>
  <c r="J352" i="2"/>
  <c r="K352" i="2"/>
  <c r="L352" i="2"/>
  <c r="M352" i="2"/>
  <c r="B353" i="2"/>
  <c r="C353" i="2"/>
  <c r="D353" i="2"/>
  <c r="U353" i="2" s="1"/>
  <c r="E353" i="2"/>
  <c r="F353" i="2"/>
  <c r="G353" i="2"/>
  <c r="H353" i="2"/>
  <c r="I353" i="2"/>
  <c r="J353" i="2"/>
  <c r="K353" i="2"/>
  <c r="L353" i="2"/>
  <c r="Q353" i="2" s="1"/>
  <c r="M353" i="2"/>
  <c r="B354" i="2"/>
  <c r="C354" i="2"/>
  <c r="D354" i="2"/>
  <c r="T354" i="2" s="1"/>
  <c r="E354" i="2"/>
  <c r="F354" i="2"/>
  <c r="G354" i="2"/>
  <c r="H354" i="2"/>
  <c r="I354" i="2"/>
  <c r="J354" i="2"/>
  <c r="K354" i="2"/>
  <c r="L354" i="2"/>
  <c r="M354" i="2"/>
  <c r="B355" i="2"/>
  <c r="C355" i="2"/>
  <c r="D355" i="2"/>
  <c r="U355" i="2" s="1"/>
  <c r="E355" i="2"/>
  <c r="F355" i="2"/>
  <c r="G355" i="2"/>
  <c r="H355" i="2"/>
  <c r="I355" i="2"/>
  <c r="J355" i="2"/>
  <c r="K355" i="2"/>
  <c r="L355" i="2"/>
  <c r="Q355" i="2" s="1"/>
  <c r="M355" i="2"/>
  <c r="B356" i="2"/>
  <c r="C356" i="2"/>
  <c r="D356" i="2"/>
  <c r="T356" i="2" s="1"/>
  <c r="E356" i="2"/>
  <c r="F356" i="2"/>
  <c r="G356" i="2"/>
  <c r="H356" i="2"/>
  <c r="I356" i="2"/>
  <c r="J356" i="2"/>
  <c r="K356" i="2"/>
  <c r="L356" i="2"/>
  <c r="Q356" i="2" s="1"/>
  <c r="M356" i="2"/>
  <c r="B357" i="2"/>
  <c r="C357" i="2"/>
  <c r="D357" i="2"/>
  <c r="T357" i="2" s="1"/>
  <c r="E357" i="2"/>
  <c r="F357" i="2"/>
  <c r="G357" i="2"/>
  <c r="H357" i="2"/>
  <c r="I357" i="2"/>
  <c r="J357" i="2"/>
  <c r="K357" i="2"/>
  <c r="L357" i="2"/>
  <c r="M357" i="2"/>
  <c r="B358" i="2"/>
  <c r="C358" i="2"/>
  <c r="D358" i="2"/>
  <c r="T358" i="2" s="1"/>
  <c r="E358" i="2"/>
  <c r="F358" i="2"/>
  <c r="G358" i="2"/>
  <c r="H358" i="2"/>
  <c r="I358" i="2"/>
  <c r="J358" i="2"/>
  <c r="K358" i="2"/>
  <c r="L358" i="2"/>
  <c r="M358" i="2"/>
  <c r="B359" i="2"/>
  <c r="C359" i="2"/>
  <c r="D359" i="2"/>
  <c r="U359" i="2" s="1"/>
  <c r="E359" i="2"/>
  <c r="F359" i="2"/>
  <c r="G359" i="2"/>
  <c r="H359" i="2"/>
  <c r="I359" i="2"/>
  <c r="J359" i="2"/>
  <c r="K359" i="2"/>
  <c r="L359" i="2"/>
  <c r="M359" i="2"/>
  <c r="B360" i="2"/>
  <c r="C360" i="2"/>
  <c r="D360" i="2"/>
  <c r="E360" i="2"/>
  <c r="F360" i="2"/>
  <c r="G360" i="2"/>
  <c r="H360" i="2"/>
  <c r="I360" i="2"/>
  <c r="J360" i="2"/>
  <c r="K360" i="2"/>
  <c r="L360" i="2"/>
  <c r="M360" i="2"/>
  <c r="B361" i="2"/>
  <c r="C361" i="2"/>
  <c r="D361" i="2"/>
  <c r="T361" i="2" s="1"/>
  <c r="E361" i="2"/>
  <c r="F361" i="2"/>
  <c r="G361" i="2"/>
  <c r="H361" i="2"/>
  <c r="I361" i="2"/>
  <c r="J361" i="2"/>
  <c r="K361" i="2"/>
  <c r="L361" i="2"/>
  <c r="M361" i="2"/>
  <c r="B362" i="2"/>
  <c r="C362" i="2"/>
  <c r="D362" i="2"/>
  <c r="E362" i="2"/>
  <c r="F362" i="2"/>
  <c r="G362" i="2"/>
  <c r="H362" i="2"/>
  <c r="I362" i="2"/>
  <c r="J362" i="2"/>
  <c r="K362" i="2"/>
  <c r="L362" i="2"/>
  <c r="M362" i="2"/>
  <c r="B363" i="2"/>
  <c r="C363" i="2"/>
  <c r="D363" i="2"/>
  <c r="T363" i="2" s="1"/>
  <c r="E363" i="2"/>
  <c r="F363" i="2"/>
  <c r="G363" i="2"/>
  <c r="H363" i="2"/>
  <c r="I363" i="2"/>
  <c r="J363" i="2"/>
  <c r="K363" i="2"/>
  <c r="L363" i="2"/>
  <c r="Q363" i="2" s="1"/>
  <c r="M363" i="2"/>
  <c r="B364" i="2"/>
  <c r="C364" i="2"/>
  <c r="D364" i="2"/>
  <c r="U364" i="2" s="1"/>
  <c r="E364" i="2"/>
  <c r="F364" i="2"/>
  <c r="G364" i="2"/>
  <c r="H364" i="2"/>
  <c r="I364" i="2"/>
  <c r="J364" i="2"/>
  <c r="K364" i="2"/>
  <c r="L364" i="2"/>
  <c r="M364" i="2"/>
  <c r="B365" i="2"/>
  <c r="C365" i="2"/>
  <c r="D365" i="2"/>
  <c r="T365" i="2" s="1"/>
  <c r="E365" i="2"/>
  <c r="F365" i="2"/>
  <c r="G365" i="2"/>
  <c r="H365" i="2"/>
  <c r="I365" i="2"/>
  <c r="J365" i="2"/>
  <c r="K365" i="2"/>
  <c r="L365" i="2"/>
  <c r="M365" i="2"/>
  <c r="B366" i="2"/>
  <c r="C366" i="2"/>
  <c r="D366" i="2"/>
  <c r="E366" i="2"/>
  <c r="F366" i="2"/>
  <c r="G366" i="2"/>
  <c r="H366" i="2"/>
  <c r="I366" i="2"/>
  <c r="J366" i="2"/>
  <c r="K366" i="2"/>
  <c r="L366" i="2"/>
  <c r="M366" i="2"/>
  <c r="B367" i="2"/>
  <c r="C367" i="2"/>
  <c r="D367" i="2"/>
  <c r="T367" i="2" s="1"/>
  <c r="E367" i="2"/>
  <c r="F367" i="2"/>
  <c r="G367" i="2"/>
  <c r="H367" i="2"/>
  <c r="I367" i="2"/>
  <c r="J367" i="2"/>
  <c r="K367" i="2"/>
  <c r="L367" i="2"/>
  <c r="M367" i="2"/>
  <c r="B368" i="2"/>
  <c r="C368" i="2"/>
  <c r="D368" i="2"/>
  <c r="T368" i="2" s="1"/>
  <c r="E368" i="2"/>
  <c r="F368" i="2"/>
  <c r="G368" i="2"/>
  <c r="H368" i="2"/>
  <c r="I368" i="2"/>
  <c r="J368" i="2"/>
  <c r="K368" i="2"/>
  <c r="L368" i="2"/>
  <c r="M368" i="2"/>
  <c r="B369" i="2"/>
  <c r="C369" i="2"/>
  <c r="D369" i="2"/>
  <c r="E369" i="2"/>
  <c r="F369" i="2"/>
  <c r="G369" i="2"/>
  <c r="H369" i="2"/>
  <c r="I369" i="2"/>
  <c r="J369" i="2"/>
  <c r="K369" i="2"/>
  <c r="L369" i="2"/>
  <c r="M369" i="2"/>
  <c r="B370" i="2"/>
  <c r="C370" i="2"/>
  <c r="D370" i="2"/>
  <c r="E370" i="2"/>
  <c r="F370" i="2"/>
  <c r="G370" i="2"/>
  <c r="H370" i="2"/>
  <c r="I370" i="2"/>
  <c r="J370" i="2"/>
  <c r="K370" i="2"/>
  <c r="L370" i="2"/>
  <c r="M370" i="2"/>
  <c r="B371" i="2"/>
  <c r="C371" i="2"/>
  <c r="D371" i="2"/>
  <c r="T371" i="2" s="1"/>
  <c r="E371" i="2"/>
  <c r="F371" i="2"/>
  <c r="G371" i="2"/>
  <c r="H371" i="2"/>
  <c r="I371" i="2"/>
  <c r="J371" i="2"/>
  <c r="K371" i="2"/>
  <c r="L371" i="2"/>
  <c r="M371" i="2"/>
  <c r="B372" i="2"/>
  <c r="C372" i="2"/>
  <c r="D372" i="2"/>
  <c r="E372" i="2"/>
  <c r="F372" i="2"/>
  <c r="G372" i="2"/>
  <c r="H372" i="2"/>
  <c r="I372" i="2"/>
  <c r="J372" i="2"/>
  <c r="K372" i="2"/>
  <c r="L372" i="2"/>
  <c r="M372" i="2"/>
  <c r="B373" i="2"/>
  <c r="C373" i="2"/>
  <c r="D373" i="2"/>
  <c r="E373" i="2"/>
  <c r="F373" i="2"/>
  <c r="G373" i="2"/>
  <c r="H373" i="2"/>
  <c r="I373" i="2"/>
  <c r="J373" i="2"/>
  <c r="K373" i="2"/>
  <c r="M373" i="2"/>
  <c r="B374" i="2"/>
  <c r="C374" i="2"/>
  <c r="D374" i="2"/>
  <c r="T374" i="2" s="1"/>
  <c r="E374" i="2"/>
  <c r="F374" i="2"/>
  <c r="G374" i="2"/>
  <c r="H374" i="2"/>
  <c r="I374" i="2"/>
  <c r="J374" i="2"/>
  <c r="K374" i="2"/>
  <c r="M374" i="2"/>
  <c r="B375" i="2"/>
  <c r="C375" i="2"/>
  <c r="D375" i="2"/>
  <c r="E375" i="2"/>
  <c r="F375" i="2"/>
  <c r="G375" i="2"/>
  <c r="H375" i="2"/>
  <c r="I375" i="2"/>
  <c r="J375" i="2"/>
  <c r="K375" i="2"/>
  <c r="M375" i="2"/>
  <c r="B376" i="2"/>
  <c r="C376" i="2"/>
  <c r="D376" i="2"/>
  <c r="E376" i="2"/>
  <c r="F376" i="2"/>
  <c r="G376" i="2"/>
  <c r="H376" i="2"/>
  <c r="I376" i="2"/>
  <c r="J376" i="2"/>
  <c r="K376" i="2"/>
  <c r="M376" i="2"/>
  <c r="B377" i="2"/>
  <c r="C377" i="2"/>
  <c r="D377" i="2"/>
  <c r="U377" i="2" s="1"/>
  <c r="E377" i="2"/>
  <c r="F377" i="2"/>
  <c r="G377" i="2"/>
  <c r="H377" i="2"/>
  <c r="I377" i="2"/>
  <c r="J377" i="2"/>
  <c r="K377" i="2"/>
  <c r="M377" i="2"/>
  <c r="B378" i="2"/>
  <c r="C378" i="2"/>
  <c r="E378" i="2"/>
  <c r="F378" i="2"/>
  <c r="G378" i="2"/>
  <c r="H378" i="2"/>
  <c r="I378" i="2"/>
  <c r="J378" i="2"/>
  <c r="K378" i="2"/>
  <c r="M378" i="2"/>
  <c r="C406" i="2"/>
  <c r="D406" i="2"/>
  <c r="T406" i="2" s="1"/>
  <c r="E406" i="2"/>
  <c r="F406" i="2"/>
  <c r="G406" i="2"/>
  <c r="H406" i="2"/>
  <c r="I406" i="2"/>
  <c r="J406" i="2"/>
  <c r="K406" i="2"/>
  <c r="L406" i="2"/>
  <c r="Q406" i="2" s="1"/>
  <c r="M406" i="2"/>
  <c r="C407" i="2"/>
  <c r="D407" i="2"/>
  <c r="T407" i="2" s="1"/>
  <c r="E407" i="2"/>
  <c r="F407" i="2"/>
  <c r="G407" i="2"/>
  <c r="H407" i="2"/>
  <c r="I407" i="2"/>
  <c r="J407" i="2"/>
  <c r="K407" i="2"/>
  <c r="L407" i="2"/>
  <c r="Q407" i="2" s="1"/>
  <c r="M407" i="2"/>
  <c r="C408" i="2"/>
  <c r="D408" i="2"/>
  <c r="E408" i="2"/>
  <c r="F408" i="2"/>
  <c r="G408" i="2"/>
  <c r="H408" i="2"/>
  <c r="I408" i="2"/>
  <c r="J408" i="2"/>
  <c r="K408" i="2"/>
  <c r="L408" i="2"/>
  <c r="M408" i="2"/>
  <c r="C409" i="2"/>
  <c r="D409" i="2"/>
  <c r="T409" i="2" s="1"/>
  <c r="E409" i="2"/>
  <c r="F409" i="2"/>
  <c r="G409" i="2"/>
  <c r="H409" i="2"/>
  <c r="I409" i="2"/>
  <c r="J409" i="2"/>
  <c r="K409" i="2"/>
  <c r="L409" i="2"/>
  <c r="Q409" i="2" s="1"/>
  <c r="M409" i="2"/>
  <c r="C410" i="2"/>
  <c r="D410" i="2"/>
  <c r="T410" i="2" s="1"/>
  <c r="E410" i="2"/>
  <c r="F410" i="2"/>
  <c r="G410" i="2"/>
  <c r="H410" i="2"/>
  <c r="I410" i="2"/>
  <c r="J410" i="2"/>
  <c r="K410" i="2"/>
  <c r="L410" i="2"/>
  <c r="Q410" i="2" s="1"/>
  <c r="M410" i="2"/>
  <c r="C411" i="2"/>
  <c r="D411" i="2"/>
  <c r="E411" i="2"/>
  <c r="F411" i="2"/>
  <c r="G411" i="2"/>
  <c r="H411" i="2"/>
  <c r="I411" i="2"/>
  <c r="J411" i="2"/>
  <c r="K411" i="2"/>
  <c r="L411" i="2"/>
  <c r="Q411" i="2" s="1"/>
  <c r="M411" i="2"/>
  <c r="C412" i="2"/>
  <c r="D412" i="2"/>
  <c r="E412" i="2"/>
  <c r="F412" i="2"/>
  <c r="G412" i="2"/>
  <c r="H412" i="2"/>
  <c r="I412" i="2"/>
  <c r="J412" i="2"/>
  <c r="K412" i="2"/>
  <c r="L412" i="2"/>
  <c r="Q412" i="2" s="1"/>
  <c r="M412" i="2"/>
  <c r="B413" i="2"/>
  <c r="C413" i="2"/>
  <c r="D413" i="2"/>
  <c r="E413" i="2"/>
  <c r="F413" i="2"/>
  <c r="G413" i="2"/>
  <c r="H413" i="2"/>
  <c r="I413" i="2"/>
  <c r="J413" i="2"/>
  <c r="K413" i="2"/>
  <c r="L413" i="2"/>
  <c r="Q413" i="2" s="1"/>
  <c r="M413" i="2"/>
  <c r="B414" i="2"/>
  <c r="C414" i="2"/>
  <c r="D414" i="2"/>
  <c r="E414" i="2"/>
  <c r="F414" i="2"/>
  <c r="G414" i="2"/>
  <c r="H414" i="2"/>
  <c r="I414" i="2"/>
  <c r="J414" i="2"/>
  <c r="K414" i="2"/>
  <c r="L414" i="2"/>
  <c r="M414" i="2"/>
  <c r="B415" i="2"/>
  <c r="C415" i="2"/>
  <c r="D415" i="2"/>
  <c r="E415" i="2"/>
  <c r="F415" i="2"/>
  <c r="G415" i="2"/>
  <c r="H415" i="2"/>
  <c r="I415" i="2"/>
  <c r="J415" i="2"/>
  <c r="K415" i="2"/>
  <c r="L415" i="2"/>
  <c r="Q415" i="2" s="1"/>
  <c r="M415" i="2"/>
  <c r="B416" i="2"/>
  <c r="C416" i="2"/>
  <c r="D416" i="2"/>
  <c r="E416" i="2"/>
  <c r="F416" i="2"/>
  <c r="G416" i="2"/>
  <c r="H416" i="2"/>
  <c r="I416" i="2"/>
  <c r="J416" i="2"/>
  <c r="K416" i="2"/>
  <c r="L416" i="2"/>
  <c r="M416" i="2"/>
  <c r="B417" i="2"/>
  <c r="C417" i="2"/>
  <c r="D417" i="2"/>
  <c r="E417" i="2"/>
  <c r="F417" i="2"/>
  <c r="G417" i="2"/>
  <c r="H417" i="2"/>
  <c r="I417" i="2"/>
  <c r="J417" i="2"/>
  <c r="K417" i="2"/>
  <c r="L417" i="2"/>
  <c r="M417" i="2"/>
  <c r="B418" i="2"/>
  <c r="C418" i="2"/>
  <c r="D418" i="2"/>
  <c r="E418" i="2"/>
  <c r="F418" i="2"/>
  <c r="G418" i="2"/>
  <c r="H418" i="2"/>
  <c r="I418" i="2"/>
  <c r="J418" i="2"/>
  <c r="K418" i="2"/>
  <c r="L418" i="2"/>
  <c r="Q418" i="2" s="1"/>
  <c r="M418" i="2"/>
  <c r="B419" i="2"/>
  <c r="C419" i="2"/>
  <c r="D419" i="2"/>
  <c r="E419" i="2"/>
  <c r="F419" i="2"/>
  <c r="G419" i="2"/>
  <c r="H419" i="2"/>
  <c r="I419" i="2"/>
  <c r="J419" i="2"/>
  <c r="K419" i="2"/>
  <c r="L419" i="2"/>
  <c r="Q419" i="2" s="1"/>
  <c r="M419" i="2"/>
  <c r="B420" i="2"/>
  <c r="C420" i="2"/>
  <c r="D420" i="2"/>
  <c r="E420" i="2"/>
  <c r="F420" i="2"/>
  <c r="G420" i="2"/>
  <c r="H420" i="2"/>
  <c r="I420" i="2"/>
  <c r="J420" i="2"/>
  <c r="K420" i="2"/>
  <c r="L420" i="2"/>
  <c r="Q420" i="2" s="1"/>
  <c r="M420" i="2"/>
  <c r="B421" i="2"/>
  <c r="C421" i="2"/>
  <c r="D421" i="2"/>
  <c r="E421" i="2"/>
  <c r="F421" i="2"/>
  <c r="G421" i="2"/>
  <c r="H421" i="2"/>
  <c r="I421" i="2"/>
  <c r="J421" i="2"/>
  <c r="K421" i="2"/>
  <c r="L421" i="2"/>
  <c r="M421" i="2"/>
  <c r="B422" i="2"/>
  <c r="C422" i="2"/>
  <c r="D422" i="2"/>
  <c r="E422" i="2"/>
  <c r="F422" i="2"/>
  <c r="G422" i="2"/>
  <c r="H422" i="2"/>
  <c r="I422" i="2"/>
  <c r="J422" i="2"/>
  <c r="K422" i="2"/>
  <c r="L422" i="2"/>
  <c r="Q422" i="2" s="1"/>
  <c r="M422" i="2"/>
  <c r="B423" i="2"/>
  <c r="C423" i="2"/>
  <c r="D423" i="2"/>
  <c r="T423" i="2" s="1"/>
  <c r="E423" i="2"/>
  <c r="F423" i="2"/>
  <c r="G423" i="2"/>
  <c r="H423" i="2"/>
  <c r="I423" i="2"/>
  <c r="J423" i="2"/>
  <c r="K423" i="2"/>
  <c r="L423" i="2"/>
  <c r="Q423" i="2" s="1"/>
  <c r="M423" i="2"/>
  <c r="B424" i="2"/>
  <c r="C424" i="2"/>
  <c r="D424" i="2"/>
  <c r="E424" i="2"/>
  <c r="F424" i="2"/>
  <c r="G424" i="2"/>
  <c r="H424" i="2"/>
  <c r="I424" i="2"/>
  <c r="J424" i="2"/>
  <c r="K424" i="2"/>
  <c r="L424" i="2"/>
  <c r="M424" i="2"/>
  <c r="B425" i="2"/>
  <c r="C425" i="2"/>
  <c r="D425" i="2"/>
  <c r="E425" i="2"/>
  <c r="F425" i="2"/>
  <c r="G425" i="2"/>
  <c r="H425" i="2"/>
  <c r="I425" i="2"/>
  <c r="J425" i="2"/>
  <c r="K425" i="2"/>
  <c r="L425" i="2"/>
  <c r="Q425" i="2" s="1"/>
  <c r="M425" i="2"/>
  <c r="B426" i="2"/>
  <c r="C426" i="2"/>
  <c r="D426" i="2"/>
  <c r="E426" i="2"/>
  <c r="F426" i="2"/>
  <c r="G426" i="2"/>
  <c r="H426" i="2"/>
  <c r="I426" i="2"/>
  <c r="J426" i="2"/>
  <c r="K426" i="2"/>
  <c r="L426" i="2"/>
  <c r="Q426" i="2" s="1"/>
  <c r="M426" i="2"/>
  <c r="B427" i="2"/>
  <c r="C427" i="2"/>
  <c r="D427" i="2"/>
  <c r="T427" i="2" s="1"/>
  <c r="E427" i="2"/>
  <c r="F427" i="2"/>
  <c r="G427" i="2"/>
  <c r="H427" i="2"/>
  <c r="I427" i="2"/>
  <c r="J427" i="2"/>
  <c r="K427" i="2"/>
  <c r="L427" i="2"/>
  <c r="Q427" i="2" s="1"/>
  <c r="M427" i="2"/>
  <c r="B428" i="2"/>
  <c r="C428" i="2"/>
  <c r="D428" i="2"/>
  <c r="E428" i="2"/>
  <c r="F428" i="2"/>
  <c r="G428" i="2"/>
  <c r="H428" i="2"/>
  <c r="I428" i="2"/>
  <c r="J428" i="2"/>
  <c r="K428" i="2"/>
  <c r="L428" i="2"/>
  <c r="Q428" i="2" s="1"/>
  <c r="M428" i="2"/>
  <c r="B429" i="2"/>
  <c r="C429" i="2"/>
  <c r="D429" i="2"/>
  <c r="E429" i="2"/>
  <c r="F429" i="2"/>
  <c r="G429" i="2"/>
  <c r="H429" i="2"/>
  <c r="I429" i="2"/>
  <c r="J429" i="2"/>
  <c r="K429" i="2"/>
  <c r="L429" i="2"/>
  <c r="Q429" i="2" s="1"/>
  <c r="M429" i="2"/>
  <c r="B430" i="2"/>
  <c r="C430" i="2"/>
  <c r="D430" i="2"/>
  <c r="T430" i="2" s="1"/>
  <c r="E430" i="2"/>
  <c r="F430" i="2"/>
  <c r="G430" i="2"/>
  <c r="H430" i="2"/>
  <c r="I430" i="2"/>
  <c r="J430" i="2"/>
  <c r="K430" i="2"/>
  <c r="M430" i="2"/>
  <c r="B431" i="2"/>
  <c r="C431" i="2"/>
  <c r="D431" i="2"/>
  <c r="E431" i="2"/>
  <c r="F431" i="2"/>
  <c r="G431" i="2"/>
  <c r="H431" i="2"/>
  <c r="I431" i="2"/>
  <c r="J431" i="2"/>
  <c r="K431" i="2"/>
  <c r="L431" i="2"/>
  <c r="Q431" i="2" s="1"/>
  <c r="M431" i="2"/>
  <c r="B432" i="2"/>
  <c r="C432" i="2"/>
  <c r="D432" i="2"/>
  <c r="E432" i="2"/>
  <c r="F432" i="2"/>
  <c r="G432" i="2"/>
  <c r="H432" i="2"/>
  <c r="I432" i="2"/>
  <c r="J432" i="2"/>
  <c r="K432" i="2"/>
  <c r="L432" i="2"/>
  <c r="Q432" i="2" s="1"/>
  <c r="M432" i="2"/>
  <c r="B433" i="2"/>
  <c r="C433" i="2"/>
  <c r="D433" i="2"/>
  <c r="T433" i="2" s="1"/>
  <c r="E433" i="2"/>
  <c r="F433" i="2"/>
  <c r="G433" i="2"/>
  <c r="H433" i="2"/>
  <c r="I433" i="2"/>
  <c r="J433" i="2"/>
  <c r="K433" i="2"/>
  <c r="L433" i="2"/>
  <c r="M433" i="2"/>
  <c r="B434" i="2"/>
  <c r="C434" i="2"/>
  <c r="D434" i="2"/>
  <c r="T434" i="2" s="1"/>
  <c r="E434" i="2"/>
  <c r="F434" i="2"/>
  <c r="G434" i="2"/>
  <c r="H434" i="2"/>
  <c r="I434" i="2"/>
  <c r="J434" i="2"/>
  <c r="K434" i="2"/>
  <c r="L434" i="2"/>
  <c r="Q434" i="2" s="1"/>
  <c r="M434" i="2"/>
  <c r="B435" i="2"/>
  <c r="C435" i="2"/>
  <c r="D435" i="2"/>
  <c r="E435" i="2"/>
  <c r="F435" i="2"/>
  <c r="G435" i="2"/>
  <c r="H435" i="2"/>
  <c r="I435" i="2"/>
  <c r="J435" i="2"/>
  <c r="K435" i="2"/>
  <c r="L435" i="2"/>
  <c r="Q435" i="2" s="1"/>
  <c r="M435" i="2"/>
  <c r="B436" i="2"/>
  <c r="C436" i="2"/>
  <c r="D436" i="2"/>
  <c r="T436" i="2" s="1"/>
  <c r="E436" i="2"/>
  <c r="F436" i="2"/>
  <c r="G436" i="2"/>
  <c r="H436" i="2"/>
  <c r="I436" i="2"/>
  <c r="J436" i="2"/>
  <c r="K436" i="2"/>
  <c r="L436" i="2"/>
  <c r="Q436" i="2" s="1"/>
  <c r="M436" i="2"/>
  <c r="B437" i="2"/>
  <c r="C437" i="2"/>
  <c r="D437" i="2"/>
  <c r="T437" i="2" s="1"/>
  <c r="E437" i="2"/>
  <c r="F437" i="2"/>
  <c r="G437" i="2"/>
  <c r="H437" i="2"/>
  <c r="I437" i="2"/>
  <c r="J437" i="2"/>
  <c r="K437" i="2"/>
  <c r="L437" i="2"/>
  <c r="Q437" i="2" s="1"/>
  <c r="M437" i="2"/>
  <c r="B438" i="2"/>
  <c r="C438" i="2"/>
  <c r="D438" i="2"/>
  <c r="E438" i="2"/>
  <c r="F438" i="2"/>
  <c r="G438" i="2"/>
  <c r="H438" i="2"/>
  <c r="I438" i="2"/>
  <c r="J438" i="2"/>
  <c r="K438" i="2"/>
  <c r="L438" i="2"/>
  <c r="Q438" i="2" s="1"/>
  <c r="M438" i="2"/>
  <c r="B439" i="2"/>
  <c r="C439" i="2"/>
  <c r="D439" i="2"/>
  <c r="T439" i="2" s="1"/>
  <c r="E439" i="2"/>
  <c r="F439" i="2"/>
  <c r="G439" i="2"/>
  <c r="H439" i="2"/>
  <c r="I439" i="2"/>
  <c r="J439" i="2"/>
  <c r="K439" i="2"/>
  <c r="L439" i="2"/>
  <c r="Q439" i="2" s="1"/>
  <c r="M439" i="2"/>
  <c r="B440" i="2"/>
  <c r="C440" i="2"/>
  <c r="D440" i="2"/>
  <c r="T440" i="2" s="1"/>
  <c r="E440" i="2"/>
  <c r="F440" i="2"/>
  <c r="G440" i="2"/>
  <c r="H440" i="2"/>
  <c r="I440" i="2"/>
  <c r="J440" i="2"/>
  <c r="K440" i="2"/>
  <c r="L440" i="2"/>
  <c r="Q440" i="2" s="1"/>
  <c r="M440" i="2"/>
  <c r="Q7" i="1"/>
  <c r="S7" i="1"/>
  <c r="X7" i="1"/>
  <c r="AL7" i="1" s="1"/>
  <c r="AZ7" i="1" s="1"/>
  <c r="BN7" i="1" s="1"/>
  <c r="BA7" i="1"/>
  <c r="BB7" i="1"/>
  <c r="BC7" i="1"/>
  <c r="BD7" i="1"/>
  <c r="BE7" i="1"/>
  <c r="BF7" i="1"/>
  <c r="BG7" i="1"/>
  <c r="BH7" i="1"/>
  <c r="BI7" i="1"/>
  <c r="BJ7" i="1"/>
  <c r="BK7" i="1"/>
  <c r="BL7" i="1"/>
  <c r="Q8" i="1"/>
  <c r="S8" i="1"/>
  <c r="X8" i="1"/>
  <c r="AL8" i="1" s="1"/>
  <c r="AZ8" i="1" s="1"/>
  <c r="BN8" i="1" s="1"/>
  <c r="AM8" i="1"/>
  <c r="AN8" i="1"/>
  <c r="AO8" i="1"/>
  <c r="AP8" i="1"/>
  <c r="AQ8" i="1"/>
  <c r="AR8" i="1"/>
  <c r="AS8" i="1"/>
  <c r="AT8" i="1"/>
  <c r="AU8" i="1"/>
  <c r="AV8" i="1"/>
  <c r="AW8" i="1"/>
  <c r="AX8" i="1"/>
  <c r="BA8" i="1"/>
  <c r="BB8" i="1"/>
  <c r="BC8" i="1"/>
  <c r="BD8" i="1"/>
  <c r="BE8" i="1"/>
  <c r="BF8" i="1"/>
  <c r="BG8" i="1"/>
  <c r="BH8" i="1"/>
  <c r="BI8" i="1"/>
  <c r="BJ8" i="1"/>
  <c r="BK8" i="1"/>
  <c r="BL8" i="1"/>
  <c r="Q9" i="1"/>
  <c r="AC9" i="1" s="1"/>
  <c r="S9" i="1"/>
  <c r="X9" i="1"/>
  <c r="AL9" i="1" s="1"/>
  <c r="AZ9" i="1" s="1"/>
  <c r="BN9" i="1" s="1"/>
  <c r="AM9" i="1"/>
  <c r="AN9" i="1"/>
  <c r="AO9" i="1"/>
  <c r="AP9" i="1"/>
  <c r="AQ9" i="1"/>
  <c r="AR9" i="1"/>
  <c r="AS9" i="1"/>
  <c r="AT9" i="1"/>
  <c r="AU9" i="1"/>
  <c r="AV9" i="1"/>
  <c r="AW9" i="1"/>
  <c r="AX9" i="1"/>
  <c r="BA9" i="1"/>
  <c r="BB9" i="1"/>
  <c r="BC9" i="1"/>
  <c r="BD9" i="1"/>
  <c r="BE9" i="1"/>
  <c r="BF9" i="1"/>
  <c r="BG9" i="1"/>
  <c r="BH9" i="1"/>
  <c r="BI9" i="1"/>
  <c r="BJ9" i="1"/>
  <c r="BK9" i="1"/>
  <c r="BL9" i="1"/>
  <c r="Q10" i="1"/>
  <c r="AC10" i="1" s="1"/>
  <c r="S10" i="1"/>
  <c r="P10" i="1" s="1"/>
  <c r="AA10" i="1" s="1"/>
  <c r="X10" i="1"/>
  <c r="AL10" i="1" s="1"/>
  <c r="AZ10" i="1" s="1"/>
  <c r="BN10" i="1" s="1"/>
  <c r="AM10" i="1"/>
  <c r="AN10" i="1"/>
  <c r="AO10" i="1"/>
  <c r="AP10" i="1"/>
  <c r="AQ10" i="1"/>
  <c r="AR10" i="1"/>
  <c r="AS10" i="1"/>
  <c r="AT10" i="1"/>
  <c r="AU10" i="1"/>
  <c r="AV10" i="1"/>
  <c r="AW10" i="1"/>
  <c r="AX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Q11" i="1"/>
  <c r="AC11" i="1" s="1"/>
  <c r="S11" i="1"/>
  <c r="X11" i="1"/>
  <c r="AL11" i="1" s="1"/>
  <c r="AZ11" i="1" s="1"/>
  <c r="BN11" i="1" s="1"/>
  <c r="AM11" i="1"/>
  <c r="AN11" i="1"/>
  <c r="AO11" i="1"/>
  <c r="AP11" i="1"/>
  <c r="AQ11" i="1"/>
  <c r="AR11" i="1"/>
  <c r="AS11" i="1"/>
  <c r="AT11" i="1"/>
  <c r="AU11" i="1"/>
  <c r="AV11" i="1"/>
  <c r="AW11" i="1"/>
  <c r="AX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Q12" i="1"/>
  <c r="AC12" i="1" s="1"/>
  <c r="S12" i="1"/>
  <c r="X12" i="1"/>
  <c r="AL12" i="1" s="1"/>
  <c r="AZ12" i="1" s="1"/>
  <c r="BN12" i="1" s="1"/>
  <c r="AM12" i="1"/>
  <c r="AN12" i="1"/>
  <c r="AO12" i="1"/>
  <c r="AP12" i="1"/>
  <c r="AQ12" i="1"/>
  <c r="AR12" i="1"/>
  <c r="AS12" i="1"/>
  <c r="AT12" i="1"/>
  <c r="AU12" i="1"/>
  <c r="AV12" i="1"/>
  <c r="AW12" i="1"/>
  <c r="AX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Q13" i="1"/>
  <c r="AC13" i="1" s="1"/>
  <c r="S13" i="1"/>
  <c r="X13" i="1"/>
  <c r="AL13" i="1" s="1"/>
  <c r="AZ13" i="1" s="1"/>
  <c r="BN13" i="1" s="1"/>
  <c r="AM13" i="1"/>
  <c r="AN13" i="1"/>
  <c r="AO13" i="1"/>
  <c r="AP13" i="1"/>
  <c r="AQ13" i="1"/>
  <c r="AR13" i="1"/>
  <c r="AS13" i="1"/>
  <c r="AT13" i="1"/>
  <c r="AU13" i="1"/>
  <c r="AV13" i="1"/>
  <c r="AW13" i="1"/>
  <c r="AX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Q14" i="1"/>
  <c r="AE14" i="1" s="1"/>
  <c r="S14" i="1"/>
  <c r="P14" i="1" s="1"/>
  <c r="AH13" i="1" s="1"/>
  <c r="X14" i="1"/>
  <c r="AL14" i="1" s="1"/>
  <c r="AZ14" i="1" s="1"/>
  <c r="BN14" i="1" s="1"/>
  <c r="AM14" i="1"/>
  <c r="AN14" i="1"/>
  <c r="AO14" i="1"/>
  <c r="AP14" i="1"/>
  <c r="AQ14" i="1"/>
  <c r="AR14" i="1"/>
  <c r="AS14" i="1"/>
  <c r="AT14" i="1"/>
  <c r="AU14" i="1"/>
  <c r="AV14" i="1"/>
  <c r="AW14" i="1"/>
  <c r="AX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Q15" i="1"/>
  <c r="AE15" i="1" s="1"/>
  <c r="S15" i="1"/>
  <c r="X15" i="1"/>
  <c r="AL15" i="1" s="1"/>
  <c r="AZ15" i="1" s="1"/>
  <c r="BN15" i="1" s="1"/>
  <c r="AM15" i="1"/>
  <c r="AN15" i="1"/>
  <c r="AO15" i="1"/>
  <c r="AP15" i="1"/>
  <c r="AQ15" i="1"/>
  <c r="AR15" i="1"/>
  <c r="AS15" i="1"/>
  <c r="AT15" i="1"/>
  <c r="AU15" i="1"/>
  <c r="AV15" i="1"/>
  <c r="AW15" i="1"/>
  <c r="AX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Q16" i="1"/>
  <c r="AD16" i="1" s="1"/>
  <c r="S16" i="1"/>
  <c r="X16" i="1"/>
  <c r="AL16" i="1" s="1"/>
  <c r="AZ16" i="1" s="1"/>
  <c r="BN16" i="1" s="1"/>
  <c r="AM16" i="1"/>
  <c r="AN16" i="1"/>
  <c r="AO16" i="1"/>
  <c r="AP16" i="1"/>
  <c r="AQ16" i="1"/>
  <c r="AR16" i="1"/>
  <c r="AS16" i="1"/>
  <c r="AT16" i="1"/>
  <c r="AU16" i="1"/>
  <c r="AV16" i="1"/>
  <c r="AW16" i="1"/>
  <c r="AX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Q17" i="1"/>
  <c r="AD17" i="1" s="1"/>
  <c r="S17" i="1"/>
  <c r="X17" i="1"/>
  <c r="AL17" i="1" s="1"/>
  <c r="AZ17" i="1" s="1"/>
  <c r="BN17" i="1" s="1"/>
  <c r="AM17" i="1"/>
  <c r="AN17" i="1"/>
  <c r="AO17" i="1"/>
  <c r="AP17" i="1"/>
  <c r="AQ17" i="1"/>
  <c r="AR17" i="1"/>
  <c r="AS17" i="1"/>
  <c r="AT17" i="1"/>
  <c r="AU17" i="1"/>
  <c r="AV17" i="1"/>
  <c r="AW17" i="1"/>
  <c r="AX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Q18" i="1"/>
  <c r="S18" i="1"/>
  <c r="X18" i="1"/>
  <c r="AL18" i="1" s="1"/>
  <c r="AZ18" i="1" s="1"/>
  <c r="BN18" i="1" s="1"/>
  <c r="AM18" i="1"/>
  <c r="AN18" i="1"/>
  <c r="AO18" i="1"/>
  <c r="AP18" i="1"/>
  <c r="AQ18" i="1"/>
  <c r="AR18" i="1"/>
  <c r="AS18" i="1"/>
  <c r="AT18" i="1"/>
  <c r="AU18" i="1"/>
  <c r="AV18" i="1"/>
  <c r="AW18" i="1"/>
  <c r="AX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O18" i="1"/>
  <c r="BP18" i="1"/>
  <c r="BQ18" i="1"/>
  <c r="BR18" i="1"/>
  <c r="BS18" i="1"/>
  <c r="BT18" i="1"/>
  <c r="BU18" i="1"/>
  <c r="BW18" i="1"/>
  <c r="BX18" i="1"/>
  <c r="BY18" i="1"/>
  <c r="BZ18" i="1"/>
  <c r="Q19" i="1"/>
  <c r="AF19" i="1" s="1"/>
  <c r="S19" i="1"/>
  <c r="X19" i="1"/>
  <c r="AL19" i="1" s="1"/>
  <c r="AZ19" i="1" s="1"/>
  <c r="BN19" i="1" s="1"/>
  <c r="AM19" i="1"/>
  <c r="AN19" i="1"/>
  <c r="AO19" i="1"/>
  <c r="AP19" i="1"/>
  <c r="AQ19" i="1"/>
  <c r="AR19" i="1"/>
  <c r="AS19" i="1"/>
  <c r="AT19" i="1"/>
  <c r="AU19" i="1"/>
  <c r="AV19" i="1"/>
  <c r="AW19" i="1"/>
  <c r="AX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Q20" i="1"/>
  <c r="AE20" i="1" s="1"/>
  <c r="S20" i="1"/>
  <c r="X20" i="1"/>
  <c r="AL20" i="1" s="1"/>
  <c r="AZ20" i="1" s="1"/>
  <c r="BN20" i="1" s="1"/>
  <c r="AM20" i="1"/>
  <c r="AN20" i="1"/>
  <c r="AO20" i="1"/>
  <c r="AP20" i="1"/>
  <c r="AQ20" i="1"/>
  <c r="AR20" i="1"/>
  <c r="AS20" i="1"/>
  <c r="AT20" i="1"/>
  <c r="AU20" i="1"/>
  <c r="AV20" i="1"/>
  <c r="AW20" i="1"/>
  <c r="AX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Q21" i="1"/>
  <c r="AF21" i="1" s="1"/>
  <c r="S21" i="1"/>
  <c r="X21" i="1"/>
  <c r="AL21" i="1" s="1"/>
  <c r="AZ21" i="1" s="1"/>
  <c r="BN21" i="1" s="1"/>
  <c r="AM21" i="1"/>
  <c r="AN21" i="1"/>
  <c r="AO21" i="1"/>
  <c r="AP21" i="1"/>
  <c r="AQ21" i="1"/>
  <c r="AR21" i="1"/>
  <c r="AS21" i="1"/>
  <c r="AT21" i="1"/>
  <c r="AU21" i="1"/>
  <c r="AV21" i="1"/>
  <c r="AW21" i="1"/>
  <c r="AX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Q22" i="1"/>
  <c r="AB22" i="1" s="1"/>
  <c r="S22" i="1"/>
  <c r="X22" i="1"/>
  <c r="AL22" i="1" s="1"/>
  <c r="AZ22" i="1" s="1"/>
  <c r="BN22" i="1" s="1"/>
  <c r="AM22" i="1"/>
  <c r="AN22" i="1"/>
  <c r="AO22" i="1"/>
  <c r="AP22" i="1"/>
  <c r="AQ22" i="1"/>
  <c r="AR22" i="1"/>
  <c r="AS22" i="1"/>
  <c r="AT22" i="1"/>
  <c r="AU22" i="1"/>
  <c r="AV22" i="1"/>
  <c r="AW22" i="1"/>
  <c r="AX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Q23" i="1"/>
  <c r="AB23" i="1" s="1"/>
  <c r="S23" i="1"/>
  <c r="X23" i="1"/>
  <c r="AL23" i="1" s="1"/>
  <c r="AZ23" i="1" s="1"/>
  <c r="BN23" i="1" s="1"/>
  <c r="AM23" i="1"/>
  <c r="AN23" i="1"/>
  <c r="AO23" i="1"/>
  <c r="AP23" i="1"/>
  <c r="AQ23" i="1"/>
  <c r="AR23" i="1"/>
  <c r="AS23" i="1"/>
  <c r="AT23" i="1"/>
  <c r="AU23" i="1"/>
  <c r="AV23" i="1"/>
  <c r="AW23" i="1"/>
  <c r="AX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Q24" i="1"/>
  <c r="AC24" i="1" s="1"/>
  <c r="S24" i="1"/>
  <c r="X24" i="1"/>
  <c r="AL24" i="1" s="1"/>
  <c r="AZ24" i="1" s="1"/>
  <c r="BN24" i="1" s="1"/>
  <c r="AM24" i="1"/>
  <c r="AN24" i="1"/>
  <c r="AO24" i="1"/>
  <c r="AP24" i="1"/>
  <c r="AQ24" i="1"/>
  <c r="AR24" i="1"/>
  <c r="AS24" i="1"/>
  <c r="AT24" i="1"/>
  <c r="AU24" i="1"/>
  <c r="AV24" i="1"/>
  <c r="AW24" i="1"/>
  <c r="AX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Q25" i="1"/>
  <c r="AE25" i="1" s="1"/>
  <c r="S25" i="1"/>
  <c r="X25" i="1"/>
  <c r="AL25" i="1" s="1"/>
  <c r="AZ25" i="1" s="1"/>
  <c r="BN25" i="1" s="1"/>
  <c r="AM25" i="1"/>
  <c r="AN25" i="1"/>
  <c r="AO25" i="1"/>
  <c r="AP25" i="1"/>
  <c r="AQ25" i="1"/>
  <c r="AR25" i="1"/>
  <c r="AS25" i="1"/>
  <c r="AT25" i="1"/>
  <c r="AU25" i="1"/>
  <c r="AV25" i="1"/>
  <c r="AW25" i="1"/>
  <c r="AX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Q26" i="1"/>
  <c r="S26" i="1"/>
  <c r="P26" i="1" s="1"/>
  <c r="AI25" i="1" s="1"/>
  <c r="X26" i="1"/>
  <c r="AL26" i="1" s="1"/>
  <c r="AZ26" i="1" s="1"/>
  <c r="BN26" i="1" s="1"/>
  <c r="AM26" i="1"/>
  <c r="AN26" i="1"/>
  <c r="AO26" i="1"/>
  <c r="AP26" i="1"/>
  <c r="AQ26" i="1"/>
  <c r="AR26" i="1"/>
  <c r="AS26" i="1"/>
  <c r="AT26" i="1"/>
  <c r="AU26" i="1"/>
  <c r="AV26" i="1"/>
  <c r="AW26" i="1"/>
  <c r="AX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Q27" i="1"/>
  <c r="AD27" i="1" s="1"/>
  <c r="S27" i="1"/>
  <c r="X27" i="1"/>
  <c r="AL27" i="1" s="1"/>
  <c r="AZ27" i="1" s="1"/>
  <c r="BN27" i="1" s="1"/>
  <c r="AM27" i="1"/>
  <c r="AN27" i="1"/>
  <c r="AO27" i="1"/>
  <c r="AP27" i="1"/>
  <c r="AQ27" i="1"/>
  <c r="AR27" i="1"/>
  <c r="AS27" i="1"/>
  <c r="AT27" i="1"/>
  <c r="AU27" i="1"/>
  <c r="AV27" i="1"/>
  <c r="AW27" i="1"/>
  <c r="AX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Q28" i="1"/>
  <c r="S28" i="1"/>
  <c r="X28" i="1"/>
  <c r="AL28" i="1" s="1"/>
  <c r="AZ28" i="1" s="1"/>
  <c r="BN28" i="1" s="1"/>
  <c r="AM28" i="1"/>
  <c r="AN28" i="1"/>
  <c r="AO28" i="1"/>
  <c r="AP28" i="1"/>
  <c r="AQ28" i="1"/>
  <c r="AR28" i="1"/>
  <c r="AS28" i="1"/>
  <c r="AT28" i="1"/>
  <c r="AU28" i="1"/>
  <c r="AV28" i="1"/>
  <c r="AW28" i="1"/>
  <c r="AX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Q29" i="1"/>
  <c r="AC29" i="1" s="1"/>
  <c r="S29" i="1"/>
  <c r="X29" i="1"/>
  <c r="AL29" i="1" s="1"/>
  <c r="AZ29" i="1" s="1"/>
  <c r="BN29" i="1" s="1"/>
  <c r="AM29" i="1"/>
  <c r="AN29" i="1"/>
  <c r="AO29" i="1"/>
  <c r="AP29" i="1"/>
  <c r="AQ29" i="1"/>
  <c r="AR29" i="1"/>
  <c r="AS29" i="1"/>
  <c r="AT29" i="1"/>
  <c r="AU29" i="1"/>
  <c r="AV29" i="1"/>
  <c r="AW29" i="1"/>
  <c r="AX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Q30" i="1"/>
  <c r="AG30" i="1" s="1"/>
  <c r="S30" i="1"/>
  <c r="X30" i="1"/>
  <c r="AL30" i="1" s="1"/>
  <c r="AZ30" i="1" s="1"/>
  <c r="BN30" i="1" s="1"/>
  <c r="AM30" i="1"/>
  <c r="AN30" i="1"/>
  <c r="AO30" i="1"/>
  <c r="AP30" i="1"/>
  <c r="AQ30" i="1"/>
  <c r="AR30" i="1"/>
  <c r="AS30" i="1"/>
  <c r="AT30" i="1"/>
  <c r="AU30" i="1"/>
  <c r="AV30" i="1"/>
  <c r="AW30" i="1"/>
  <c r="AX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Q31" i="1"/>
  <c r="AC31" i="1" s="1"/>
  <c r="S31" i="1"/>
  <c r="X31" i="1"/>
  <c r="AL31" i="1" s="1"/>
  <c r="AZ31" i="1" s="1"/>
  <c r="BN31" i="1" s="1"/>
  <c r="AM31" i="1"/>
  <c r="AN31" i="1"/>
  <c r="AO31" i="1"/>
  <c r="AP31" i="1"/>
  <c r="AQ31" i="1"/>
  <c r="AR31" i="1"/>
  <c r="AS31" i="1"/>
  <c r="AT31" i="1"/>
  <c r="AU31" i="1"/>
  <c r="AV31" i="1"/>
  <c r="AW31" i="1"/>
  <c r="AX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Q32" i="1"/>
  <c r="S32" i="1"/>
  <c r="X32" i="1"/>
  <c r="AL32" i="1" s="1"/>
  <c r="AZ32" i="1" s="1"/>
  <c r="BN32" i="1" s="1"/>
  <c r="AM32" i="1"/>
  <c r="AN32" i="1"/>
  <c r="AO32" i="1"/>
  <c r="AP32" i="1"/>
  <c r="AQ32" i="1"/>
  <c r="AR32" i="1"/>
  <c r="AS32" i="1"/>
  <c r="AT32" i="1"/>
  <c r="AU32" i="1"/>
  <c r="AV32" i="1"/>
  <c r="AW32" i="1"/>
  <c r="AX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Q33" i="1"/>
  <c r="AF33" i="1" s="1"/>
  <c r="S33" i="1"/>
  <c r="P33" i="1" s="1"/>
  <c r="AJ32" i="1" s="1"/>
  <c r="X33" i="1"/>
  <c r="AL33" i="1" s="1"/>
  <c r="AZ33" i="1" s="1"/>
  <c r="BN33" i="1" s="1"/>
  <c r="AM33" i="1"/>
  <c r="AN33" i="1"/>
  <c r="AO33" i="1"/>
  <c r="AP33" i="1"/>
  <c r="AQ33" i="1"/>
  <c r="AR33" i="1"/>
  <c r="AS33" i="1"/>
  <c r="AT33" i="1"/>
  <c r="AU33" i="1"/>
  <c r="AV33" i="1"/>
  <c r="AW33" i="1"/>
  <c r="AX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Q34" i="1"/>
  <c r="AG34" i="1" s="1"/>
  <c r="S34" i="1"/>
  <c r="X34" i="1"/>
  <c r="AL34" i="1" s="1"/>
  <c r="AZ34" i="1" s="1"/>
  <c r="BN34" i="1" s="1"/>
  <c r="AM34" i="1"/>
  <c r="AN34" i="1"/>
  <c r="AO34" i="1"/>
  <c r="AP34" i="1"/>
  <c r="AQ34" i="1"/>
  <c r="AR34" i="1"/>
  <c r="AS34" i="1"/>
  <c r="AT34" i="1"/>
  <c r="AU34" i="1"/>
  <c r="AV34" i="1"/>
  <c r="AW34" i="1"/>
  <c r="AX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Q35" i="1"/>
  <c r="AB35" i="1" s="1"/>
  <c r="S35" i="1"/>
  <c r="X35" i="1"/>
  <c r="AL35" i="1" s="1"/>
  <c r="AZ35" i="1" s="1"/>
  <c r="BN35" i="1" s="1"/>
  <c r="AM35" i="1"/>
  <c r="AN35" i="1"/>
  <c r="AO35" i="1"/>
  <c r="AP35" i="1"/>
  <c r="AQ35" i="1"/>
  <c r="AR35" i="1"/>
  <c r="AS35" i="1"/>
  <c r="AT35" i="1"/>
  <c r="AU35" i="1"/>
  <c r="AV35" i="1"/>
  <c r="AW35" i="1"/>
  <c r="AX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Q36" i="1"/>
  <c r="AF36" i="1" s="1"/>
  <c r="S36" i="1"/>
  <c r="X36" i="1"/>
  <c r="AL36" i="1" s="1"/>
  <c r="AZ36" i="1" s="1"/>
  <c r="BN36" i="1" s="1"/>
  <c r="AM36" i="1"/>
  <c r="AN36" i="1"/>
  <c r="AO36" i="1"/>
  <c r="AP36" i="1"/>
  <c r="AQ36" i="1"/>
  <c r="AR36" i="1"/>
  <c r="AS36" i="1"/>
  <c r="AT36" i="1"/>
  <c r="AU36" i="1"/>
  <c r="AV36" i="1"/>
  <c r="AW36" i="1"/>
  <c r="AX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Q37" i="1"/>
  <c r="AE37" i="1" s="1"/>
  <c r="S37" i="1"/>
  <c r="X37" i="1"/>
  <c r="AL37" i="1" s="1"/>
  <c r="AZ37" i="1" s="1"/>
  <c r="BN37" i="1" s="1"/>
  <c r="AM37" i="1"/>
  <c r="AN37" i="1"/>
  <c r="AO37" i="1"/>
  <c r="AP37" i="1"/>
  <c r="AQ37" i="1"/>
  <c r="AR37" i="1"/>
  <c r="AS37" i="1"/>
  <c r="AT37" i="1"/>
  <c r="AU37" i="1"/>
  <c r="AV37" i="1"/>
  <c r="AW37" i="1"/>
  <c r="AX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Q38" i="1"/>
  <c r="AF38" i="1" s="1"/>
  <c r="S38" i="1"/>
  <c r="X38" i="1"/>
  <c r="AL38" i="1" s="1"/>
  <c r="AZ38" i="1" s="1"/>
  <c r="BN38" i="1" s="1"/>
  <c r="AM38" i="1"/>
  <c r="AN38" i="1"/>
  <c r="AO38" i="1"/>
  <c r="AP38" i="1"/>
  <c r="AQ38" i="1"/>
  <c r="AR38" i="1"/>
  <c r="AS38" i="1"/>
  <c r="AT38" i="1"/>
  <c r="AU38" i="1"/>
  <c r="AV38" i="1"/>
  <c r="AW38" i="1"/>
  <c r="AX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Q39" i="1"/>
  <c r="AG39" i="1" s="1"/>
  <c r="S39" i="1"/>
  <c r="X39" i="1"/>
  <c r="AL39" i="1" s="1"/>
  <c r="AZ39" i="1" s="1"/>
  <c r="BN39" i="1" s="1"/>
  <c r="AM39" i="1"/>
  <c r="AN39" i="1"/>
  <c r="AO39" i="1"/>
  <c r="AP39" i="1"/>
  <c r="AQ39" i="1"/>
  <c r="AR39" i="1"/>
  <c r="AS39" i="1"/>
  <c r="AT39" i="1"/>
  <c r="AU39" i="1"/>
  <c r="AV39" i="1"/>
  <c r="AW39" i="1"/>
  <c r="AX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Q40" i="1"/>
  <c r="AG40" i="1" s="1"/>
  <c r="S40" i="1"/>
  <c r="X40" i="1"/>
  <c r="AL40" i="1" s="1"/>
  <c r="AZ40" i="1" s="1"/>
  <c r="BN40" i="1" s="1"/>
  <c r="BO40" i="1"/>
  <c r="BP40" i="1"/>
  <c r="BQ40" i="1"/>
  <c r="BR40" i="1"/>
  <c r="BS40" i="1"/>
  <c r="BT40" i="1"/>
  <c r="BU40" i="1"/>
  <c r="BV40" i="1"/>
  <c r="BW40" i="1"/>
  <c r="BX40" i="1"/>
  <c r="BY40" i="1"/>
  <c r="BZ40" i="1"/>
  <c r="Q41" i="1"/>
  <c r="AD41" i="1" s="1"/>
  <c r="S41" i="1"/>
  <c r="X41" i="1"/>
  <c r="AL41" i="1" s="1"/>
  <c r="AZ41" i="1" s="1"/>
  <c r="BN41" i="1" s="1"/>
  <c r="Q42" i="1"/>
  <c r="AC42" i="1" s="1"/>
  <c r="X42" i="1"/>
  <c r="AL42" i="1" s="1"/>
  <c r="AZ42" i="1" s="1"/>
  <c r="BN42" i="1" s="1"/>
  <c r="Q43" i="1"/>
  <c r="AG43" i="1" s="1"/>
  <c r="X43" i="1"/>
  <c r="AL43" i="1" s="1"/>
  <c r="AZ43" i="1" s="1"/>
  <c r="BN43" i="1" s="1"/>
  <c r="A44" i="1"/>
  <c r="Q44" i="1"/>
  <c r="AG44" i="1" s="1"/>
  <c r="AC45" i="1"/>
  <c r="X49" i="1"/>
  <c r="AL49" i="1" s="1"/>
  <c r="AZ49" i="1" s="1"/>
  <c r="BN49" i="1" s="1"/>
  <c r="O62" i="1"/>
  <c r="O63" i="1"/>
  <c r="O64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27" i="1"/>
  <c r="O127" i="1" s="1"/>
  <c r="A128" i="1"/>
  <c r="O128" i="1" s="1"/>
  <c r="A129" i="1"/>
  <c r="O129" i="1" s="1"/>
  <c r="A130" i="1"/>
  <c r="O130" i="1" s="1"/>
  <c r="A131" i="1"/>
  <c r="O131" i="1" s="1"/>
  <c r="A132" i="1"/>
  <c r="O132" i="1" s="1"/>
  <c r="A133" i="1"/>
  <c r="O133" i="1" s="1"/>
  <c r="A134" i="1"/>
  <c r="O134" i="1" s="1"/>
  <c r="A135" i="1"/>
  <c r="O135" i="1" s="1"/>
  <c r="A136" i="1"/>
  <c r="O136" i="1" s="1"/>
  <c r="A137" i="1"/>
  <c r="O137" i="1" s="1"/>
  <c r="A138" i="1"/>
  <c r="O138" i="1" s="1"/>
  <c r="A139" i="1"/>
  <c r="O139" i="1" s="1"/>
  <c r="A140" i="1"/>
  <c r="O140" i="1" s="1"/>
  <c r="A141" i="1"/>
  <c r="O141" i="1" s="1"/>
  <c r="A142" i="1"/>
  <c r="O142" i="1" s="1"/>
  <c r="A143" i="1"/>
  <c r="O143" i="1" s="1"/>
  <c r="A144" i="1"/>
  <c r="O144" i="1" s="1"/>
  <c r="A145" i="1"/>
  <c r="O145" i="1" s="1"/>
  <c r="A146" i="1"/>
  <c r="O146" i="1" s="1"/>
  <c r="A147" i="1"/>
  <c r="O147" i="1" s="1"/>
  <c r="A148" i="1"/>
  <c r="O148" i="1" s="1"/>
  <c r="A149" i="1"/>
  <c r="O149" i="1" s="1"/>
  <c r="A150" i="1"/>
  <c r="O150" i="1" s="1"/>
  <c r="A151" i="1"/>
  <c r="O151" i="1" s="1"/>
  <c r="A152" i="1"/>
  <c r="O152" i="1" s="1"/>
  <c r="A153" i="1"/>
  <c r="O153" i="1" s="1"/>
  <c r="A154" i="1"/>
  <c r="O154" i="1" s="1"/>
  <c r="A155" i="1"/>
  <c r="O155" i="1" s="1"/>
  <c r="A156" i="1"/>
  <c r="O156" i="1" s="1"/>
  <c r="A157" i="1"/>
  <c r="O157" i="1" s="1"/>
  <c r="A158" i="1"/>
  <c r="O158" i="1" s="1"/>
  <c r="A159" i="1"/>
  <c r="O159" i="1" s="1"/>
  <c r="A160" i="1"/>
  <c r="O160" i="1" s="1"/>
  <c r="A161" i="1"/>
  <c r="O161" i="1" s="1"/>
  <c r="A162" i="1"/>
  <c r="O162" i="1" s="1"/>
  <c r="A163" i="1"/>
  <c r="O163" i="1" s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G44" i="2"/>
  <c r="AF41" i="2"/>
  <c r="AJ41" i="2"/>
  <c r="AJ48" i="2"/>
  <c r="AH41" i="2"/>
  <c r="AD41" i="2"/>
  <c r="AG41" i="2"/>
  <c r="AC41" i="2"/>
  <c r="AI41" i="2"/>
  <c r="AH42" i="2"/>
  <c r="AC22" i="8"/>
  <c r="AG32" i="8"/>
  <c r="AH22" i="8"/>
  <c r="AF19" i="8"/>
  <c r="AG22" i="8"/>
  <c r="AE13" i="8"/>
  <c r="AD12" i="8"/>
  <c r="AC20" i="8"/>
  <c r="AE12" i="8"/>
  <c r="AE22" i="8"/>
  <c r="AH12" i="8"/>
  <c r="AC12" i="8"/>
  <c r="AF13" i="8"/>
  <c r="AC13" i="8"/>
  <c r="AD13" i="8"/>
  <c r="AF10" i="8"/>
  <c r="AG10" i="8"/>
  <c r="AC10" i="8"/>
  <c r="AF9" i="8"/>
  <c r="AC9" i="8"/>
  <c r="AG9" i="8"/>
  <c r="AC23" i="8"/>
  <c r="AG23" i="8"/>
  <c r="AD22" i="8"/>
  <c r="AE9" i="8"/>
  <c r="AC8" i="8"/>
  <c r="D333" i="2"/>
  <c r="D334" i="2"/>
  <c r="AD24" i="2"/>
  <c r="L333" i="2"/>
  <c r="L334" i="2"/>
  <c r="AD39" i="2"/>
  <c r="AH39" i="2"/>
  <c r="AC39" i="2"/>
  <c r="AI39" i="2"/>
  <c r="AE39" i="2"/>
  <c r="AJ39" i="2"/>
  <c r="AF39" i="2"/>
  <c r="H333" i="2"/>
  <c r="H334" i="2"/>
  <c r="M334" i="2"/>
  <c r="I334" i="2"/>
  <c r="E334" i="2"/>
  <c r="AI38" i="2"/>
  <c r="AD38" i="2"/>
  <c r="AI37" i="2"/>
  <c r="AD37" i="2"/>
  <c r="AH37" i="2"/>
  <c r="AC38" i="2"/>
  <c r="AG38" i="2"/>
  <c r="AF37" i="2"/>
  <c r="AJ37" i="2"/>
  <c r="AJ20" i="2"/>
  <c r="AH20" i="2"/>
  <c r="AF31" i="2"/>
  <c r="AF24" i="2"/>
  <c r="AF16" i="2"/>
  <c r="AD31" i="2"/>
  <c r="AG24" i="2"/>
  <c r="AJ12" i="2"/>
  <c r="AC48" i="2"/>
  <c r="AC49" i="2"/>
  <c r="AD49" i="2"/>
  <c r="AH49" i="2"/>
  <c r="AG49" i="2"/>
  <c r="AE49" i="2"/>
  <c r="AI49" i="2"/>
  <c r="AF49" i="2"/>
  <c r="K333" i="2"/>
  <c r="AD27" i="2"/>
  <c r="AI35" i="2"/>
  <c r="AJ27" i="2"/>
  <c r="AJ15" i="2"/>
  <c r="AF43" i="2"/>
  <c r="AH27" i="2"/>
  <c r="AD15" i="2"/>
  <c r="AD11" i="2"/>
  <c r="AH10" i="2"/>
  <c r="AI47" i="2"/>
  <c r="AE43" i="2"/>
  <c r="AC43" i="2"/>
  <c r="AD43" i="2"/>
  <c r="AH43" i="2"/>
  <c r="AI28" i="2"/>
  <c r="AI21" i="2"/>
  <c r="AD46" i="2"/>
  <c r="AF42" i="2"/>
  <c r="AJ42" i="2"/>
  <c r="AI42" i="2"/>
  <c r="AG42" i="2"/>
  <c r="AJ31" i="2"/>
  <c r="AI31" i="2"/>
  <c r="AC31" i="2"/>
  <c r="AH15" i="2"/>
  <c r="AI15" i="2"/>
  <c r="R47" i="2"/>
  <c r="AA47" i="2" s="1"/>
  <c r="AG10" i="2"/>
  <c r="AJ10" i="2"/>
  <c r="AE10" i="2"/>
  <c r="AD10" i="2"/>
  <c r="AG19" i="2"/>
  <c r="R34" i="2"/>
  <c r="AA34" i="2" s="1"/>
  <c r="AE45" i="2"/>
  <c r="AH45" i="2"/>
  <c r="AC45" i="2"/>
  <c r="AG45" i="2"/>
  <c r="AK46" i="2"/>
  <c r="AH33" i="2"/>
  <c r="AE21" i="2"/>
  <c r="AH19" i="2"/>
  <c r="AB36" i="1"/>
  <c r="AG36" i="1"/>
  <c r="AC36" i="1"/>
  <c r="AG20" i="1"/>
  <c r="AE24" i="1"/>
  <c r="AG24" i="1"/>
  <c r="AF32" i="1"/>
  <c r="AB32" i="1"/>
  <c r="AD20" i="1"/>
  <c r="AE32" i="1"/>
  <c r="AF28" i="1"/>
  <c r="A43" i="7"/>
  <c r="A201" i="7" s="1"/>
  <c r="A43" i="6"/>
  <c r="A44" i="2"/>
  <c r="Q28" i="4"/>
  <c r="S38" i="6"/>
  <c r="I38" i="7"/>
  <c r="I100" i="7" s="1"/>
  <c r="I196" i="7" s="1"/>
  <c r="K31" i="7"/>
  <c r="K93" i="7" s="1"/>
  <c r="D132" i="9"/>
  <c r="C31" i="7"/>
  <c r="C93" i="7" s="1"/>
  <c r="I166" i="9"/>
  <c r="K28" i="7"/>
  <c r="K90" i="7" s="1"/>
  <c r="AJ40" i="2"/>
  <c r="AF40" i="2"/>
  <c r="X34" i="6"/>
  <c r="Q39" i="6"/>
  <c r="C39" i="7"/>
  <c r="C101" i="7" s="1"/>
  <c r="I186" i="9"/>
  <c r="J31" i="7"/>
  <c r="J93" i="7" s="1"/>
  <c r="I182" i="9"/>
  <c r="F31" i="7"/>
  <c r="F93" i="7" s="1"/>
  <c r="D131" i="9"/>
  <c r="B31" i="7"/>
  <c r="B93" i="7" s="1"/>
  <c r="G31" i="7"/>
  <c r="G93" i="7" s="1"/>
  <c r="AI40" i="2"/>
  <c r="AE40" i="2"/>
  <c r="AJ38" i="2"/>
  <c r="D145" i="9"/>
  <c r="M33" i="7"/>
  <c r="M95" i="7" s="1"/>
  <c r="D135" i="9"/>
  <c r="M31" i="7"/>
  <c r="M93" i="7" s="1"/>
  <c r="S31" i="6"/>
  <c r="I185" i="9"/>
  <c r="I31" i="7"/>
  <c r="I93" i="7" s="1"/>
  <c r="L31" i="7"/>
  <c r="L93" i="7" s="1"/>
  <c r="AH40" i="2"/>
  <c r="AF38" i="2"/>
  <c r="S39" i="6"/>
  <c r="I39" i="7"/>
  <c r="I101" i="7" s="1"/>
  <c r="I197" i="7" s="1"/>
  <c r="S37" i="6"/>
  <c r="G37" i="7"/>
  <c r="D129" i="9"/>
  <c r="L30" i="7"/>
  <c r="H87" i="9"/>
  <c r="AG12" i="8"/>
  <c r="AE10" i="8"/>
  <c r="AF48" i="2"/>
  <c r="AK49" i="2"/>
  <c r="AD19" i="1"/>
  <c r="A98" i="7"/>
  <c r="AH18" i="2"/>
  <c r="AE33" i="2"/>
  <c r="AG33" i="2"/>
  <c r="AJ21" i="2"/>
  <c r="AH21" i="2"/>
  <c r="AC21" i="2"/>
  <c r="AG21" i="2"/>
  <c r="AF33" i="2"/>
  <c r="AJ30" i="2"/>
  <c r="AE30" i="2"/>
  <c r="AC30" i="2"/>
  <c r="AD30" i="2"/>
  <c r="AH22" i="2"/>
  <c r="AD22" i="2"/>
  <c r="AH14" i="2"/>
  <c r="AH9" i="2"/>
  <c r="AJ9" i="2"/>
  <c r="AC22" i="2"/>
  <c r="AI25" i="2"/>
  <c r="AG17" i="2"/>
  <c r="AI13" i="2"/>
  <c r="AJ13" i="2"/>
  <c r="AE13" i="2"/>
  <c r="AD13" i="2"/>
  <c r="AG8" i="2"/>
  <c r="AD21" i="2"/>
  <c r="AC13" i="2"/>
  <c r="AG22" i="2"/>
  <c r="AG47" i="2"/>
  <c r="AF47" i="2"/>
  <c r="AD47" i="2"/>
  <c r="AD42" i="2"/>
  <c r="AC42" i="2"/>
  <c r="AE42" i="2"/>
  <c r="AE48" i="2"/>
  <c r="AH48" i="2"/>
  <c r="AG48" i="2"/>
  <c r="R44" i="2"/>
  <c r="AB44" i="2" s="1"/>
  <c r="AG43" i="2"/>
  <c r="AJ43" i="2"/>
  <c r="AI43" i="2"/>
  <c r="R29" i="2"/>
  <c r="AB29" i="2" s="1"/>
  <c r="AG27" i="2"/>
  <c r="AI27" i="2"/>
  <c r="AF15" i="2"/>
  <c r="AE15" i="2"/>
  <c r="R14" i="2"/>
  <c r="AK14" i="2" s="1"/>
  <c r="AI16" i="2"/>
  <c r="AJ16" i="2"/>
  <c r="AC16" i="2"/>
  <c r="AG16" i="2"/>
  <c r="AD16" i="2"/>
  <c r="AE16" i="2"/>
  <c r="AH16" i="2"/>
  <c r="AB14" i="2"/>
  <c r="AF34" i="2"/>
  <c r="AD34" i="2"/>
  <c r="AE34" i="2"/>
  <c r="AJ34" i="2"/>
  <c r="AC34" i="2"/>
  <c r="AI34" i="2"/>
  <c r="AG34" i="2"/>
  <c r="AI26" i="2"/>
  <c r="AJ26" i="2"/>
  <c r="AH26" i="2"/>
  <c r="AD26" i="2"/>
  <c r="AF26" i="2"/>
  <c r="AE26" i="2"/>
  <c r="AG18" i="2"/>
  <c r="AE18" i="2"/>
  <c r="AI18" i="2"/>
  <c r="AJ18" i="2"/>
  <c r="AE28" i="2"/>
  <c r="AF28" i="2"/>
  <c r="AC9" i="2"/>
  <c r="AG9" i="2"/>
  <c r="AF9" i="2"/>
  <c r="AI9" i="2"/>
  <c r="AE9" i="2"/>
  <c r="AI46" i="2"/>
  <c r="AE46" i="2"/>
  <c r="AH46" i="2"/>
  <c r="AF46" i="2"/>
  <c r="AF45" i="2"/>
  <c r="AD45" i="2"/>
  <c r="AH13" i="2"/>
  <c r="AG13" i="2"/>
  <c r="R12" i="2"/>
  <c r="AB12" i="2" s="1"/>
  <c r="AJ8" i="2"/>
  <c r="AD32" i="2"/>
  <c r="AI24" i="2"/>
  <c r="AE24" i="2"/>
  <c r="AH24" i="2"/>
  <c r="AI20" i="2"/>
  <c r="AI12" i="2"/>
  <c r="AI48" i="2"/>
  <c r="AD48" i="2"/>
  <c r="AL46" i="2"/>
  <c r="A230" i="1"/>
  <c r="AE38" i="2"/>
  <c r="AH23" i="8"/>
  <c r="AE15" i="8"/>
  <c r="AF23" i="8"/>
  <c r="AK29" i="2"/>
  <c r="AL43" i="2"/>
  <c r="AC18" i="8" l="1"/>
  <c r="AF18" i="8"/>
  <c r="W253" i="2"/>
  <c r="S252" i="2"/>
  <c r="D259" i="2" s="1"/>
  <c r="AE40" i="1"/>
  <c r="AD36" i="1"/>
  <c r="P22" i="1"/>
  <c r="A126" i="8"/>
  <c r="AF39" i="1"/>
  <c r="A50" i="15"/>
  <c r="A49" i="8"/>
  <c r="A49" i="7"/>
  <c r="A49" i="6"/>
  <c r="A43" i="8"/>
  <c r="A44" i="15"/>
  <c r="Q64" i="1"/>
  <c r="Q62" i="1"/>
  <c r="Q63" i="1"/>
  <c r="Q326" i="2"/>
  <c r="V252" i="2"/>
  <c r="W251" i="2"/>
  <c r="S330" i="2"/>
  <c r="T252" i="2"/>
  <c r="T258" i="2" s="1"/>
  <c r="T251" i="2"/>
  <c r="V330" i="2"/>
  <c r="Q252" i="2"/>
  <c r="V255" i="2"/>
  <c r="S255" i="2"/>
  <c r="W326" i="2"/>
  <c r="V251" i="2"/>
  <c r="Q253" i="2"/>
  <c r="C12" i="14" s="1"/>
  <c r="Q330" i="2"/>
  <c r="T326" i="2"/>
  <c r="S251" i="2"/>
  <c r="W255" i="2"/>
  <c r="Q255" i="2"/>
  <c r="S253" i="2"/>
  <c r="C4" i="14" s="1"/>
  <c r="T253" i="2"/>
  <c r="F4" i="14" s="1"/>
  <c r="W330" i="2"/>
  <c r="Q251" i="2"/>
  <c r="T255" i="2"/>
  <c r="V326" i="2"/>
  <c r="T330" i="2"/>
  <c r="AH14" i="8"/>
  <c r="AF11" i="8"/>
  <c r="AE14" i="8"/>
  <c r="K177" i="7"/>
  <c r="BV18" i="1"/>
  <c r="BV64" i="1" s="1"/>
  <c r="AU17" i="8"/>
  <c r="I93" i="11"/>
  <c r="AC14" i="8"/>
  <c r="K188" i="7"/>
  <c r="L28" i="7"/>
  <c r="L90" i="7" s="1"/>
  <c r="L186" i="7" s="1"/>
  <c r="B37" i="7"/>
  <c r="B99" i="7" s="1"/>
  <c r="B195" i="7" s="1"/>
  <c r="D31" i="7"/>
  <c r="D93" i="7" s="1"/>
  <c r="D189" i="7" s="1"/>
  <c r="D133" i="9"/>
  <c r="Q31" i="6"/>
  <c r="H31" i="7"/>
  <c r="H93" i="7" s="1"/>
  <c r="H189" i="7" s="1"/>
  <c r="J181" i="7"/>
  <c r="D193" i="7"/>
  <c r="AE36" i="1"/>
  <c r="AD40" i="1"/>
  <c r="A42" i="13"/>
  <c r="P42" i="13" s="1"/>
  <c r="A309" i="2"/>
  <c r="A381" i="2"/>
  <c r="A442" i="2"/>
  <c r="A233" i="2"/>
  <c r="A157" i="2"/>
  <c r="O157" i="2" s="1"/>
  <c r="A440" i="2"/>
  <c r="A231" i="2"/>
  <c r="A379" i="2"/>
  <c r="A307" i="2"/>
  <c r="A49" i="5"/>
  <c r="A48" i="13"/>
  <c r="P48" i="13" s="1"/>
  <c r="A380" i="2"/>
  <c r="A232" i="2"/>
  <c r="A441" i="2"/>
  <c r="A308" i="2"/>
  <c r="A310" i="2"/>
  <c r="A382" i="2"/>
  <c r="A443" i="2"/>
  <c r="A234" i="2"/>
  <c r="AC22" i="1"/>
  <c r="AG35" i="1"/>
  <c r="AD10" i="1"/>
  <c r="AG10" i="1"/>
  <c r="Z40" i="2"/>
  <c r="AN40" i="2" s="1"/>
  <c r="A439" i="2"/>
  <c r="A230" i="2"/>
  <c r="A378" i="2"/>
  <c r="A306" i="2"/>
  <c r="Z36" i="2"/>
  <c r="AN36" i="2" s="1"/>
  <c r="A302" i="2"/>
  <c r="AC34" i="1"/>
  <c r="A228" i="2"/>
  <c r="A304" i="2"/>
  <c r="A225" i="2"/>
  <c r="A301" i="2"/>
  <c r="AG14" i="1"/>
  <c r="A229" i="2"/>
  <c r="A305" i="2"/>
  <c r="A377" i="2"/>
  <c r="A104" i="8"/>
  <c r="A159" i="8"/>
  <c r="P30" i="1"/>
  <c r="Y30" i="1" s="1"/>
  <c r="P18" i="1"/>
  <c r="AA18" i="1" s="1"/>
  <c r="A165" i="2"/>
  <c r="O165" i="2" s="1"/>
  <c r="A448" i="2"/>
  <c r="A239" i="2"/>
  <c r="A108" i="2"/>
  <c r="A315" i="2"/>
  <c r="A387" i="2"/>
  <c r="L177" i="7"/>
  <c r="AH21" i="8"/>
  <c r="Q26" i="8"/>
  <c r="AI25" i="8" s="1"/>
  <c r="AR60" i="8"/>
  <c r="AC21" i="8"/>
  <c r="AE30" i="8"/>
  <c r="AG21" i="8"/>
  <c r="AD21" i="8"/>
  <c r="Q8" i="8"/>
  <c r="Z8" i="8" s="1"/>
  <c r="X50" i="1"/>
  <c r="AL50" i="1" s="1"/>
  <c r="AZ50" i="1" s="1"/>
  <c r="BN50" i="1" s="1"/>
  <c r="A51" i="1"/>
  <c r="A164" i="1"/>
  <c r="O164" i="1" s="1"/>
  <c r="A43" i="5"/>
  <c r="A109" i="1"/>
  <c r="A45" i="1"/>
  <c r="A198" i="7"/>
  <c r="AA51" i="1"/>
  <c r="AD25" i="1"/>
  <c r="AC41" i="1"/>
  <c r="AG41" i="1"/>
  <c r="A136" i="10"/>
  <c r="AE13" i="1"/>
  <c r="X44" i="1"/>
  <c r="AL44" i="1" s="1"/>
  <c r="AZ44" i="1" s="1"/>
  <c r="BN44" i="1" s="1"/>
  <c r="AH28" i="8"/>
  <c r="Q7" i="8"/>
  <c r="AK6" i="8" s="1"/>
  <c r="AK60" i="8" s="1"/>
  <c r="Q12" i="8"/>
  <c r="AI11" i="8" s="1"/>
  <c r="Q18" i="8"/>
  <c r="AA18" i="8" s="1"/>
  <c r="Q6" i="8"/>
  <c r="AA6" i="8" s="1"/>
  <c r="AH7" i="8"/>
  <c r="AD23" i="8"/>
  <c r="Q19" i="8"/>
  <c r="Z19" i="8" s="1"/>
  <c r="AD10" i="8"/>
  <c r="Q30" i="8"/>
  <c r="AJ29" i="8" s="1"/>
  <c r="Q27" i="8"/>
  <c r="AB27" i="8" s="1"/>
  <c r="Q24" i="8"/>
  <c r="AA24" i="8" s="1"/>
  <c r="AV59" i="8"/>
  <c r="Q21" i="8"/>
  <c r="AI20" i="8" s="1"/>
  <c r="Q14" i="8"/>
  <c r="Z14" i="8" s="1"/>
  <c r="F181" i="7"/>
  <c r="C13" i="14"/>
  <c r="B193" i="7"/>
  <c r="C177" i="7"/>
  <c r="M181" i="7"/>
  <c r="F13" i="14"/>
  <c r="AD33" i="1"/>
  <c r="Z10" i="1"/>
  <c r="AE34" i="1"/>
  <c r="AJ25" i="1"/>
  <c r="A187" i="7"/>
  <c r="AB33" i="1"/>
  <c r="AH9" i="1"/>
  <c r="AE35" i="1"/>
  <c r="AH25" i="1"/>
  <c r="AF34" i="1"/>
  <c r="AB34" i="1"/>
  <c r="P8" i="1"/>
  <c r="Y8" i="1" s="1"/>
  <c r="Y45" i="1"/>
  <c r="AD34" i="1"/>
  <c r="AA14" i="1"/>
  <c r="AI9" i="1"/>
  <c r="A120" i="8"/>
  <c r="AF35" i="1"/>
  <c r="AD35" i="1"/>
  <c r="A99" i="7"/>
  <c r="Z14" i="1"/>
  <c r="P42" i="1"/>
  <c r="Y42" i="1" s="1"/>
  <c r="P38" i="1"/>
  <c r="Z38" i="1" s="1"/>
  <c r="P34" i="1"/>
  <c r="AH33" i="1" s="1"/>
  <c r="T181" i="2"/>
  <c r="AA184" i="2"/>
  <c r="AA185" i="2"/>
  <c r="W184" i="2"/>
  <c r="W185" i="2"/>
  <c r="S184" i="2"/>
  <c r="S185" i="2"/>
  <c r="AA180" i="2"/>
  <c r="AA181" i="2"/>
  <c r="W180" i="2"/>
  <c r="W181" i="2"/>
  <c r="S180" i="2"/>
  <c r="S181" i="2"/>
  <c r="Z184" i="2"/>
  <c r="Z185" i="2"/>
  <c r="V184" i="2"/>
  <c r="V185" i="2"/>
  <c r="R184" i="2"/>
  <c r="R185" i="2"/>
  <c r="Z180" i="2"/>
  <c r="Z181" i="2"/>
  <c r="V181" i="2"/>
  <c r="V182" i="2" s="1"/>
  <c r="V183" i="2" s="1"/>
  <c r="R181" i="2"/>
  <c r="Y185" i="2"/>
  <c r="Y184" i="2"/>
  <c r="U185" i="2"/>
  <c r="U184" i="2"/>
  <c r="Q185" i="2"/>
  <c r="Q184" i="2"/>
  <c r="X181" i="2"/>
  <c r="X180" i="2"/>
  <c r="Y181" i="2"/>
  <c r="Y180" i="2"/>
  <c r="U181" i="2"/>
  <c r="U180" i="2"/>
  <c r="Q181" i="2"/>
  <c r="X185" i="2"/>
  <c r="X184" i="2"/>
  <c r="T185" i="2"/>
  <c r="T184" i="2"/>
  <c r="K192" i="7"/>
  <c r="A218" i="2"/>
  <c r="L398" i="2"/>
  <c r="U396" i="2"/>
  <c r="D396" i="2"/>
  <c r="L396" i="2"/>
  <c r="AG20" i="8"/>
  <c r="AG11" i="8"/>
  <c r="AG19" i="1"/>
  <c r="AE19" i="1"/>
  <c r="Z51" i="1"/>
  <c r="AJ50" i="1"/>
  <c r="AI50" i="1"/>
  <c r="M28" i="7"/>
  <c r="M90" i="7" s="1"/>
  <c r="M186" i="7" s="1"/>
  <c r="AG15" i="1"/>
  <c r="A71" i="10"/>
  <c r="AE19" i="8"/>
  <c r="AG29" i="8"/>
  <c r="AD48" i="1"/>
  <c r="AF48" i="1"/>
  <c r="AC48" i="1"/>
  <c r="AE48" i="1"/>
  <c r="AB48" i="1"/>
  <c r="AG48" i="1"/>
  <c r="AD46" i="1"/>
  <c r="AG46" i="1"/>
  <c r="AE46" i="1"/>
  <c r="AF46" i="1"/>
  <c r="AC46" i="1"/>
  <c r="AB46" i="1"/>
  <c r="P41" i="1"/>
  <c r="AJ40" i="1" s="1"/>
  <c r="P29" i="1"/>
  <c r="AH28" i="1" s="1"/>
  <c r="P25" i="1"/>
  <c r="AI24" i="1" s="1"/>
  <c r="P21" i="1"/>
  <c r="P17" i="1"/>
  <c r="AJ16" i="1" s="1"/>
  <c r="P13" i="1"/>
  <c r="AH12" i="1" s="1"/>
  <c r="P9" i="1"/>
  <c r="Z9" i="1" s="1"/>
  <c r="B397" i="2"/>
  <c r="B402" i="2" s="1"/>
  <c r="C396" i="2"/>
  <c r="Q11" i="8"/>
  <c r="AI10" i="8" s="1"/>
  <c r="Q9" i="8"/>
  <c r="AB9" i="8" s="1"/>
  <c r="E109" i="11"/>
  <c r="I103" i="11"/>
  <c r="I113" i="11" s="1"/>
  <c r="J102" i="11"/>
  <c r="L100" i="11"/>
  <c r="L113" i="11" s="1"/>
  <c r="D99" i="11"/>
  <c r="D113" i="11" s="1"/>
  <c r="E98" i="11"/>
  <c r="F97" i="11"/>
  <c r="B92" i="11"/>
  <c r="J91" i="11"/>
  <c r="H71" i="11"/>
  <c r="H56" i="11"/>
  <c r="H74" i="11" s="1"/>
  <c r="L55" i="11"/>
  <c r="L73" i="11" s="1"/>
  <c r="C398" i="2"/>
  <c r="AD52" i="1"/>
  <c r="AF52" i="1"/>
  <c r="AC52" i="1"/>
  <c r="AE52" i="1"/>
  <c r="AB52" i="1"/>
  <c r="AG52" i="1"/>
  <c r="M398" i="2"/>
  <c r="T382" i="2"/>
  <c r="T398" i="2" s="1"/>
  <c r="D398" i="2"/>
  <c r="AD51" i="1"/>
  <c r="AF51" i="1"/>
  <c r="AG51" i="1"/>
  <c r="AE51" i="1"/>
  <c r="AB51" i="1"/>
  <c r="AC51" i="1"/>
  <c r="A298" i="2"/>
  <c r="AB15" i="1"/>
  <c r="B34" i="7"/>
  <c r="B96" i="7" s="1"/>
  <c r="B192" i="7" s="1"/>
  <c r="AG19" i="8"/>
  <c r="AG27" i="8"/>
  <c r="AH20" i="8"/>
  <c r="AH24" i="8"/>
  <c r="AC25" i="8"/>
  <c r="P37" i="1"/>
  <c r="AI36" i="1" s="1"/>
  <c r="M397" i="2"/>
  <c r="M402" i="2" s="1"/>
  <c r="B396" i="2"/>
  <c r="M336" i="2"/>
  <c r="M261" i="2" s="1"/>
  <c r="AS34" i="8"/>
  <c r="AO59" i="8"/>
  <c r="B109" i="10"/>
  <c r="J108" i="11"/>
  <c r="B103" i="11"/>
  <c r="J97" i="11"/>
  <c r="F92" i="11"/>
  <c r="C54" i="11"/>
  <c r="F71" i="11"/>
  <c r="C48" i="11"/>
  <c r="B398" i="2"/>
  <c r="AD49" i="1"/>
  <c r="AF49" i="1"/>
  <c r="AG49" i="1"/>
  <c r="AE49" i="1"/>
  <c r="AB49" i="1"/>
  <c r="AC49" i="1"/>
  <c r="AH52" i="1"/>
  <c r="Z53" i="1"/>
  <c r="AJ52" i="1"/>
  <c r="Y53" i="1"/>
  <c r="AI52" i="1"/>
  <c r="AA53" i="1"/>
  <c r="C397" i="2"/>
  <c r="C402" i="2" s="1"/>
  <c r="A370" i="2"/>
  <c r="AD38" i="1"/>
  <c r="E31" i="7"/>
  <c r="AC43" i="1"/>
  <c r="AC19" i="8"/>
  <c r="AF20" i="8"/>
  <c r="AE20" i="8"/>
  <c r="AF25" i="8"/>
  <c r="AD47" i="1"/>
  <c r="AF47" i="1"/>
  <c r="AG47" i="1"/>
  <c r="AE47" i="1"/>
  <c r="AB47" i="1"/>
  <c r="AC47" i="1"/>
  <c r="AI32" i="1"/>
  <c r="U397" i="2"/>
  <c r="U402" i="2" s="1"/>
  <c r="Q372" i="2"/>
  <c r="Q396" i="2" s="1"/>
  <c r="L397" i="2"/>
  <c r="D397" i="2"/>
  <c r="D402" i="2" s="1"/>
  <c r="M396" i="2"/>
  <c r="Q23" i="8"/>
  <c r="AA23" i="8" s="1"/>
  <c r="AD11" i="8"/>
  <c r="Q10" i="8"/>
  <c r="AA10" i="8" s="1"/>
  <c r="AD9" i="8"/>
  <c r="B108" i="11"/>
  <c r="M104" i="11"/>
  <c r="F103" i="11"/>
  <c r="F113" i="11" s="1"/>
  <c r="I98" i="11"/>
  <c r="B98" i="11"/>
  <c r="J92" i="11"/>
  <c r="C103" i="11"/>
  <c r="C92" i="11"/>
  <c r="AD50" i="1"/>
  <c r="AG50" i="1"/>
  <c r="AE50" i="1"/>
  <c r="AF50" i="1"/>
  <c r="AC50" i="1"/>
  <c r="AB50" i="1"/>
  <c r="AD16" i="8"/>
  <c r="AF16" i="8"/>
  <c r="AC16" i="8"/>
  <c r="Z6" i="8"/>
  <c r="F172" i="10"/>
  <c r="Q32" i="8"/>
  <c r="AI31" i="8" s="1"/>
  <c r="Q31" i="8"/>
  <c r="AB6" i="8"/>
  <c r="AG16" i="8"/>
  <c r="AA8" i="8"/>
  <c r="AK7" i="8"/>
  <c r="AI7" i="8"/>
  <c r="AJ7" i="8"/>
  <c r="AC31" i="8"/>
  <c r="AD31" i="8"/>
  <c r="AE31" i="8"/>
  <c r="AH31" i="8"/>
  <c r="AG31" i="8"/>
  <c r="AH30" i="8"/>
  <c r="AC30" i="8"/>
  <c r="AG30" i="8"/>
  <c r="AF29" i="8"/>
  <c r="AH29" i="8"/>
  <c r="AC28" i="8"/>
  <c r="AD28" i="8"/>
  <c r="AE28" i="8"/>
  <c r="AE27" i="8"/>
  <c r="AH27" i="8"/>
  <c r="AD27" i="8"/>
  <c r="AF27" i="8"/>
  <c r="AE26" i="8"/>
  <c r="AG26" i="8"/>
  <c r="AE25" i="8"/>
  <c r="AG25" i="8"/>
  <c r="AD25" i="8"/>
  <c r="AD24" i="8"/>
  <c r="AG24" i="8"/>
  <c r="AC24" i="8"/>
  <c r="AF24" i="8"/>
  <c r="AD8" i="8"/>
  <c r="AG8" i="8"/>
  <c r="AH8" i="8"/>
  <c r="AE8" i="8"/>
  <c r="AA9" i="8"/>
  <c r="AV60" i="8"/>
  <c r="AR34" i="8"/>
  <c r="Q22" i="8"/>
  <c r="AK21" i="8" s="1"/>
  <c r="AX60" i="8"/>
  <c r="AT60" i="8"/>
  <c r="AO60" i="8"/>
  <c r="AE18" i="8"/>
  <c r="AN34" i="8"/>
  <c r="AP60" i="8"/>
  <c r="AQ59" i="8"/>
  <c r="AW60" i="8"/>
  <c r="AS60" i="8"/>
  <c r="AC11" i="8"/>
  <c r="AG18" i="8"/>
  <c r="AD18" i="8"/>
  <c r="AE6" i="8"/>
  <c r="AE34" i="8" s="1"/>
  <c r="AG15" i="8"/>
  <c r="AH15" i="8"/>
  <c r="AH11" i="8"/>
  <c r="AC34" i="8"/>
  <c r="AG14" i="8"/>
  <c r="AG6" i="8"/>
  <c r="AH13" i="8"/>
  <c r="A96" i="8"/>
  <c r="Q29" i="8"/>
  <c r="AJ28" i="8" s="1"/>
  <c r="Q20" i="8"/>
  <c r="AH19" i="8"/>
  <c r="Q17" i="8"/>
  <c r="AC15" i="8"/>
  <c r="F194" i="7"/>
  <c r="K178" i="7"/>
  <c r="C185" i="7"/>
  <c r="L189" i="7"/>
  <c r="K186" i="7"/>
  <c r="K189" i="7"/>
  <c r="A421" i="2"/>
  <c r="AK17" i="2"/>
  <c r="M179" i="7"/>
  <c r="E179" i="7"/>
  <c r="AL19" i="2"/>
  <c r="A374" i="2"/>
  <c r="A222" i="2"/>
  <c r="G171" i="7"/>
  <c r="AA37" i="2"/>
  <c r="K195" i="7"/>
  <c r="J190" i="7"/>
  <c r="F190" i="7"/>
  <c r="J186" i="7"/>
  <c r="F186" i="7"/>
  <c r="J178" i="7"/>
  <c r="F178" i="7"/>
  <c r="B178" i="7"/>
  <c r="J174" i="7"/>
  <c r="C176" i="7"/>
  <c r="I184" i="7"/>
  <c r="E184" i="7"/>
  <c r="E175" i="7"/>
  <c r="M172" i="7"/>
  <c r="I172" i="7"/>
  <c r="E172" i="7"/>
  <c r="I171" i="7"/>
  <c r="S20" i="7"/>
  <c r="AS62" i="2"/>
  <c r="AX61" i="2"/>
  <c r="AX60" i="2"/>
  <c r="T41" i="7"/>
  <c r="C193" i="7"/>
  <c r="AB47" i="2"/>
  <c r="AZ62" i="2"/>
  <c r="AV62" i="2"/>
  <c r="AR62" i="2"/>
  <c r="AW61" i="2"/>
  <c r="AW60" i="2"/>
  <c r="AS61" i="2"/>
  <c r="AS60" i="2"/>
  <c r="AO61" i="2"/>
  <c r="AO60" i="2"/>
  <c r="A198" i="2"/>
  <c r="AY62" i="2"/>
  <c r="AU62" i="2"/>
  <c r="AQ62" i="2"/>
  <c r="AZ61" i="2"/>
  <c r="AZ60" i="2"/>
  <c r="AV61" i="2"/>
  <c r="AV60" i="2"/>
  <c r="AR61" i="2"/>
  <c r="AR60" i="2"/>
  <c r="L187" i="7"/>
  <c r="D180" i="7"/>
  <c r="H176" i="7"/>
  <c r="D176" i="7"/>
  <c r="AW62" i="2"/>
  <c r="AO62" i="2"/>
  <c r="AT61" i="2"/>
  <c r="AT60" i="2"/>
  <c r="AP61" i="2"/>
  <c r="AP60" i="2"/>
  <c r="AL13" i="2"/>
  <c r="AX62" i="2"/>
  <c r="AT62" i="2"/>
  <c r="AP62" i="2"/>
  <c r="AY61" i="2"/>
  <c r="AY60" i="2"/>
  <c r="AU61" i="2"/>
  <c r="AU60" i="2"/>
  <c r="AQ61" i="2"/>
  <c r="AQ60" i="2"/>
  <c r="S41" i="7"/>
  <c r="AF16" i="1"/>
  <c r="P19" i="1"/>
  <c r="AJ18" i="1" s="1"/>
  <c r="AB10" i="1"/>
  <c r="AC38" i="1"/>
  <c r="AF10" i="1"/>
  <c r="Y14" i="1"/>
  <c r="AD22" i="1"/>
  <c r="AB21" i="1"/>
  <c r="AG21" i="1"/>
  <c r="AH32" i="1"/>
  <c r="AB44" i="1"/>
  <c r="AC19" i="1"/>
  <c r="AP63" i="1"/>
  <c r="AE21" i="1"/>
  <c r="AE22" i="1"/>
  <c r="F175" i="7"/>
  <c r="P43" i="1"/>
  <c r="Y43" i="1" s="1"/>
  <c r="AE38" i="1"/>
  <c r="AF11" i="1"/>
  <c r="AJ13" i="1"/>
  <c r="AF37" i="1"/>
  <c r="AF22" i="1"/>
  <c r="AC21" i="1"/>
  <c r="AG22" i="1"/>
  <c r="Z18" i="1"/>
  <c r="AI13" i="1"/>
  <c r="AE11" i="1"/>
  <c r="AR62" i="1"/>
  <c r="E109" i="7"/>
  <c r="AI26" i="8"/>
  <c r="AA27" i="8"/>
  <c r="AK26" i="8"/>
  <c r="Z27" i="8"/>
  <c r="AJ26" i="8"/>
  <c r="K70" i="11"/>
  <c r="K108" i="11"/>
  <c r="G68" i="11"/>
  <c r="G106" i="11"/>
  <c r="AP34" i="8"/>
  <c r="AC61" i="8"/>
  <c r="AC14" i="1"/>
  <c r="AB24" i="1"/>
  <c r="AC59" i="8"/>
  <c r="AR59" i="8"/>
  <c r="AH6" i="8"/>
  <c r="AQ60" i="8"/>
  <c r="AT34" i="8"/>
  <c r="AE32" i="8"/>
  <c r="AH32" i="8"/>
  <c r="AC32" i="8"/>
  <c r="AD32" i="8"/>
  <c r="Q28" i="8"/>
  <c r="P39" i="1"/>
  <c r="Z39" i="1" s="1"/>
  <c r="P31" i="1"/>
  <c r="AI30" i="1" s="1"/>
  <c r="P27" i="1"/>
  <c r="AA27" i="1" s="1"/>
  <c r="P15" i="1"/>
  <c r="AH14" i="1" s="1"/>
  <c r="P11" i="1"/>
  <c r="Z11" i="1" s="1"/>
  <c r="AB19" i="1"/>
  <c r="B38" i="7"/>
  <c r="B100" i="7" s="1"/>
  <c r="B196" i="7" s="1"/>
  <c r="AF15" i="1"/>
  <c r="C195" i="7"/>
  <c r="B104" i="11"/>
  <c r="B66" i="11"/>
  <c r="J65" i="11"/>
  <c r="J103" i="11"/>
  <c r="E62" i="11"/>
  <c r="E100" i="11"/>
  <c r="M61" i="11"/>
  <c r="M75" i="11" s="1"/>
  <c r="M99" i="11"/>
  <c r="F60" i="11"/>
  <c r="F98" i="11"/>
  <c r="K97" i="11"/>
  <c r="K59" i="11"/>
  <c r="G97" i="11"/>
  <c r="G59" i="11"/>
  <c r="M55" i="11"/>
  <c r="M74" i="11" s="1"/>
  <c r="M93" i="11"/>
  <c r="M112" i="11" s="1"/>
  <c r="AY60" i="8"/>
  <c r="J71" i="11"/>
  <c r="J109" i="11"/>
  <c r="H70" i="11"/>
  <c r="H108" i="11"/>
  <c r="C68" i="11"/>
  <c r="C106" i="11"/>
  <c r="AN60" i="8"/>
  <c r="AV34" i="8"/>
  <c r="AQ34" i="8"/>
  <c r="AD7" i="8"/>
  <c r="AW59" i="8"/>
  <c r="AX34" i="8"/>
  <c r="AA21" i="8"/>
  <c r="AG38" i="1"/>
  <c r="AE43" i="1"/>
  <c r="L33" i="7"/>
  <c r="L95" i="7" s="1"/>
  <c r="L191" i="7" s="1"/>
  <c r="AA26" i="1"/>
  <c r="AC37" i="1"/>
  <c r="Y10" i="1"/>
  <c r="AF20" i="1"/>
  <c r="AC15" i="1"/>
  <c r="AF24" i="1"/>
  <c r="AF42" i="1"/>
  <c r="AI21" i="1"/>
  <c r="AI18" i="8"/>
  <c r="AN59" i="8"/>
  <c r="AO34" i="8"/>
  <c r="AE7" i="8"/>
  <c r="AY34" i="8"/>
  <c r="AD6" i="8"/>
  <c r="AD61" i="8" s="1"/>
  <c r="AC7" i="8"/>
  <c r="AS64" i="1"/>
  <c r="AJ31" i="8"/>
  <c r="AB38" i="1"/>
  <c r="AE12" i="1"/>
  <c r="D144" i="9"/>
  <c r="AH21" i="1"/>
  <c r="Z33" i="1"/>
  <c r="AC20" i="1"/>
  <c r="AJ9" i="1"/>
  <c r="AB20" i="1"/>
  <c r="AB39" i="2"/>
  <c r="AE10" i="1"/>
  <c r="AF25" i="1"/>
  <c r="AD42" i="1"/>
  <c r="AD24" i="1"/>
  <c r="AK18" i="8"/>
  <c r="AG42" i="1"/>
  <c r="AW34" i="8"/>
  <c r="AY59" i="8"/>
  <c r="AF6" i="8"/>
  <c r="AF7" i="8"/>
  <c r="AB40" i="1"/>
  <c r="BZ63" i="1"/>
  <c r="AD9" i="1"/>
  <c r="AF9" i="1"/>
  <c r="AA37" i="6"/>
  <c r="AX59" i="8"/>
  <c r="AT59" i="8"/>
  <c r="K64" i="11"/>
  <c r="B69" i="11"/>
  <c r="K106" i="11"/>
  <c r="K68" i="11"/>
  <c r="H67" i="11"/>
  <c r="H105" i="11"/>
  <c r="E66" i="11"/>
  <c r="E104" i="11"/>
  <c r="B64" i="11"/>
  <c r="B102" i="11"/>
  <c r="J58" i="11"/>
  <c r="J96" i="11"/>
  <c r="C96" i="11"/>
  <c r="C58" i="11"/>
  <c r="F53" i="11"/>
  <c r="F91" i="11"/>
  <c r="V30" i="4"/>
  <c r="H178" i="7"/>
  <c r="D178" i="7"/>
  <c r="C67" i="11"/>
  <c r="C50" i="11"/>
  <c r="C56" i="11"/>
  <c r="C94" i="11"/>
  <c r="C99" i="11"/>
  <c r="C104" i="11"/>
  <c r="C105" i="11"/>
  <c r="C107" i="11"/>
  <c r="B71" i="11"/>
  <c r="B109" i="11"/>
  <c r="C108" i="11"/>
  <c r="K57" i="11"/>
  <c r="K95" i="11"/>
  <c r="C95" i="11"/>
  <c r="Q30" i="4"/>
  <c r="AD30" i="8"/>
  <c r="AD14" i="8"/>
  <c r="M101" i="11"/>
  <c r="E97" i="11"/>
  <c r="C70" i="11"/>
  <c r="B67" i="11"/>
  <c r="B105" i="11"/>
  <c r="J66" i="11"/>
  <c r="J104" i="11"/>
  <c r="K65" i="11"/>
  <c r="K103" i="11"/>
  <c r="G65" i="11"/>
  <c r="G103" i="11"/>
  <c r="B62" i="11"/>
  <c r="B100" i="11"/>
  <c r="J61" i="11"/>
  <c r="J99" i="11"/>
  <c r="G60" i="11"/>
  <c r="G98" i="11"/>
  <c r="C60" i="11"/>
  <c r="C98" i="11"/>
  <c r="J56" i="11"/>
  <c r="J94" i="11"/>
  <c r="F56" i="11"/>
  <c r="F94" i="11"/>
  <c r="B56" i="11"/>
  <c r="B74" i="11" s="1"/>
  <c r="B94" i="11"/>
  <c r="J55" i="11"/>
  <c r="J93" i="11"/>
  <c r="C55" i="11"/>
  <c r="C45" i="11"/>
  <c r="A236" i="1"/>
  <c r="A115" i="1"/>
  <c r="A170" i="1"/>
  <c r="O170" i="1" s="1"/>
  <c r="A50" i="2"/>
  <c r="K174" i="7"/>
  <c r="I79" i="7"/>
  <c r="I175" i="7" s="1"/>
  <c r="Q25" i="8"/>
  <c r="Q15" i="8"/>
  <c r="A75" i="10"/>
  <c r="A134" i="10"/>
  <c r="A69" i="10"/>
  <c r="T40" i="7"/>
  <c r="J179" i="7"/>
  <c r="F179" i="7"/>
  <c r="B179" i="7"/>
  <c r="J175" i="7"/>
  <c r="L183" i="7"/>
  <c r="H183" i="7"/>
  <c r="L179" i="7"/>
  <c r="E178" i="7"/>
  <c r="T18" i="7"/>
  <c r="E174" i="7"/>
  <c r="D171" i="7"/>
  <c r="S10" i="7"/>
  <c r="S7" i="7"/>
  <c r="AF28" i="8"/>
  <c r="Q16" i="8"/>
  <c r="G171" i="10"/>
  <c r="D75" i="11"/>
  <c r="C49" i="11"/>
  <c r="P40" i="1"/>
  <c r="AA40" i="1" s="1"/>
  <c r="P36" i="1"/>
  <c r="AA36" i="1" s="1"/>
  <c r="P32" i="1"/>
  <c r="Z32" i="1" s="1"/>
  <c r="P28" i="1"/>
  <c r="AI27" i="1" s="1"/>
  <c r="P24" i="1"/>
  <c r="AA24" i="1" s="1"/>
  <c r="P20" i="1"/>
  <c r="AH19" i="1" s="1"/>
  <c r="T42" i="7"/>
  <c r="AL49" i="2"/>
  <c r="AA50" i="2"/>
  <c r="AB50" i="2"/>
  <c r="M190" i="7"/>
  <c r="L190" i="7"/>
  <c r="I185" i="7"/>
  <c r="J184" i="7"/>
  <c r="G179" i="7"/>
  <c r="M173" i="7"/>
  <c r="J173" i="7"/>
  <c r="H177" i="7"/>
  <c r="G186" i="7"/>
  <c r="M184" i="7"/>
  <c r="S23" i="7"/>
  <c r="L195" i="7"/>
  <c r="D182" i="7"/>
  <c r="L175" i="7"/>
  <c r="L178" i="7"/>
  <c r="M174" i="7"/>
  <c r="C196" i="7"/>
  <c r="J193" i="7"/>
  <c r="I177" i="7"/>
  <c r="T6" i="7"/>
  <c r="Q6" i="7" s="1"/>
  <c r="M189" i="7"/>
  <c r="G192" i="7"/>
  <c r="K183" i="7"/>
  <c r="K182" i="7"/>
  <c r="C175" i="7"/>
  <c r="K172" i="7"/>
  <c r="G172" i="7"/>
  <c r="F182" i="7"/>
  <c r="I180" i="7"/>
  <c r="T12" i="7"/>
  <c r="T11" i="7"/>
  <c r="S22" i="7"/>
  <c r="E195" i="7"/>
  <c r="D175" i="7"/>
  <c r="B194" i="7"/>
  <c r="S24" i="7"/>
  <c r="H174" i="7"/>
  <c r="S18" i="7"/>
  <c r="T36" i="7"/>
  <c r="C197" i="7"/>
  <c r="L85" i="7"/>
  <c r="L181" i="7" s="1"/>
  <c r="E180" i="7"/>
  <c r="M175" i="7"/>
  <c r="I189" i="7"/>
  <c r="E193" i="7"/>
  <c r="K194" i="7"/>
  <c r="G194" i="7"/>
  <c r="C194" i="7"/>
  <c r="B184" i="7"/>
  <c r="F183" i="7"/>
  <c r="B183" i="7"/>
  <c r="J176" i="7"/>
  <c r="F173" i="7"/>
  <c r="D183" i="7"/>
  <c r="I182" i="7"/>
  <c r="B174" i="7"/>
  <c r="M171" i="7"/>
  <c r="L173" i="10"/>
  <c r="A102" i="7"/>
  <c r="A183" i="7"/>
  <c r="E112" i="10"/>
  <c r="A285" i="2"/>
  <c r="A72" i="7"/>
  <c r="A360" i="2"/>
  <c r="Z19" i="2"/>
  <c r="AN19" i="2" s="1"/>
  <c r="A144" i="2"/>
  <c r="O144" i="2" s="1"/>
  <c r="A95" i="2"/>
  <c r="Z43" i="2"/>
  <c r="AN43" i="2" s="1"/>
  <c r="A435" i="2"/>
  <c r="A100" i="10"/>
  <c r="A142" i="8"/>
  <c r="A92" i="10"/>
  <c r="A65" i="8"/>
  <c r="E111" i="10"/>
  <c r="A87" i="10"/>
  <c r="A199" i="7"/>
  <c r="A157" i="10"/>
  <c r="A135" i="10"/>
  <c r="Z32" i="2"/>
  <c r="AN32" i="2" s="1"/>
  <c r="A150" i="7"/>
  <c r="A291" i="2"/>
  <c r="A406" i="2"/>
  <c r="A165" i="7"/>
  <c r="A168" i="10"/>
  <c r="A93" i="8"/>
  <c r="A77" i="10"/>
  <c r="A214" i="2"/>
  <c r="Z13" i="2"/>
  <c r="AN13" i="2" s="1"/>
  <c r="A125" i="7"/>
  <c r="A76" i="10"/>
  <c r="Z17" i="2"/>
  <c r="AN17" i="2" s="1"/>
  <c r="A74" i="7"/>
  <c r="Y7" i="8"/>
  <c r="AM7" i="8" s="1"/>
  <c r="A161" i="10"/>
  <c r="A118" i="8"/>
  <c r="A289" i="2"/>
  <c r="A165" i="10"/>
  <c r="Z11" i="2"/>
  <c r="AN11" i="2" s="1"/>
  <c r="A188" i="7"/>
  <c r="A141" i="7"/>
  <c r="F109" i="10"/>
  <c r="A70" i="10"/>
  <c r="A79" i="7"/>
  <c r="A368" i="2"/>
  <c r="A419" i="2"/>
  <c r="Z42" i="2"/>
  <c r="AN42" i="2" s="1"/>
  <c r="A147" i="2"/>
  <c r="O147" i="2" s="1"/>
  <c r="A144" i="10"/>
  <c r="A85" i="8"/>
  <c r="A137" i="7"/>
  <c r="A277" i="2"/>
  <c r="A349" i="2"/>
  <c r="A422" i="2"/>
  <c r="Z31" i="2"/>
  <c r="AN31" i="2" s="1"/>
  <c r="A167" i="10"/>
  <c r="M110" i="10"/>
  <c r="E109" i="10"/>
  <c r="A79" i="10"/>
  <c r="AC40" i="1"/>
  <c r="AF40" i="1"/>
  <c r="L172" i="7"/>
  <c r="D174" i="10"/>
  <c r="I74" i="11"/>
  <c r="S33" i="7"/>
  <c r="M81" i="7"/>
  <c r="M177" i="7" s="1"/>
  <c r="F195" i="7"/>
  <c r="D192" i="7"/>
  <c r="D195" i="7"/>
  <c r="G191" i="7"/>
  <c r="C187" i="7"/>
  <c r="K184" i="7"/>
  <c r="K181" i="7"/>
  <c r="C181" i="7"/>
  <c r="C179" i="7"/>
  <c r="G173" i="7"/>
  <c r="M194" i="7"/>
  <c r="T35" i="7"/>
  <c r="L192" i="7"/>
  <c r="I191" i="7"/>
  <c r="H188" i="7"/>
  <c r="D188" i="7"/>
  <c r="H186" i="7"/>
  <c r="S28" i="7"/>
  <c r="K175" i="7"/>
  <c r="L174" i="7"/>
  <c r="K173" i="10"/>
  <c r="S15" i="7"/>
  <c r="T20" i="7"/>
  <c r="D172" i="10"/>
  <c r="B182" i="7"/>
  <c r="T10" i="7"/>
  <c r="H172" i="7"/>
  <c r="C173" i="10"/>
  <c r="H173" i="10"/>
  <c r="S14" i="7"/>
  <c r="K171" i="10"/>
  <c r="H181" i="7"/>
  <c r="L171" i="7"/>
  <c r="M192" i="7"/>
  <c r="T27" i="7"/>
  <c r="D181" i="7"/>
  <c r="H179" i="7"/>
  <c r="D179" i="7"/>
  <c r="M178" i="7"/>
  <c r="I178" i="7"/>
  <c r="R20" i="7"/>
  <c r="G193" i="7"/>
  <c r="K176" i="7"/>
  <c r="C173" i="7"/>
  <c r="M102" i="7"/>
  <c r="M198" i="7" s="1"/>
  <c r="S42" i="7"/>
  <c r="C192" i="7"/>
  <c r="F192" i="7"/>
  <c r="J191" i="7"/>
  <c r="F191" i="7"/>
  <c r="B191" i="7"/>
  <c r="B190" i="7"/>
  <c r="F187" i="7"/>
  <c r="J185" i="7"/>
  <c r="F185" i="7"/>
  <c r="J180" i="7"/>
  <c r="F180" i="7"/>
  <c r="B180" i="7"/>
  <c r="J177" i="7"/>
  <c r="B177" i="7"/>
  <c r="F174" i="7"/>
  <c r="H194" i="7"/>
  <c r="E191" i="7"/>
  <c r="C188" i="7"/>
  <c r="G181" i="7"/>
  <c r="L180" i="7"/>
  <c r="C180" i="7"/>
  <c r="S35" i="7"/>
  <c r="S47" i="7"/>
  <c r="T30" i="7"/>
  <c r="T19" i="7"/>
  <c r="S17" i="7"/>
  <c r="C178" i="7"/>
  <c r="T33" i="7"/>
  <c r="S26" i="7"/>
  <c r="M89" i="7"/>
  <c r="M185" i="7" s="1"/>
  <c r="R29" i="7"/>
  <c r="Y29" i="7" s="1"/>
  <c r="M84" i="7"/>
  <c r="M180" i="7" s="1"/>
  <c r="G189" i="7"/>
  <c r="C189" i="7"/>
  <c r="S30" i="7"/>
  <c r="S46" i="7"/>
  <c r="G183" i="7"/>
  <c r="E192" i="7"/>
  <c r="M187" i="7"/>
  <c r="I187" i="7"/>
  <c r="M183" i="7"/>
  <c r="K187" i="7"/>
  <c r="G187" i="7"/>
  <c r="D187" i="7"/>
  <c r="T28" i="7"/>
  <c r="K185" i="7"/>
  <c r="C183" i="7"/>
  <c r="L182" i="7"/>
  <c r="H182" i="7"/>
  <c r="E182" i="7"/>
  <c r="I173" i="7"/>
  <c r="R14" i="7"/>
  <c r="K171" i="7"/>
  <c r="T7" i="7"/>
  <c r="M174" i="10"/>
  <c r="I174" i="10"/>
  <c r="E173" i="10"/>
  <c r="B174" i="10"/>
  <c r="J172" i="10"/>
  <c r="F173" i="10"/>
  <c r="B171" i="10"/>
  <c r="H112" i="11"/>
  <c r="D112" i="11"/>
  <c r="L112" i="11"/>
  <c r="I75" i="11"/>
  <c r="L75" i="11"/>
  <c r="D74" i="11"/>
  <c r="I73" i="11"/>
  <c r="K190" i="7"/>
  <c r="C190" i="7"/>
  <c r="K179" i="7"/>
  <c r="T17" i="7"/>
  <c r="C171" i="7"/>
  <c r="C186" i="7"/>
  <c r="C172" i="7"/>
  <c r="D177" i="7"/>
  <c r="M176" i="7"/>
  <c r="B176" i="7"/>
  <c r="S12" i="7"/>
  <c r="T8" i="7"/>
  <c r="S8" i="7"/>
  <c r="AL28" i="2"/>
  <c r="AL38" i="2"/>
  <c r="AK43" i="2"/>
  <c r="AL36" i="2"/>
  <c r="AL48" i="2"/>
  <c r="AA29" i="2"/>
  <c r="AK47" i="2"/>
  <c r="AA14" i="2"/>
  <c r="AA49" i="2"/>
  <c r="AK45" i="2"/>
  <c r="AA40" i="2"/>
  <c r="AL39" i="2"/>
  <c r="AK20" i="2"/>
  <c r="AB20" i="2"/>
  <c r="D197" i="7"/>
  <c r="R41" i="7"/>
  <c r="Y41" i="7" s="1"/>
  <c r="T22" i="7"/>
  <c r="R17" i="7"/>
  <c r="R21" i="7"/>
  <c r="T25" i="7"/>
  <c r="T26" i="7"/>
  <c r="R24" i="7"/>
  <c r="J174" i="10"/>
  <c r="T29" i="7"/>
  <c r="T13" i="7"/>
  <c r="D104" i="7"/>
  <c r="B173" i="10"/>
  <c r="K193" i="7"/>
  <c r="E173" i="7"/>
  <c r="L176" i="7"/>
  <c r="I176" i="7"/>
  <c r="I174" i="7"/>
  <c r="C174" i="7"/>
  <c r="S13" i="7"/>
  <c r="R12" i="7"/>
  <c r="R9" i="7"/>
  <c r="S9" i="7"/>
  <c r="R8" i="7"/>
  <c r="R23" i="7"/>
  <c r="S21" i="7"/>
  <c r="D196" i="7"/>
  <c r="T47" i="7"/>
  <c r="R40" i="7"/>
  <c r="Y40" i="7" s="1"/>
  <c r="R15" i="7"/>
  <c r="B175" i="7"/>
  <c r="F188" i="7"/>
  <c r="W37" i="6"/>
  <c r="D174" i="7"/>
  <c r="H171" i="7"/>
  <c r="C191" i="7"/>
  <c r="R30" i="7"/>
  <c r="Y30" i="7" s="1"/>
  <c r="H184" i="7"/>
  <c r="D184" i="7"/>
  <c r="K173" i="7"/>
  <c r="L174" i="10"/>
  <c r="F176" i="7"/>
  <c r="B172" i="7"/>
  <c r="E172" i="10"/>
  <c r="F76" i="7"/>
  <c r="F172" i="7" s="1"/>
  <c r="E174" i="10"/>
  <c r="R44" i="7"/>
  <c r="Y44" i="7" s="1"/>
  <c r="R19" i="7"/>
  <c r="B102" i="7"/>
  <c r="B198" i="7" s="1"/>
  <c r="T21" i="7"/>
  <c r="R28" i="7"/>
  <c r="Y28" i="7" s="1"/>
  <c r="R35" i="7"/>
  <c r="Y35" i="7" s="1"/>
  <c r="R45" i="7"/>
  <c r="Y45" i="7" s="1"/>
  <c r="F174" i="10"/>
  <c r="T16" i="7"/>
  <c r="F189" i="7"/>
  <c r="S25" i="7"/>
  <c r="J192" i="7"/>
  <c r="H195" i="7"/>
  <c r="G190" i="7"/>
  <c r="G174" i="7"/>
  <c r="I194" i="7"/>
  <c r="H187" i="7"/>
  <c r="B185" i="7"/>
  <c r="G184" i="7"/>
  <c r="C184" i="7"/>
  <c r="M182" i="7"/>
  <c r="I179" i="7"/>
  <c r="G177" i="7"/>
  <c r="S45" i="7"/>
  <c r="A416" i="2"/>
  <c r="A148" i="10"/>
  <c r="A140" i="2"/>
  <c r="O140" i="2" s="1"/>
  <c r="A133" i="2"/>
  <c r="O133" i="2" s="1"/>
  <c r="A283" i="2"/>
  <c r="A366" i="2"/>
  <c r="A148" i="2"/>
  <c r="O148" i="2" s="1"/>
  <c r="A146" i="7"/>
  <c r="A190" i="7"/>
  <c r="BU63" i="1"/>
  <c r="A138" i="7"/>
  <c r="A143" i="10"/>
  <c r="A350" i="2"/>
  <c r="A76" i="2"/>
  <c r="A207" i="2"/>
  <c r="A279" i="2"/>
  <c r="A424" i="2"/>
  <c r="A87" i="2"/>
  <c r="A91" i="2"/>
  <c r="A152" i="2"/>
  <c r="O152" i="2" s="1"/>
  <c r="A173" i="7"/>
  <c r="M112" i="10"/>
  <c r="M111" i="10"/>
  <c r="A140" i="8"/>
  <c r="A186" i="7"/>
  <c r="A119" i="8"/>
  <c r="A129" i="2"/>
  <c r="O129" i="2" s="1"/>
  <c r="Y8" i="8"/>
  <c r="AM8" i="8" s="1"/>
  <c r="A139" i="7"/>
  <c r="BT64" i="1"/>
  <c r="A69" i="7"/>
  <c r="A100" i="2"/>
  <c r="Z23" i="2"/>
  <c r="AN23" i="2" s="1"/>
  <c r="A210" i="2"/>
  <c r="A99" i="2"/>
  <c r="A156" i="2"/>
  <c r="Z41" i="2"/>
  <c r="AN41" i="2" s="1"/>
  <c r="A213" i="2"/>
  <c r="A358" i="2"/>
  <c r="A286" i="2"/>
  <c r="A90" i="2"/>
  <c r="A78" i="2"/>
  <c r="A418" i="2"/>
  <c r="A82" i="2"/>
  <c r="A150" i="8"/>
  <c r="A138" i="8"/>
  <c r="Y15" i="8"/>
  <c r="AM15" i="8" s="1"/>
  <c r="A407" i="2"/>
  <c r="A96" i="10"/>
  <c r="A372" i="2"/>
  <c r="A140" i="10"/>
  <c r="A376" i="2"/>
  <c r="A369" i="2"/>
  <c r="A154" i="2"/>
  <c r="O154" i="2" s="1"/>
  <c r="A168" i="7"/>
  <c r="A150" i="2"/>
  <c r="O150" i="2" s="1"/>
  <c r="A197" i="2"/>
  <c r="A124" i="2"/>
  <c r="O124" i="2" s="1"/>
  <c r="Z38" i="2"/>
  <c r="AN38" i="2" s="1"/>
  <c r="A83" i="8"/>
  <c r="A134" i="8"/>
  <c r="A79" i="8"/>
  <c r="A174" i="7"/>
  <c r="Z20" i="2"/>
  <c r="AN20" i="2" s="1"/>
  <c r="A361" i="2"/>
  <c r="A430" i="2"/>
  <c r="A87" i="8"/>
  <c r="Z8" i="2"/>
  <c r="AN8" i="2" s="1"/>
  <c r="A437" i="2"/>
  <c r="A123" i="2"/>
  <c r="O123" i="2" s="1"/>
  <c r="A151" i="2"/>
  <c r="O151" i="2" s="1"/>
  <c r="A136" i="2"/>
  <c r="O136" i="2" s="1"/>
  <c r="A205" i="2"/>
  <c r="A281" i="2"/>
  <c r="A217" i="2"/>
  <c r="A191" i="7"/>
  <c r="A142" i="2"/>
  <c r="O142" i="2" s="1"/>
  <c r="A67" i="2"/>
  <c r="A147" i="10"/>
  <c r="A297" i="2"/>
  <c r="A97" i="2"/>
  <c r="Z22" i="2"/>
  <c r="AN22" i="2" s="1"/>
  <c r="A346" i="2"/>
  <c r="Y21" i="8"/>
  <c r="AM21" i="8" s="1"/>
  <c r="A147" i="8"/>
  <c r="BZ62" i="1"/>
  <c r="A145" i="7"/>
  <c r="A134" i="7"/>
  <c r="AA31" i="1"/>
  <c r="AJ30" i="1"/>
  <c r="A167" i="7"/>
  <c r="A71" i="7"/>
  <c r="A118" i="7"/>
  <c r="Y25" i="8"/>
  <c r="AM25" i="8" s="1"/>
  <c r="A136" i="8"/>
  <c r="D112" i="10"/>
  <c r="A97" i="10"/>
  <c r="A159" i="10"/>
  <c r="C49" i="10"/>
  <c r="A155" i="10"/>
  <c r="A93" i="10"/>
  <c r="A157" i="7"/>
  <c r="A110" i="7"/>
  <c r="A81" i="8"/>
  <c r="AB27" i="1"/>
  <c r="AF27" i="1"/>
  <c r="AE27" i="1"/>
  <c r="AG27" i="1"/>
  <c r="BO62" i="1"/>
  <c r="AT62" i="1"/>
  <c r="A159" i="2"/>
  <c r="A98" i="2"/>
  <c r="Z39" i="2"/>
  <c r="AN39" i="2" s="1"/>
  <c r="A428" i="2"/>
  <c r="A219" i="2"/>
  <c r="A130" i="2"/>
  <c r="O130" i="2" s="1"/>
  <c r="A73" i="2"/>
  <c r="A69" i="2"/>
  <c r="A126" i="2"/>
  <c r="O126" i="2" s="1"/>
  <c r="A133" i="7"/>
  <c r="A182" i="7"/>
  <c r="A178" i="7"/>
  <c r="A129" i="7"/>
  <c r="A97" i="8"/>
  <c r="A152" i="8"/>
  <c r="A90" i="8"/>
  <c r="A145" i="8"/>
  <c r="A141" i="8"/>
  <c r="Y30" i="8"/>
  <c r="AM30" i="8" s="1"/>
  <c r="A86" i="8"/>
  <c r="K112" i="10"/>
  <c r="K109" i="10"/>
  <c r="K111" i="10"/>
  <c r="G111" i="10"/>
  <c r="G109" i="10"/>
  <c r="C111" i="10"/>
  <c r="C112" i="10"/>
  <c r="P23" i="1"/>
  <c r="AH22" i="1" s="1"/>
  <c r="A75" i="7"/>
  <c r="A171" i="7"/>
  <c r="A122" i="7"/>
  <c r="A137" i="8"/>
  <c r="Y26" i="8"/>
  <c r="AM26" i="8" s="1"/>
  <c r="A130" i="8"/>
  <c r="A75" i="8"/>
  <c r="L110" i="10"/>
  <c r="H111" i="10"/>
  <c r="H109" i="10"/>
  <c r="K47" i="10"/>
  <c r="D111" i="10"/>
  <c r="AI39" i="1"/>
  <c r="AE39" i="1"/>
  <c r="AB39" i="1"/>
  <c r="AE28" i="1"/>
  <c r="AD28" i="1"/>
  <c r="AD26" i="1"/>
  <c r="AC26" i="1"/>
  <c r="AF26" i="1"/>
  <c r="AE26" i="1"/>
  <c r="AB26" i="1"/>
  <c r="AG26" i="1"/>
  <c r="BW64" i="1"/>
  <c r="BB62" i="1"/>
  <c r="BE63" i="1"/>
  <c r="AG8" i="1"/>
  <c r="AC8" i="1"/>
  <c r="A149" i="2"/>
  <c r="O149" i="2" s="1"/>
  <c r="A92" i="2"/>
  <c r="A149" i="8"/>
  <c r="A175" i="7"/>
  <c r="AG28" i="1"/>
  <c r="A91" i="8"/>
  <c r="A144" i="8"/>
  <c r="A124" i="7"/>
  <c r="AC28" i="1"/>
  <c r="BP63" i="1"/>
  <c r="AE17" i="1"/>
  <c r="AC17" i="1"/>
  <c r="BR63" i="1"/>
  <c r="AB12" i="1"/>
  <c r="AD12" i="1"/>
  <c r="AG12" i="1"/>
  <c r="AF12" i="1"/>
  <c r="A135" i="7"/>
  <c r="A184" i="7"/>
  <c r="A151" i="10"/>
  <c r="A101" i="10"/>
  <c r="A163" i="10"/>
  <c r="M48" i="10"/>
  <c r="A103" i="2"/>
  <c r="AE16" i="1"/>
  <c r="AG16" i="1"/>
  <c r="AB16" i="1"/>
  <c r="AC16" i="1"/>
  <c r="K110" i="10"/>
  <c r="A153" i="8"/>
  <c r="AB29" i="1"/>
  <c r="AD29" i="1"/>
  <c r="AF29" i="1"/>
  <c r="AG29" i="1"/>
  <c r="Y19" i="8"/>
  <c r="AM19" i="8" s="1"/>
  <c r="AF8" i="1"/>
  <c r="A438" i="2"/>
  <c r="A155" i="2"/>
  <c r="O155" i="2" s="1"/>
  <c r="A95" i="7"/>
  <c r="A80" i="2"/>
  <c r="AC27" i="1"/>
  <c r="A82" i="8"/>
  <c r="G110" i="10"/>
  <c r="AJ17" i="1"/>
  <c r="AB28" i="1"/>
  <c r="AC39" i="1"/>
  <c r="AE29" i="1"/>
  <c r="D109" i="10"/>
  <c r="AD39" i="1"/>
  <c r="A86" i="7"/>
  <c r="A93" i="7"/>
  <c r="A140" i="7"/>
  <c r="Y18" i="8"/>
  <c r="AM18" i="8" s="1"/>
  <c r="A129" i="8"/>
  <c r="A74" i="8"/>
  <c r="AB37" i="1"/>
  <c r="AG37" i="1"/>
  <c r="BY62" i="1"/>
  <c r="BU62" i="1"/>
  <c r="BQ63" i="1"/>
  <c r="BG64" i="1"/>
  <c r="BC63" i="1"/>
  <c r="AW62" i="1"/>
  <c r="AS63" i="1"/>
  <c r="AO63" i="1"/>
  <c r="BX63" i="1"/>
  <c r="BT62" i="1"/>
  <c r="BP62" i="1"/>
  <c r="BF63" i="1"/>
  <c r="AV64" i="1"/>
  <c r="AR63" i="1"/>
  <c r="AN64" i="1"/>
  <c r="AG18" i="1"/>
  <c r="BW62" i="1"/>
  <c r="BS63" i="1"/>
  <c r="BO64" i="1"/>
  <c r="BI62" i="1"/>
  <c r="BA62" i="1"/>
  <c r="AU64" i="1"/>
  <c r="AQ62" i="1"/>
  <c r="AM64" i="1"/>
  <c r="AX64" i="1"/>
  <c r="A408" i="2"/>
  <c r="A347" i="2"/>
  <c r="Y13" i="8"/>
  <c r="AM13" i="8" s="1"/>
  <c r="A124" i="8"/>
  <c r="F112" i="10"/>
  <c r="AX63" i="1"/>
  <c r="A154" i="8"/>
  <c r="A99" i="8"/>
  <c r="AD37" i="1"/>
  <c r="A412" i="2"/>
  <c r="A226" i="2"/>
  <c r="P44" i="1"/>
  <c r="AH43" i="1" s="1"/>
  <c r="AB42" i="1"/>
  <c r="AE42" i="1"/>
  <c r="AA33" i="1"/>
  <c r="Y33" i="1"/>
  <c r="Z22" i="1"/>
  <c r="AJ21" i="1"/>
  <c r="AQ63" i="1"/>
  <c r="A179" i="7"/>
  <c r="A83" i="7"/>
  <c r="A81" i="7"/>
  <c r="A128" i="7"/>
  <c r="A84" i="8"/>
  <c r="A139" i="8"/>
  <c r="Y12" i="8"/>
  <c r="AM12" i="8" s="1"/>
  <c r="A68" i="8"/>
  <c r="Y10" i="8"/>
  <c r="AM10" i="8" s="1"/>
  <c r="A66" i="8"/>
  <c r="A117" i="8"/>
  <c r="Y6" i="8"/>
  <c r="AM6" i="8" s="1"/>
  <c r="A104" i="10"/>
  <c r="A166" i="10"/>
  <c r="G48" i="10"/>
  <c r="C48" i="10"/>
  <c r="L49" i="10"/>
  <c r="H50" i="10"/>
  <c r="D48" i="10"/>
  <c r="M47" i="10"/>
  <c r="I50" i="10"/>
  <c r="E48" i="10"/>
  <c r="J47" i="10"/>
  <c r="F48" i="10"/>
  <c r="F49" i="10"/>
  <c r="B49" i="10"/>
  <c r="BZ64" i="1"/>
  <c r="BR62" i="1"/>
  <c r="BL62" i="1"/>
  <c r="BH64" i="1"/>
  <c r="AT64" i="1"/>
  <c r="AP62" i="1"/>
  <c r="AE9" i="1"/>
  <c r="J111" i="10"/>
  <c r="Y39" i="1"/>
  <c r="Y28" i="1"/>
  <c r="P35" i="1"/>
  <c r="AG45" i="1"/>
  <c r="AF45" i="1"/>
  <c r="AH20" i="1"/>
  <c r="AJ20" i="1"/>
  <c r="AA21" i="1"/>
  <c r="Z21" i="1"/>
  <c r="A164" i="10"/>
  <c r="A102" i="10"/>
  <c r="K49" i="10"/>
  <c r="A156" i="10"/>
  <c r="A94" i="10"/>
  <c r="A90" i="10"/>
  <c r="A152" i="10"/>
  <c r="D49" i="10"/>
  <c r="K48" i="10"/>
  <c r="BG62" i="1"/>
  <c r="H47" i="10"/>
  <c r="AM62" i="1"/>
  <c r="AV63" i="1"/>
  <c r="AB45" i="1"/>
  <c r="BQ64" i="1"/>
  <c r="AC18" i="1"/>
  <c r="A206" i="7"/>
  <c r="A127" i="7"/>
  <c r="A80" i="7"/>
  <c r="A123" i="7"/>
  <c r="A172" i="7"/>
  <c r="Y32" i="8"/>
  <c r="AM32" i="8" s="1"/>
  <c r="A143" i="8"/>
  <c r="Y24" i="8"/>
  <c r="AM24" i="8" s="1"/>
  <c r="A135" i="8"/>
  <c r="Z28" i="1"/>
  <c r="BI64" i="1"/>
  <c r="A170" i="7"/>
  <c r="A152" i="7"/>
  <c r="AU63" i="1"/>
  <c r="AN62" i="1"/>
  <c r="AO62" i="1"/>
  <c r="AW64" i="1"/>
  <c r="BP64" i="1"/>
  <c r="BX64" i="1"/>
  <c r="AT63" i="1"/>
  <c r="BO63" i="1"/>
  <c r="BS64" i="1"/>
  <c r="AE45" i="1"/>
  <c r="BQ62" i="1"/>
  <c r="BY64" i="1"/>
  <c r="F47" i="10"/>
  <c r="A98" i="10"/>
  <c r="Y21" i="1"/>
  <c r="Z26" i="1"/>
  <c r="Y26" i="1"/>
  <c r="BX62" i="1"/>
  <c r="BT63" i="1"/>
  <c r="AB14" i="1"/>
  <c r="AD14" i="1"/>
  <c r="AF14" i="1"/>
  <c r="P12" i="1"/>
  <c r="AW63" i="1"/>
  <c r="AS62" i="1"/>
  <c r="AO64" i="1"/>
  <c r="AV62" i="1"/>
  <c r="AR64" i="1"/>
  <c r="AN63" i="1"/>
  <c r="A89" i="7"/>
  <c r="A136" i="7"/>
  <c r="A181" i="7"/>
  <c r="A85" i="7"/>
  <c r="A120" i="7"/>
  <c r="A169" i="7"/>
  <c r="A73" i="7"/>
  <c r="A164" i="7"/>
  <c r="A68" i="7"/>
  <c r="A115" i="7"/>
  <c r="A125" i="8"/>
  <c r="Y14" i="8"/>
  <c r="AM14" i="8" s="1"/>
  <c r="Y11" i="8"/>
  <c r="AM11" i="8" s="1"/>
  <c r="A122" i="8"/>
  <c r="J110" i="10"/>
  <c r="J109" i="10"/>
  <c r="J112" i="10"/>
  <c r="F111" i="10"/>
  <c r="F110" i="10"/>
  <c r="B110" i="10"/>
  <c r="B112" i="10"/>
  <c r="AB31" i="1"/>
  <c r="AE31" i="1"/>
  <c r="AF31" i="1"/>
  <c r="AD18" i="1"/>
  <c r="AE18" i="1"/>
  <c r="A78" i="8"/>
  <c r="A133" i="8"/>
  <c r="Y22" i="8"/>
  <c r="AM22" i="8" s="1"/>
  <c r="Y40" i="1"/>
  <c r="AJ39" i="1"/>
  <c r="D47" i="10"/>
  <c r="AB18" i="1"/>
  <c r="A105" i="7"/>
  <c r="Z40" i="1"/>
  <c r="AU62" i="1"/>
  <c r="BY63" i="1"/>
  <c r="AB43" i="1"/>
  <c r="AE23" i="1"/>
  <c r="AC23" i="1"/>
  <c r="AF23" i="1"/>
  <c r="AG23" i="1"/>
  <c r="A131" i="7"/>
  <c r="A84" i="7"/>
  <c r="A180" i="7"/>
  <c r="A117" i="7"/>
  <c r="A166" i="7"/>
  <c r="A83" i="10"/>
  <c r="A145" i="10"/>
  <c r="BA63" i="1"/>
  <c r="L48" i="10"/>
  <c r="A80" i="8"/>
  <c r="AD23" i="1"/>
  <c r="A80" i="10"/>
  <c r="AJ27" i="1"/>
  <c r="K50" i="10"/>
  <c r="Z31" i="1"/>
  <c r="A76" i="7"/>
  <c r="AH30" i="1"/>
  <c r="AD43" i="1"/>
  <c r="AH39" i="1"/>
  <c r="BR64" i="1"/>
  <c r="AI20" i="1"/>
  <c r="AG31" i="1"/>
  <c r="AD45" i="1"/>
  <c r="BU64" i="1"/>
  <c r="AD31" i="1"/>
  <c r="D50" i="10"/>
  <c r="AF18" i="1"/>
  <c r="A70" i="7"/>
  <c r="AJ22" i="1"/>
  <c r="A77" i="8"/>
  <c r="A88" i="8"/>
  <c r="AF43" i="1"/>
  <c r="AE30" i="1"/>
  <c r="AD30" i="1"/>
  <c r="AB30" i="1"/>
  <c r="AF30" i="1"/>
  <c r="AH17" i="1"/>
  <c r="AI17" i="1"/>
  <c r="Y18" i="1"/>
  <c r="AF17" i="1"/>
  <c r="AB17" i="1"/>
  <c r="AG17" i="1"/>
  <c r="BW63" i="1"/>
  <c r="BS62" i="1"/>
  <c r="AF13" i="1"/>
  <c r="AB13" i="1"/>
  <c r="AD13" i="1"/>
  <c r="AG13" i="1"/>
  <c r="AQ64" i="1"/>
  <c r="AM63" i="1"/>
  <c r="AX62" i="1"/>
  <c r="AP64" i="1"/>
  <c r="AE8" i="1"/>
  <c r="AD8" i="1"/>
  <c r="AB8" i="1"/>
  <c r="A145" i="2"/>
  <c r="O145" i="2" s="1"/>
  <c r="Z29" i="2"/>
  <c r="AN29" i="2" s="1"/>
  <c r="A367" i="2"/>
  <c r="A88" i="2"/>
  <c r="A84" i="2"/>
  <c r="Z25" i="2"/>
  <c r="AN25" i="2" s="1"/>
  <c r="A76" i="8"/>
  <c r="A131" i="8"/>
  <c r="Y20" i="8"/>
  <c r="AM20" i="8" s="1"/>
  <c r="A128" i="8"/>
  <c r="A73" i="8"/>
  <c r="A127" i="8"/>
  <c r="A72" i="8"/>
  <c r="L111" i="10"/>
  <c r="L112" i="10"/>
  <c r="L109" i="10"/>
  <c r="H110" i="10"/>
  <c r="H112" i="10"/>
  <c r="D110" i="10"/>
  <c r="M109" i="10"/>
  <c r="I111" i="10"/>
  <c r="I112" i="10"/>
  <c r="I110" i="10"/>
  <c r="I109" i="10"/>
  <c r="E110" i="10"/>
  <c r="AD44" i="1"/>
  <c r="AC44" i="1"/>
  <c r="AE44" i="1"/>
  <c r="AF44" i="1"/>
  <c r="AC33" i="1"/>
  <c r="AE33" i="1"/>
  <c r="AG33" i="1"/>
  <c r="AD32" i="1"/>
  <c r="AC32" i="1"/>
  <c r="AG32" i="1"/>
  <c r="A203" i="2"/>
  <c r="A351" i="2"/>
  <c r="A197" i="7"/>
  <c r="A101" i="7"/>
  <c r="A96" i="7"/>
  <c r="A143" i="7"/>
  <c r="G112" i="10"/>
  <c r="C109" i="10"/>
  <c r="C110" i="10"/>
  <c r="A150" i="10"/>
  <c r="A88" i="10"/>
  <c r="AB25" i="1"/>
  <c r="AG25" i="1"/>
  <c r="AC25" i="1"/>
  <c r="A104" i="7"/>
  <c r="A151" i="7"/>
  <c r="A147" i="7"/>
  <c r="A100" i="7"/>
  <c r="A97" i="7"/>
  <c r="A144" i="7"/>
  <c r="A193" i="7"/>
  <c r="A91" i="10"/>
  <c r="A153" i="10"/>
  <c r="AD15" i="1"/>
  <c r="BK63" i="1"/>
  <c r="BJ62" i="1"/>
  <c r="P16" i="1"/>
  <c r="AD11" i="1"/>
  <c r="B111" i="10"/>
  <c r="AK26" i="2"/>
  <c r="AL25" i="2"/>
  <c r="AB26" i="2"/>
  <c r="AA26" i="2"/>
  <c r="AK12" i="2"/>
  <c r="A224" i="2"/>
  <c r="A433" i="2"/>
  <c r="A93" i="2"/>
  <c r="AC25" i="2"/>
  <c r="AD25" i="2"/>
  <c r="AH25" i="2"/>
  <c r="AI19" i="2"/>
  <c r="AD19" i="2"/>
  <c r="AH12" i="2"/>
  <c r="AG12" i="2"/>
  <c r="AC12" i="2"/>
  <c r="AE12" i="2"/>
  <c r="A200" i="2"/>
  <c r="Z10" i="2"/>
  <c r="AN10" i="2" s="1"/>
  <c r="D107" i="7"/>
  <c r="T45" i="7"/>
  <c r="AC36" i="2"/>
  <c r="R43" i="7"/>
  <c r="Y43" i="7" s="1"/>
  <c r="A77" i="2"/>
  <c r="L193" i="7"/>
  <c r="L77" i="7"/>
  <c r="L173" i="7" s="1"/>
  <c r="S16" i="7"/>
  <c r="A146" i="2"/>
  <c r="O146" i="2" s="1"/>
  <c r="A429" i="2"/>
  <c r="A296" i="2"/>
  <c r="AJ28" i="2"/>
  <c r="AD28" i="2"/>
  <c r="A292" i="2"/>
  <c r="Z26" i="2"/>
  <c r="AN26" i="2" s="1"/>
  <c r="A216" i="2"/>
  <c r="Z24" i="2"/>
  <c r="AN24" i="2" s="1"/>
  <c r="A423" i="2"/>
  <c r="AF22" i="2"/>
  <c r="AE22" i="2"/>
  <c r="Z14" i="2"/>
  <c r="AN14" i="2" s="1"/>
  <c r="A204" i="2"/>
  <c r="A352" i="2"/>
  <c r="A413" i="2"/>
  <c r="L98" i="7"/>
  <c r="L194" i="7" s="1"/>
  <c r="S37" i="7"/>
  <c r="H84" i="7"/>
  <c r="H180" i="7" s="1"/>
  <c r="R22" i="7"/>
  <c r="AL44" i="2"/>
  <c r="AA45" i="2"/>
  <c r="F108" i="7"/>
  <c r="R46" i="7"/>
  <c r="Y46" i="7" s="1"/>
  <c r="AL11" i="2"/>
  <c r="A348" i="2"/>
  <c r="A83" i="2"/>
  <c r="T43" i="7"/>
  <c r="AE25" i="2"/>
  <c r="S43" i="7"/>
  <c r="A220" i="2"/>
  <c r="T14" i="7"/>
  <c r="AD12" i="2"/>
  <c r="A280" i="2"/>
  <c r="A125" i="2"/>
  <c r="O125" i="2" s="1"/>
  <c r="A68" i="2"/>
  <c r="A275" i="2"/>
  <c r="AA12" i="2"/>
  <c r="AF12" i="2"/>
  <c r="A276" i="2"/>
  <c r="R33" i="7"/>
  <c r="Y33" i="7" s="1"/>
  <c r="AH28" i="2"/>
  <c r="A434" i="2"/>
  <c r="A290" i="2"/>
  <c r="T15" i="7"/>
  <c r="A357" i="2"/>
  <c r="A74" i="2"/>
  <c r="AF25" i="2"/>
  <c r="AJ22" i="2"/>
  <c r="AI22" i="2"/>
  <c r="AD29" i="2"/>
  <c r="S36" i="7"/>
  <c r="A425" i="2"/>
  <c r="S32" i="7"/>
  <c r="M191" i="7"/>
  <c r="Z34" i="2"/>
  <c r="AN34" i="2" s="1"/>
  <c r="Z9" i="2"/>
  <c r="AN9" i="2" s="1"/>
  <c r="R13" i="7"/>
  <c r="A364" i="2"/>
  <c r="AG25" i="2"/>
  <c r="A89" i="2"/>
  <c r="AG28" i="2"/>
  <c r="AF30" i="2"/>
  <c r="AG30" i="2"/>
  <c r="AI30" i="2"/>
  <c r="AH30" i="2"/>
  <c r="Z28" i="2"/>
  <c r="AN28" i="2" s="1"/>
  <c r="A294" i="2"/>
  <c r="AC26" i="2"/>
  <c r="AG26" i="2"/>
  <c r="A215" i="2"/>
  <c r="A141" i="2"/>
  <c r="O141" i="2" s="1"/>
  <c r="AK23" i="2"/>
  <c r="AL22" i="2"/>
  <c r="AB23" i="2"/>
  <c r="A288" i="2"/>
  <c r="A212" i="2"/>
  <c r="A81" i="2"/>
  <c r="AG20" i="2"/>
  <c r="AD20" i="2"/>
  <c r="R19" i="2"/>
  <c r="A209" i="2"/>
  <c r="AD18" i="2"/>
  <c r="AC18" i="2"/>
  <c r="AF18" i="2"/>
  <c r="AL16" i="2"/>
  <c r="AB17" i="2"/>
  <c r="R16" i="2"/>
  <c r="AA16" i="2" s="1"/>
  <c r="Z12" i="2"/>
  <c r="AN12" i="2" s="1"/>
  <c r="A71" i="2"/>
  <c r="AI10" i="2"/>
  <c r="AC10" i="2"/>
  <c r="AF10" i="2"/>
  <c r="A66" i="2"/>
  <c r="A273" i="2"/>
  <c r="A345" i="2"/>
  <c r="L100" i="7"/>
  <c r="L196" i="7" s="1"/>
  <c r="S39" i="7"/>
  <c r="BK64" i="1"/>
  <c r="BI63" i="1"/>
  <c r="BE62" i="1"/>
  <c r="BE64" i="1"/>
  <c r="BA64" i="1"/>
  <c r="AB36" i="2"/>
  <c r="AL35" i="2"/>
  <c r="A373" i="2"/>
  <c r="A94" i="2"/>
  <c r="Z35" i="2"/>
  <c r="AN35" i="2" s="1"/>
  <c r="AJ33" i="2"/>
  <c r="AC33" i="2"/>
  <c r="AD33" i="2"/>
  <c r="R27" i="2"/>
  <c r="AL26" i="2" s="1"/>
  <c r="AJ25" i="2"/>
  <c r="R24" i="2"/>
  <c r="AK24" i="2" s="1"/>
  <c r="AJ23" i="2"/>
  <c r="AE23" i="2"/>
  <c r="E197" i="7"/>
  <c r="B101" i="7"/>
  <c r="B197" i="7" s="1"/>
  <c r="T39" i="7"/>
  <c r="I192" i="7"/>
  <c r="D94" i="7"/>
  <c r="D190" i="7" s="1"/>
  <c r="T32" i="7"/>
  <c r="E183" i="7"/>
  <c r="J182" i="7"/>
  <c r="R11" i="7"/>
  <c r="R10" i="7"/>
  <c r="R7" i="7"/>
  <c r="M173" i="10"/>
  <c r="I172" i="10"/>
  <c r="E171" i="10"/>
  <c r="J171" i="10"/>
  <c r="J173" i="10"/>
  <c r="F171" i="10"/>
  <c r="B172" i="10"/>
  <c r="K172" i="10"/>
  <c r="K174" i="10"/>
  <c r="G172" i="10"/>
  <c r="C174" i="10"/>
  <c r="C171" i="10"/>
  <c r="L172" i="10"/>
  <c r="L171" i="10"/>
  <c r="H172" i="10"/>
  <c r="H174" i="10"/>
  <c r="D171" i="10"/>
  <c r="D173" i="10"/>
  <c r="G49" i="10"/>
  <c r="C47" i="10"/>
  <c r="C50" i="10"/>
  <c r="L50" i="10"/>
  <c r="L47" i="10"/>
  <c r="H49" i="10"/>
  <c r="I47" i="10"/>
  <c r="I48" i="10"/>
  <c r="I49" i="10"/>
  <c r="E50" i="10"/>
  <c r="E49" i="10"/>
  <c r="E47" i="10"/>
  <c r="J48" i="10"/>
  <c r="J50" i="10"/>
  <c r="J49" i="10"/>
  <c r="F50" i="10"/>
  <c r="B47" i="10"/>
  <c r="B48" i="10"/>
  <c r="E74" i="11"/>
  <c r="D73" i="11"/>
  <c r="F75" i="11"/>
  <c r="AE47" i="2"/>
  <c r="AJ47" i="2"/>
  <c r="AH47" i="2"/>
  <c r="AC47" i="2"/>
  <c r="R37" i="7"/>
  <c r="Y37" i="7" s="1"/>
  <c r="B189" i="7"/>
  <c r="J189" i="7"/>
  <c r="A102" i="2"/>
  <c r="AG31" i="2"/>
  <c r="AE31" i="2"/>
  <c r="AH31" i="2"/>
  <c r="AC15" i="2"/>
  <c r="AG15" i="2"/>
  <c r="R9" i="2"/>
  <c r="AK9" i="2" s="1"/>
  <c r="I195" i="7"/>
  <c r="E177" i="7"/>
  <c r="G175" i="7"/>
  <c r="D173" i="7"/>
  <c r="B85" i="7"/>
  <c r="B181" i="7" s="1"/>
  <c r="T23" i="7"/>
  <c r="AB46" i="2"/>
  <c r="AL45" i="2"/>
  <c r="AI45" i="2"/>
  <c r="AJ45" i="2"/>
  <c r="D194" i="7"/>
  <c r="M193" i="7"/>
  <c r="I193" i="7"/>
  <c r="B187" i="7"/>
  <c r="B186" i="7"/>
  <c r="J183" i="7"/>
  <c r="G182" i="7"/>
  <c r="C182" i="7"/>
  <c r="R36" i="7"/>
  <c r="Y36" i="7" s="1"/>
  <c r="E187" i="7"/>
  <c r="K180" i="7"/>
  <c r="AC46" i="2"/>
  <c r="AJ46" i="2"/>
  <c r="D172" i="7"/>
  <c r="R8" i="2"/>
  <c r="J194" i="7"/>
  <c r="D191" i="7"/>
  <c r="H185" i="7"/>
  <c r="D185" i="7"/>
  <c r="I181" i="7"/>
  <c r="G178" i="7"/>
  <c r="E176" i="7"/>
  <c r="J172" i="7"/>
  <c r="F171" i="7"/>
  <c r="AG36" i="2"/>
  <c r="AH36" i="2"/>
  <c r="AE36" i="2"/>
  <c r="AE32" i="2"/>
  <c r="AF32" i="2"/>
  <c r="AH32" i="2"/>
  <c r="AG32" i="2"/>
  <c r="AJ32" i="2"/>
  <c r="AI32" i="2"/>
  <c r="AL30" i="2"/>
  <c r="AK31" i="2"/>
  <c r="AC17" i="2"/>
  <c r="AF17" i="2"/>
  <c r="M99" i="7"/>
  <c r="M195" i="7" s="1"/>
  <c r="S38" i="7"/>
  <c r="I87" i="7"/>
  <c r="I183" i="7" s="1"/>
  <c r="R25" i="7"/>
  <c r="R16" i="7"/>
  <c r="S40" i="7"/>
  <c r="R27" i="7"/>
  <c r="AB15" i="2"/>
  <c r="AH8" i="2"/>
  <c r="AD17" i="2"/>
  <c r="A426" i="2"/>
  <c r="A143" i="2"/>
  <c r="O143" i="2" s="1"/>
  <c r="AK28" i="2"/>
  <c r="AL33" i="2"/>
  <c r="S31" i="7"/>
  <c r="L92" i="7"/>
  <c r="L188" i="7" s="1"/>
  <c r="AE11" i="2"/>
  <c r="AC23" i="2"/>
  <c r="AL42" i="2"/>
  <c r="AA43" i="2"/>
  <c r="AC32" i="2"/>
  <c r="S19" i="7"/>
  <c r="BG63" i="1"/>
  <c r="BC62" i="1"/>
  <c r="BC64" i="1"/>
  <c r="BL64" i="1"/>
  <c r="BL63" i="1"/>
  <c r="BH63" i="1"/>
  <c r="BH62" i="1"/>
  <c r="BD64" i="1"/>
  <c r="BD63" i="1"/>
  <c r="BJ64" i="1"/>
  <c r="BF64" i="1"/>
  <c r="BF62" i="1"/>
  <c r="BB64" i="1"/>
  <c r="BB63" i="1"/>
  <c r="A158" i="2"/>
  <c r="A101" i="2"/>
  <c r="AE35" i="2"/>
  <c r="AD35" i="2"/>
  <c r="AJ35" i="2"/>
  <c r="AG35" i="2"/>
  <c r="A371" i="2"/>
  <c r="A299" i="2"/>
  <c r="Z33" i="2"/>
  <c r="AN33" i="2" s="1"/>
  <c r="A432" i="2"/>
  <c r="AF19" i="2"/>
  <c r="AE19" i="2"/>
  <c r="AJ19" i="2"/>
  <c r="AA18" i="2"/>
  <c r="AK18" i="2"/>
  <c r="Z18" i="2"/>
  <c r="AN18" i="2" s="1"/>
  <c r="A134" i="2"/>
  <c r="O134" i="2" s="1"/>
  <c r="A417" i="2"/>
  <c r="A356" i="2"/>
  <c r="Z15" i="2"/>
  <c r="AN15" i="2" s="1"/>
  <c r="A414" i="2"/>
  <c r="R13" i="2"/>
  <c r="A128" i="2"/>
  <c r="O128" i="2" s="1"/>
  <c r="A278" i="2"/>
  <c r="A202" i="2"/>
  <c r="H101" i="7"/>
  <c r="H197" i="7" s="1"/>
  <c r="R39" i="7"/>
  <c r="Y39" i="7" s="1"/>
  <c r="E100" i="7"/>
  <c r="E196" i="7" s="1"/>
  <c r="R38" i="7"/>
  <c r="Y38" i="7" s="1"/>
  <c r="AA35" i="2"/>
  <c r="AL34" i="2"/>
  <c r="AG29" i="2"/>
  <c r="AE29" i="2"/>
  <c r="AF29" i="2"/>
  <c r="AJ29" i="2"/>
  <c r="AL14" i="2"/>
  <c r="AK15" i="2"/>
  <c r="AE8" i="2"/>
  <c r="A287" i="2"/>
  <c r="AB34" i="2"/>
  <c r="A208" i="2"/>
  <c r="AG11" i="2"/>
  <c r="AK34" i="2"/>
  <c r="A223" i="2"/>
  <c r="E98" i="7"/>
  <c r="E194" i="7" s="1"/>
  <c r="AH11" i="2"/>
  <c r="AI11" i="2"/>
  <c r="A227" i="2"/>
  <c r="A96" i="2"/>
  <c r="Z37" i="2"/>
  <c r="AN37" i="2" s="1"/>
  <c r="AA30" i="2"/>
  <c r="AL29" i="2"/>
  <c r="AA28" i="2"/>
  <c r="AL27" i="2"/>
  <c r="Z27" i="2"/>
  <c r="AN27" i="2" s="1"/>
  <c r="A86" i="2"/>
  <c r="A365" i="2"/>
  <c r="AG23" i="2"/>
  <c r="AI23" i="2"/>
  <c r="AH23" i="2"/>
  <c r="AF23" i="2"/>
  <c r="A420" i="2"/>
  <c r="A359" i="2"/>
  <c r="A132" i="2"/>
  <c r="O132" i="2" s="1"/>
  <c r="A415" i="2"/>
  <c r="A282" i="2"/>
  <c r="Z16" i="2"/>
  <c r="AN16" i="2" s="1"/>
  <c r="AI14" i="2"/>
  <c r="AE14" i="2"/>
  <c r="AJ14" i="2"/>
  <c r="AF14" i="2"/>
  <c r="E94" i="7"/>
  <c r="E190" i="7" s="1"/>
  <c r="R32" i="7"/>
  <c r="Y32" i="7" s="1"/>
  <c r="L88" i="7"/>
  <c r="L184" i="7" s="1"/>
  <c r="S27" i="7"/>
  <c r="AE44" i="2"/>
  <c r="AJ44" i="2"/>
  <c r="AC44" i="2"/>
  <c r="AI44" i="2"/>
  <c r="AD44" i="2"/>
  <c r="AH44" i="2"/>
  <c r="C106" i="7"/>
  <c r="T44" i="7"/>
  <c r="E104" i="7"/>
  <c r="R42" i="7"/>
  <c r="Y42" i="7" s="1"/>
  <c r="AK48" i="2"/>
  <c r="AI8" i="2"/>
  <c r="AC14" i="2"/>
  <c r="AF36" i="2"/>
  <c r="A436" i="2"/>
  <c r="AA44" i="2"/>
  <c r="AB48" i="2"/>
  <c r="AD36" i="2"/>
  <c r="A153" i="2"/>
  <c r="O153" i="2" s="1"/>
  <c r="AC11" i="2"/>
  <c r="A354" i="2"/>
  <c r="AC8" i="2"/>
  <c r="AH17" i="2"/>
  <c r="AB31" i="2"/>
  <c r="AK44" i="2"/>
  <c r="AL47" i="2"/>
  <c r="AB30" i="2"/>
  <c r="AJ36" i="2"/>
  <c r="A375" i="2"/>
  <c r="AJ11" i="2"/>
  <c r="BJ63" i="1"/>
  <c r="AI29" i="2"/>
  <c r="BD62" i="1"/>
  <c r="AF8" i="2"/>
  <c r="A131" i="2"/>
  <c r="O131" i="2" s="1"/>
  <c r="AE17" i="2"/>
  <c r="AJ17" i="2"/>
  <c r="BK62" i="1"/>
  <c r="AA31" i="2"/>
  <c r="AG14" i="2"/>
  <c r="A206" i="2"/>
  <c r="AH29" i="2"/>
  <c r="G99" i="7"/>
  <c r="G195" i="7" s="1"/>
  <c r="R26" i="7"/>
  <c r="Z21" i="2"/>
  <c r="AN21" i="2" s="1"/>
  <c r="Z44" i="2"/>
  <c r="AN44" i="2" s="1"/>
  <c r="A160" i="2"/>
  <c r="AL17" i="2"/>
  <c r="AC19" i="2"/>
  <c r="AC35" i="2"/>
  <c r="A137" i="2"/>
  <c r="O137" i="2" s="1"/>
  <c r="AI17" i="2"/>
  <c r="AF35" i="2"/>
  <c r="AH35" i="2"/>
  <c r="M49" i="10"/>
  <c r="B108" i="7"/>
  <c r="T46" i="7"/>
  <c r="T24" i="7"/>
  <c r="B50" i="10"/>
  <c r="M172" i="10"/>
  <c r="M171" i="10"/>
  <c r="I173" i="10"/>
  <c r="G173" i="10"/>
  <c r="G174" i="10"/>
  <c r="AF27" i="2"/>
  <c r="AE27" i="2"/>
  <c r="A127" i="2"/>
  <c r="O127" i="2" s="1"/>
  <c r="A70" i="2"/>
  <c r="E181" i="7"/>
  <c r="R34" i="7"/>
  <c r="Y34" i="7" s="1"/>
  <c r="H171" i="10"/>
  <c r="H48" i="10"/>
  <c r="G50" i="10"/>
  <c r="M50" i="10"/>
  <c r="G47" i="10"/>
  <c r="C172" i="10"/>
  <c r="I171" i="10"/>
  <c r="A295" i="2"/>
  <c r="AG46" i="2"/>
  <c r="AC27" i="2"/>
  <c r="AJ24" i="2"/>
  <c r="R32" i="2"/>
  <c r="AF20" i="2"/>
  <c r="AC20" i="2"/>
  <c r="AE20" i="2"/>
  <c r="R11" i="2"/>
  <c r="J171" i="7"/>
  <c r="G80" i="7"/>
  <c r="G176" i="7" s="1"/>
  <c r="R18" i="7"/>
  <c r="S44" i="7"/>
  <c r="L105" i="7"/>
  <c r="R25" i="2"/>
  <c r="R21" i="2"/>
  <c r="R10" i="2"/>
  <c r="I186" i="7"/>
  <c r="E186" i="7"/>
  <c r="G180" i="7"/>
  <c r="H175" i="7"/>
  <c r="B171" i="7"/>
  <c r="H190" i="7"/>
  <c r="R42" i="2"/>
  <c r="F193" i="7"/>
  <c r="H191" i="7"/>
  <c r="D186" i="7"/>
  <c r="L185" i="7"/>
  <c r="F184" i="7"/>
  <c r="E171" i="7"/>
  <c r="S11" i="7"/>
  <c r="R33" i="2"/>
  <c r="R22" i="2"/>
  <c r="K191" i="7"/>
  <c r="I190" i="7"/>
  <c r="M188" i="7"/>
  <c r="E188" i="7"/>
  <c r="J187" i="7"/>
  <c r="F177" i="7"/>
  <c r="B173" i="7"/>
  <c r="R6" i="7"/>
  <c r="AI38" i="1"/>
  <c r="AB30" i="8"/>
  <c r="AI29" i="8"/>
  <c r="AK29" i="8"/>
  <c r="A231" i="1"/>
  <c r="T460" i="2"/>
  <c r="T466" i="2" s="1"/>
  <c r="T467" i="2" s="1"/>
  <c r="T459" i="2"/>
  <c r="AA38" i="2"/>
  <c r="AB38" i="2"/>
  <c r="AC30" i="1"/>
  <c r="H192" i="7"/>
  <c r="AH38" i="1"/>
  <c r="AB7" i="8"/>
  <c r="AC35" i="1"/>
  <c r="AF41" i="1"/>
  <c r="AE41" i="1"/>
  <c r="AB41" i="1"/>
  <c r="I460" i="2"/>
  <c r="I466" i="2" s="1"/>
  <c r="I467" i="2" s="1"/>
  <c r="E460" i="2"/>
  <c r="L459" i="2"/>
  <c r="H459" i="2"/>
  <c r="D459" i="2"/>
  <c r="AD21" i="1"/>
  <c r="AB11" i="1"/>
  <c r="AG9" i="1"/>
  <c r="AB9" i="1"/>
  <c r="L460" i="2"/>
  <c r="H460" i="2"/>
  <c r="H466" i="2" s="1"/>
  <c r="H467" i="2" s="1"/>
  <c r="D460" i="2"/>
  <c r="K459" i="2"/>
  <c r="G459" i="2"/>
  <c r="C459" i="2"/>
  <c r="AG37" i="2"/>
  <c r="A410" i="2"/>
  <c r="A409" i="2"/>
  <c r="AG11" i="1"/>
  <c r="K460" i="2"/>
  <c r="K466" i="2" s="1"/>
  <c r="K467" i="2" s="1"/>
  <c r="G460" i="2"/>
  <c r="G466" i="2" s="1"/>
  <c r="G467" i="2" s="1"/>
  <c r="C460" i="2"/>
  <c r="M459" i="2"/>
  <c r="J459" i="2"/>
  <c r="F459" i="2"/>
  <c r="B459" i="2"/>
  <c r="AE37" i="2"/>
  <c r="M460" i="2"/>
  <c r="J460" i="2"/>
  <c r="J466" i="2" s="1"/>
  <c r="J467" i="2" s="1"/>
  <c r="F460" i="2"/>
  <c r="F466" i="2" s="1"/>
  <c r="F467" i="2" s="1"/>
  <c r="B460" i="2"/>
  <c r="Q421" i="2"/>
  <c r="I459" i="2"/>
  <c r="E459" i="2"/>
  <c r="T370" i="2"/>
  <c r="T360" i="2"/>
  <c r="AB31" i="6"/>
  <c r="AB37" i="6" s="1"/>
  <c r="AH26" i="8"/>
  <c r="AF26" i="8"/>
  <c r="AD26" i="8"/>
  <c r="AS59" i="8"/>
  <c r="AD29" i="8"/>
  <c r="AC29" i="8"/>
  <c r="Q13" i="8"/>
  <c r="R17" i="8"/>
  <c r="I80" i="10"/>
  <c r="AU18" i="8"/>
  <c r="AU34" i="8" s="1"/>
  <c r="AH16" i="8"/>
  <c r="AE16" i="8"/>
  <c r="T9" i="7"/>
  <c r="AF21" i="8"/>
  <c r="AP59" i="8"/>
  <c r="AD15" i="8"/>
  <c r="R41" i="2"/>
  <c r="L461" i="2"/>
  <c r="H461" i="2"/>
  <c r="T461" i="2"/>
  <c r="K461" i="2"/>
  <c r="G461" i="2"/>
  <c r="D461" i="2"/>
  <c r="M461" i="2"/>
  <c r="J461" i="2"/>
  <c r="F461" i="2"/>
  <c r="C461" i="2"/>
  <c r="Q441" i="2"/>
  <c r="Q461" i="2" s="1"/>
  <c r="I461" i="2"/>
  <c r="E461" i="2"/>
  <c r="B461" i="2"/>
  <c r="BV63" i="1" l="1"/>
  <c r="I112" i="11"/>
  <c r="S258" i="2"/>
  <c r="D258" i="2" s="1"/>
  <c r="D260" i="2" s="1"/>
  <c r="T37" i="7"/>
  <c r="R62" i="2"/>
  <c r="BV62" i="1"/>
  <c r="AH23" i="1"/>
  <c r="AH37" i="1"/>
  <c r="AA29" i="1"/>
  <c r="Y22" i="1"/>
  <c r="AA22" i="1"/>
  <c r="Y34" i="1"/>
  <c r="A445" i="15"/>
  <c r="A384" i="15"/>
  <c r="A103" i="15"/>
  <c r="Z44" i="15"/>
  <c r="AN44" i="15" s="1"/>
  <c r="A160" i="15"/>
  <c r="O160" i="15" s="1"/>
  <c r="A235" i="15"/>
  <c r="A312" i="15"/>
  <c r="AA34" i="1"/>
  <c r="AI40" i="1"/>
  <c r="AI33" i="1"/>
  <c r="AH40" i="1"/>
  <c r="Z41" i="1"/>
  <c r="A160" i="8"/>
  <c r="A105" i="8"/>
  <c r="AA41" i="1"/>
  <c r="A44" i="6"/>
  <c r="A45" i="15"/>
  <c r="A44" i="7"/>
  <c r="A153" i="7" s="1"/>
  <c r="A109" i="15"/>
  <c r="Z50" i="15"/>
  <c r="AN50" i="15" s="1"/>
  <c r="A390" i="15"/>
  <c r="A451" i="15"/>
  <c r="A318" i="15"/>
  <c r="A241" i="15"/>
  <c r="A166" i="15"/>
  <c r="O166" i="15" s="1"/>
  <c r="Y41" i="1"/>
  <c r="AJ33" i="1"/>
  <c r="A51" i="15"/>
  <c r="A50" i="8"/>
  <c r="A50" i="6"/>
  <c r="A50" i="7"/>
  <c r="AA8" i="1"/>
  <c r="P64" i="1"/>
  <c r="P63" i="1"/>
  <c r="P62" i="1"/>
  <c r="L259" i="2"/>
  <c r="Q258" i="2"/>
  <c r="L258" i="2" s="1"/>
  <c r="V258" i="2"/>
  <c r="M258" i="2" s="1"/>
  <c r="M259" i="2"/>
  <c r="AJ21" i="8"/>
  <c r="AE59" i="8"/>
  <c r="AB8" i="8"/>
  <c r="AA26" i="8"/>
  <c r="Z12" i="8"/>
  <c r="Z26" i="8"/>
  <c r="AK11" i="8"/>
  <c r="AA12" i="8"/>
  <c r="AB11" i="8"/>
  <c r="AK13" i="8"/>
  <c r="AB26" i="8"/>
  <c r="AI13" i="8"/>
  <c r="AJ17" i="8"/>
  <c r="AK25" i="8"/>
  <c r="AB14" i="8"/>
  <c r="AK17" i="8"/>
  <c r="AJ25" i="8"/>
  <c r="AA14" i="8"/>
  <c r="T31" i="7"/>
  <c r="R31" i="7"/>
  <c r="Y31" i="7" s="1"/>
  <c r="A46" i="1"/>
  <c r="Z36" i="1"/>
  <c r="A165" i="1"/>
  <c r="O165" i="1" s="1"/>
  <c r="A45" i="2"/>
  <c r="A444" i="2" s="1"/>
  <c r="A44" i="8"/>
  <c r="A100" i="8" s="1"/>
  <c r="AH26" i="1"/>
  <c r="A44" i="5"/>
  <c r="A110" i="1"/>
  <c r="Y27" i="1"/>
  <c r="X45" i="1"/>
  <c r="AL45" i="1" s="1"/>
  <c r="AZ45" i="1" s="1"/>
  <c r="BN45" i="1" s="1"/>
  <c r="Z20" i="1"/>
  <c r="Y31" i="1"/>
  <c r="AA20" i="1"/>
  <c r="AJ19" i="1"/>
  <c r="Y36" i="1"/>
  <c r="A43" i="13"/>
  <c r="P43" i="13" s="1"/>
  <c r="AI22" i="1"/>
  <c r="AI26" i="1"/>
  <c r="Z8" i="1"/>
  <c r="Z27" i="1"/>
  <c r="AJ26" i="1"/>
  <c r="AA30" i="1"/>
  <c r="AH29" i="1"/>
  <c r="Z30" i="1"/>
  <c r="AJ29" i="1"/>
  <c r="A449" i="2"/>
  <c r="A240" i="2"/>
  <c r="A109" i="2"/>
  <c r="A316" i="2"/>
  <c r="A388" i="2"/>
  <c r="A50" i="5"/>
  <c r="A49" i="13"/>
  <c r="P49" i="13" s="1"/>
  <c r="AI29" i="1"/>
  <c r="Z43" i="1"/>
  <c r="AA43" i="1"/>
  <c r="AH42" i="1"/>
  <c r="AJ42" i="1"/>
  <c r="AH50" i="1"/>
  <c r="AD34" i="8"/>
  <c r="AK31" i="8"/>
  <c r="AK20" i="8"/>
  <c r="AJ6" i="8"/>
  <c r="AJ61" i="8" s="1"/>
  <c r="AJ20" i="8"/>
  <c r="AI6" i="8"/>
  <c r="AI60" i="8" s="1"/>
  <c r="Z21" i="8"/>
  <c r="AA7" i="8"/>
  <c r="AK34" i="8"/>
  <c r="AK61" i="8"/>
  <c r="AK59" i="8"/>
  <c r="AB10" i="8"/>
  <c r="Z7" i="8"/>
  <c r="AB21" i="8"/>
  <c r="Z10" i="8"/>
  <c r="AA34" i="8"/>
  <c r="AA59" i="8"/>
  <c r="AA60" i="8"/>
  <c r="AA61" i="8"/>
  <c r="AJ10" i="8"/>
  <c r="Z18" i="8"/>
  <c r="AI17" i="8"/>
  <c r="AB18" i="8"/>
  <c r="AJ13" i="8"/>
  <c r="AA19" i="8"/>
  <c r="AJ18" i="8"/>
  <c r="AB19" i="8"/>
  <c r="A52" i="1"/>
  <c r="X51" i="1"/>
  <c r="AL51" i="1" s="1"/>
  <c r="AZ51" i="1" s="1"/>
  <c r="BN51" i="1" s="1"/>
  <c r="A116" i="1"/>
  <c r="A171" i="1"/>
  <c r="O171" i="1" s="1"/>
  <c r="A237" i="1"/>
  <c r="A51" i="2"/>
  <c r="AA9" i="1"/>
  <c r="Y9" i="1"/>
  <c r="Y24" i="1"/>
  <c r="Z45" i="1"/>
  <c r="AH41" i="1"/>
  <c r="AA45" i="1"/>
  <c r="Z24" i="1"/>
  <c r="AH44" i="1"/>
  <c r="AI23" i="1"/>
  <c r="AJ23" i="1"/>
  <c r="Y38" i="1"/>
  <c r="AA38" i="1"/>
  <c r="AI44" i="1"/>
  <c r="AJ37" i="1"/>
  <c r="AA25" i="1"/>
  <c r="AJ24" i="1"/>
  <c r="AI37" i="1"/>
  <c r="Z25" i="1"/>
  <c r="AJ44" i="1"/>
  <c r="Y51" i="1"/>
  <c r="AI12" i="1"/>
  <c r="Z13" i="1"/>
  <c r="Y13" i="1"/>
  <c r="AA13" i="1"/>
  <c r="AJ12" i="1"/>
  <c r="AJ8" i="1"/>
  <c r="Z15" i="1"/>
  <c r="AI18" i="1"/>
  <c r="AI14" i="1"/>
  <c r="AI8" i="1"/>
  <c r="AA15" i="1"/>
  <c r="AH18" i="1"/>
  <c r="AH8" i="1"/>
  <c r="AA17" i="1"/>
  <c r="Z19" i="1"/>
  <c r="Y17" i="1"/>
  <c r="Y19" i="1"/>
  <c r="AA19" i="1"/>
  <c r="AI28" i="8"/>
  <c r="AK23" i="8"/>
  <c r="AA30" i="8"/>
  <c r="Z9" i="8"/>
  <c r="Z30" i="8"/>
  <c r="AB12" i="8"/>
  <c r="AJ11" i="8"/>
  <c r="AA29" i="8"/>
  <c r="AB29" i="8"/>
  <c r="AI23" i="8"/>
  <c r="AJ23" i="8"/>
  <c r="Z24" i="8"/>
  <c r="AB24" i="8"/>
  <c r="AI9" i="8"/>
  <c r="W186" i="2"/>
  <c r="W187" i="2" s="1"/>
  <c r="Z178" i="2"/>
  <c r="L178" i="2" s="1"/>
  <c r="L179" i="2" s="1"/>
  <c r="Z186" i="2"/>
  <c r="Z187" i="2" s="1"/>
  <c r="R186" i="2"/>
  <c r="R187" i="2" s="1"/>
  <c r="Q178" i="2"/>
  <c r="C178" i="2" s="1"/>
  <c r="C179" i="2" s="1"/>
  <c r="AI43" i="1"/>
  <c r="AJ43" i="1"/>
  <c r="Z34" i="1"/>
  <c r="AJ41" i="1"/>
  <c r="AA42" i="1"/>
  <c r="AI41" i="1"/>
  <c r="Z42" i="1"/>
  <c r="Y23" i="1"/>
  <c r="AI16" i="1"/>
  <c r="T186" i="2"/>
  <c r="T187" i="2" s="1"/>
  <c r="T34" i="7"/>
  <c r="U182" i="2"/>
  <c r="U183" i="2" s="1"/>
  <c r="Q186" i="2"/>
  <c r="Q187" i="2" s="1"/>
  <c r="Y186" i="2"/>
  <c r="Y187" i="2" s="1"/>
  <c r="W182" i="2"/>
  <c r="W183" i="2" s="1"/>
  <c r="S186" i="2"/>
  <c r="S187" i="2" s="1"/>
  <c r="AA186" i="2"/>
  <c r="AA187" i="2" s="1"/>
  <c r="X186" i="2"/>
  <c r="X187" i="2" s="1"/>
  <c r="Q182" i="2"/>
  <c r="Q183" i="2" s="1"/>
  <c r="Y182" i="2"/>
  <c r="Y183" i="2" s="1"/>
  <c r="X182" i="2"/>
  <c r="X183" i="2" s="1"/>
  <c r="U186" i="2"/>
  <c r="U187" i="2" s="1"/>
  <c r="S182" i="2"/>
  <c r="S183" i="2" s="1"/>
  <c r="AA182" i="2"/>
  <c r="AA183" i="2" s="1"/>
  <c r="O156" i="2"/>
  <c r="R182" i="2"/>
  <c r="R183" i="2" s="1"/>
  <c r="Z182" i="2"/>
  <c r="Z183" i="2" s="1"/>
  <c r="V186" i="2"/>
  <c r="V187" i="2" s="1"/>
  <c r="O159" i="2"/>
  <c r="O160" i="2"/>
  <c r="O158" i="2"/>
  <c r="T182" i="2"/>
  <c r="T183" i="2" s="1"/>
  <c r="L74" i="11"/>
  <c r="L111" i="11"/>
  <c r="Y178" i="2"/>
  <c r="K178" i="2" s="1"/>
  <c r="K179" i="2" s="1"/>
  <c r="E93" i="7"/>
  <c r="E189" i="7" s="1"/>
  <c r="T396" i="2"/>
  <c r="D111" i="11"/>
  <c r="S29" i="7"/>
  <c r="Q29" i="7" s="1"/>
  <c r="X29" i="7" s="1"/>
  <c r="I111" i="11"/>
  <c r="R178" i="2"/>
  <c r="D178" i="2" s="1"/>
  <c r="D179" i="2" s="1"/>
  <c r="AH51" i="1"/>
  <c r="Z52" i="1"/>
  <c r="AI51" i="1"/>
  <c r="AA52" i="1"/>
  <c r="Y52" i="1"/>
  <c r="AJ51" i="1"/>
  <c r="AH47" i="1"/>
  <c r="Z48" i="1"/>
  <c r="AI47" i="1"/>
  <c r="AA48" i="1"/>
  <c r="Y48" i="1"/>
  <c r="AJ47" i="1"/>
  <c r="AH46" i="1"/>
  <c r="Z47" i="1"/>
  <c r="AJ46" i="1"/>
  <c r="AI46" i="1"/>
  <c r="AA47" i="1"/>
  <c r="Y47" i="1"/>
  <c r="AJ22" i="8"/>
  <c r="AI22" i="8"/>
  <c r="AB23" i="8"/>
  <c r="AH48" i="1"/>
  <c r="Z49" i="1"/>
  <c r="AJ48" i="1"/>
  <c r="Y49" i="1"/>
  <c r="AI48" i="1"/>
  <c r="AA49" i="1"/>
  <c r="AH16" i="1"/>
  <c r="Z17" i="1"/>
  <c r="J75" i="11"/>
  <c r="Q41" i="7"/>
  <c r="X41" i="7" s="1"/>
  <c r="AJ9" i="8"/>
  <c r="AA37" i="1"/>
  <c r="AJ36" i="1"/>
  <c r="Y37" i="1"/>
  <c r="AH36" i="1"/>
  <c r="Z37" i="1"/>
  <c r="AH49" i="1"/>
  <c r="Z50" i="1"/>
  <c r="AI49" i="1"/>
  <c r="AA50" i="1"/>
  <c r="AJ49" i="1"/>
  <c r="Y50" i="1"/>
  <c r="Z11" i="8"/>
  <c r="AK10" i="8"/>
  <c r="AA11" i="8"/>
  <c r="E466" i="2"/>
  <c r="E467" i="2" s="1"/>
  <c r="B112" i="11"/>
  <c r="AI45" i="1"/>
  <c r="Z46" i="1"/>
  <c r="AA46" i="1"/>
  <c r="Y46" i="1"/>
  <c r="AK8" i="8"/>
  <c r="AJ8" i="8"/>
  <c r="AA22" i="8"/>
  <c r="AI8" i="8"/>
  <c r="Y25" i="1"/>
  <c r="AH24" i="1"/>
  <c r="T397" i="2"/>
  <c r="AH27" i="1"/>
  <c r="AA28" i="1"/>
  <c r="Z23" i="8"/>
  <c r="AK9" i="8"/>
  <c r="AK22" i="8"/>
  <c r="Q397" i="2"/>
  <c r="Q402" i="2" s="1"/>
  <c r="Y29" i="1"/>
  <c r="Z29" i="1"/>
  <c r="AI28" i="1"/>
  <c r="AJ28" i="1"/>
  <c r="H113" i="11"/>
  <c r="Z20" i="8"/>
  <c r="AI19" i="8"/>
  <c r="AJ19" i="8"/>
  <c r="AA20" i="8"/>
  <c r="AB20" i="8"/>
  <c r="AK19" i="8"/>
  <c r="AG34" i="8"/>
  <c r="AG61" i="8"/>
  <c r="AI34" i="8"/>
  <c r="AI59" i="8"/>
  <c r="AE60" i="8"/>
  <c r="AE61" i="8"/>
  <c r="AJ59" i="8"/>
  <c r="Z22" i="8"/>
  <c r="Z29" i="8"/>
  <c r="AK28" i="8"/>
  <c r="AB34" i="8"/>
  <c r="AB60" i="8"/>
  <c r="AB61" i="8"/>
  <c r="AB59" i="8"/>
  <c r="AB31" i="8"/>
  <c r="AK30" i="8"/>
  <c r="Z31" i="8"/>
  <c r="AA31" i="8"/>
  <c r="AJ30" i="8"/>
  <c r="AI30" i="8"/>
  <c r="Z59" i="8"/>
  <c r="Z60" i="8"/>
  <c r="Z61" i="8"/>
  <c r="Z34" i="8"/>
  <c r="AJ34" i="8"/>
  <c r="AB22" i="8"/>
  <c r="AI61" i="8"/>
  <c r="AG59" i="8"/>
  <c r="AG60" i="8"/>
  <c r="AI21" i="8"/>
  <c r="Z17" i="8"/>
  <c r="AB17" i="8"/>
  <c r="AI16" i="8"/>
  <c r="AA17" i="8"/>
  <c r="AJ16" i="8"/>
  <c r="AK16" i="8"/>
  <c r="AA32" i="8"/>
  <c r="Z32" i="8"/>
  <c r="AB32" i="8"/>
  <c r="E111" i="11"/>
  <c r="Q31" i="7"/>
  <c r="X31" i="7" s="1"/>
  <c r="Q11" i="7"/>
  <c r="Q19" i="7"/>
  <c r="Q40" i="7"/>
  <c r="X40" i="7" s="1"/>
  <c r="J113" i="11"/>
  <c r="X178" i="2"/>
  <c r="J178" i="2" s="1"/>
  <c r="J179" i="2" s="1"/>
  <c r="E112" i="11"/>
  <c r="G112" i="11"/>
  <c r="E73" i="11"/>
  <c r="V178" i="2"/>
  <c r="H178" i="2" s="1"/>
  <c r="H179" i="2" s="1"/>
  <c r="A166" i="2"/>
  <c r="Q26" i="7"/>
  <c r="Q17" i="7"/>
  <c r="Q10" i="7"/>
  <c r="Q15" i="7"/>
  <c r="Z50" i="2"/>
  <c r="AN50" i="2" s="1"/>
  <c r="AA178" i="2"/>
  <c r="M178" i="2" s="1"/>
  <c r="M179" i="2" s="1"/>
  <c r="G74" i="11"/>
  <c r="B111" i="11"/>
  <c r="G113" i="11"/>
  <c r="U178" i="2"/>
  <c r="G178" i="2" s="1"/>
  <c r="G179" i="2" s="1"/>
  <c r="E113" i="11"/>
  <c r="Q20" i="7"/>
  <c r="S178" i="2"/>
  <c r="E178" i="2" s="1"/>
  <c r="E179" i="2" s="1"/>
  <c r="AG62" i="2"/>
  <c r="AA27" i="2"/>
  <c r="Q23" i="7"/>
  <c r="Q14" i="7"/>
  <c r="S34" i="7"/>
  <c r="F73" i="11"/>
  <c r="AD61" i="2"/>
  <c r="AJ62" i="2"/>
  <c r="AG60" i="2"/>
  <c r="J111" i="11"/>
  <c r="F111" i="11"/>
  <c r="H73" i="11"/>
  <c r="K74" i="11"/>
  <c r="M113" i="11"/>
  <c r="AF62" i="2"/>
  <c r="AF60" i="2"/>
  <c r="AF61" i="2"/>
  <c r="AE62" i="2"/>
  <c r="AE60" i="2"/>
  <c r="AE61" i="2"/>
  <c r="Q22" i="7"/>
  <c r="C73" i="11"/>
  <c r="C111" i="11"/>
  <c r="C75" i="11"/>
  <c r="AJ60" i="2"/>
  <c r="AG61" i="2"/>
  <c r="Q24" i="7"/>
  <c r="AH62" i="2"/>
  <c r="AH61" i="2"/>
  <c r="AH60" i="2"/>
  <c r="E75" i="11"/>
  <c r="M111" i="11"/>
  <c r="J74" i="11"/>
  <c r="F74" i="11"/>
  <c r="K112" i="11"/>
  <c r="AD60" i="2"/>
  <c r="AJ61" i="2"/>
  <c r="AI62" i="2"/>
  <c r="AI61" i="2"/>
  <c r="AI60" i="2"/>
  <c r="C74" i="11"/>
  <c r="B73" i="11"/>
  <c r="G73" i="11"/>
  <c r="AD62" i="2"/>
  <c r="AC60" i="2"/>
  <c r="AC61" i="2"/>
  <c r="AC62" i="2"/>
  <c r="Q36" i="7"/>
  <c r="X36" i="7" s="1"/>
  <c r="Q33" i="7"/>
  <c r="X33" i="7" s="1"/>
  <c r="Q42" i="7"/>
  <c r="X42" i="7" s="1"/>
  <c r="AA39" i="1"/>
  <c r="Q46" i="7"/>
  <c r="X46" i="7" s="1"/>
  <c r="Q27" i="7"/>
  <c r="AJ10" i="1"/>
  <c r="AJ38" i="1"/>
  <c r="Q30" i="7"/>
  <c r="X30" i="7" s="1"/>
  <c r="F112" i="11"/>
  <c r="G75" i="11"/>
  <c r="B75" i="11"/>
  <c r="K73" i="11"/>
  <c r="J73" i="11"/>
  <c r="H75" i="11"/>
  <c r="Y44" i="1"/>
  <c r="AI35" i="1"/>
  <c r="AH35" i="1"/>
  <c r="AJ35" i="1"/>
  <c r="AH10" i="1"/>
  <c r="AI42" i="1"/>
  <c r="Y20" i="1"/>
  <c r="AI19" i="1"/>
  <c r="H111" i="11"/>
  <c r="G111" i="11"/>
  <c r="Q7" i="7"/>
  <c r="Q35" i="7"/>
  <c r="X35" i="7" s="1"/>
  <c r="K113" i="11"/>
  <c r="K75" i="11"/>
  <c r="T38" i="7"/>
  <c r="Q38" i="7" s="1"/>
  <c r="X38" i="7" s="1"/>
  <c r="Y11" i="1"/>
  <c r="AH31" i="1"/>
  <c r="Q18" i="7"/>
  <c r="J112" i="11"/>
  <c r="Q47" i="7"/>
  <c r="X47" i="7" s="1"/>
  <c r="K111" i="11"/>
  <c r="AA28" i="8"/>
  <c r="AB28" i="8"/>
  <c r="AI27" i="8"/>
  <c r="AK27" i="8"/>
  <c r="Z28" i="8"/>
  <c r="AJ27" i="8"/>
  <c r="AH60" i="8"/>
  <c r="AH61" i="8"/>
  <c r="AH59" i="8"/>
  <c r="AH34" i="8"/>
  <c r="Q37" i="7"/>
  <c r="X37" i="7" s="1"/>
  <c r="AJ31" i="1"/>
  <c r="AJ14" i="1"/>
  <c r="B113" i="11"/>
  <c r="M73" i="11"/>
  <c r="T178" i="2"/>
  <c r="F178" i="2" s="1"/>
  <c r="F179" i="2" s="1"/>
  <c r="AI31" i="1"/>
  <c r="Y32" i="1"/>
  <c r="AJ45" i="1"/>
  <c r="Z45" i="2"/>
  <c r="AN45" i="2" s="1"/>
  <c r="Q12" i="7"/>
  <c r="AI14" i="8"/>
  <c r="AA15" i="8"/>
  <c r="Z15" i="8"/>
  <c r="AJ14" i="8"/>
  <c r="AB15" i="8"/>
  <c r="AK14" i="8"/>
  <c r="C113" i="11"/>
  <c r="AF34" i="8"/>
  <c r="AF59" i="8"/>
  <c r="AF61" i="8"/>
  <c r="AF60" i="8"/>
  <c r="A47" i="1"/>
  <c r="A45" i="6"/>
  <c r="A45" i="5"/>
  <c r="A232" i="1"/>
  <c r="A44" i="13"/>
  <c r="P44" i="13" s="1"/>
  <c r="A166" i="1"/>
  <c r="O166" i="1" s="1"/>
  <c r="A46" i="2"/>
  <c r="A111" i="1"/>
  <c r="A45" i="8"/>
  <c r="X46" i="1"/>
  <c r="AL46" i="1" s="1"/>
  <c r="AZ46" i="1" s="1"/>
  <c r="BN46" i="1" s="1"/>
  <c r="AH45" i="1"/>
  <c r="Z23" i="1"/>
  <c r="AA32" i="1"/>
  <c r="C112" i="11"/>
  <c r="Y15" i="1"/>
  <c r="AB16" i="8"/>
  <c r="AA16" i="8"/>
  <c r="AK15" i="8"/>
  <c r="Z16" i="8"/>
  <c r="AI15" i="8"/>
  <c r="AJ15" i="8"/>
  <c r="AJ24" i="8"/>
  <c r="Z25" i="8"/>
  <c r="AK24" i="8"/>
  <c r="AB25" i="8"/>
  <c r="AI24" i="8"/>
  <c r="AA25" i="8"/>
  <c r="AD59" i="8"/>
  <c r="AD60" i="8"/>
  <c r="AA11" i="1"/>
  <c r="AI10" i="1"/>
  <c r="Q28" i="7"/>
  <c r="X28" i="7" s="1"/>
  <c r="Z44" i="1"/>
  <c r="AA44" i="1"/>
  <c r="Q13" i="7"/>
  <c r="Q8" i="7"/>
  <c r="Q45" i="7"/>
  <c r="X45" i="7" s="1"/>
  <c r="Q16" i="7"/>
  <c r="Q21" i="7"/>
  <c r="Q32" i="7"/>
  <c r="X32" i="7" s="1"/>
  <c r="Q39" i="7"/>
  <c r="X39" i="7" s="1"/>
  <c r="AA9" i="2"/>
  <c r="AB24" i="2"/>
  <c r="AL23" i="2"/>
  <c r="AA24" i="2"/>
  <c r="AK27" i="2"/>
  <c r="AB27" i="2"/>
  <c r="Q25" i="7"/>
  <c r="Q9" i="7"/>
  <c r="AA23" i="1"/>
  <c r="AE63" i="1"/>
  <c r="AH15" i="1"/>
  <c r="Y16" i="1"/>
  <c r="AI15" i="1"/>
  <c r="AA16" i="1"/>
  <c r="Z16" i="1"/>
  <c r="AJ15" i="1"/>
  <c r="AH11" i="1"/>
  <c r="AA12" i="1"/>
  <c r="Y12" i="1"/>
  <c r="AJ11" i="1"/>
  <c r="AI11" i="1"/>
  <c r="Z12" i="1"/>
  <c r="AJ34" i="1"/>
  <c r="AI34" i="1"/>
  <c r="Y35" i="1"/>
  <c r="AH34" i="1"/>
  <c r="AA35" i="1"/>
  <c r="Z35" i="1"/>
  <c r="W178" i="2"/>
  <c r="I178" i="2" s="1"/>
  <c r="I179" i="2" s="1"/>
  <c r="AK8" i="2"/>
  <c r="AB8" i="2"/>
  <c r="AA8" i="2"/>
  <c r="AB16" i="2"/>
  <c r="AL15" i="2"/>
  <c r="AK16" i="2"/>
  <c r="AB9" i="2"/>
  <c r="AL8" i="2"/>
  <c r="AA19" i="2"/>
  <c r="AB19" i="2"/>
  <c r="AL18" i="2"/>
  <c r="AK19" i="2"/>
  <c r="Q43" i="7"/>
  <c r="X43" i="7" s="1"/>
  <c r="AB13" i="2"/>
  <c r="AA13" i="2"/>
  <c r="AL12" i="2"/>
  <c r="AK13" i="2"/>
  <c r="AL21" i="2"/>
  <c r="AK22" i="2"/>
  <c r="AA22" i="2"/>
  <c r="AB22" i="2"/>
  <c r="AK25" i="2"/>
  <c r="AB25" i="2"/>
  <c r="AL24" i="2"/>
  <c r="AA25" i="2"/>
  <c r="AK21" i="2"/>
  <c r="AA21" i="2"/>
  <c r="AB21" i="2"/>
  <c r="AL20" i="2"/>
  <c r="AL10" i="2"/>
  <c r="AB11" i="2"/>
  <c r="AA11" i="2"/>
  <c r="AK11" i="2"/>
  <c r="Q44" i="7"/>
  <c r="X44" i="7" s="1"/>
  <c r="AL31" i="2"/>
  <c r="AA32" i="2"/>
  <c r="AK32" i="2"/>
  <c r="AB32" i="2"/>
  <c r="AL32" i="2"/>
  <c r="AA33" i="2"/>
  <c r="AK33" i="2"/>
  <c r="AB33" i="2"/>
  <c r="AK42" i="2"/>
  <c r="AB42" i="2"/>
  <c r="AA42" i="2"/>
  <c r="AL41" i="2"/>
  <c r="AK10" i="2"/>
  <c r="AL9" i="2"/>
  <c r="AB10" i="2"/>
  <c r="AA10" i="2"/>
  <c r="AC63" i="1"/>
  <c r="AC62" i="1"/>
  <c r="AE64" i="1"/>
  <c r="AC64" i="1"/>
  <c r="AF17" i="8"/>
  <c r="AE17" i="8"/>
  <c r="AC17" i="8"/>
  <c r="AH17" i="8"/>
  <c r="AG17" i="8"/>
  <c r="AD17" i="8"/>
  <c r="AD64" i="1"/>
  <c r="AD63" i="1"/>
  <c r="AD62" i="1"/>
  <c r="AE62" i="1"/>
  <c r="AL40" i="2"/>
  <c r="AK41" i="2"/>
  <c r="AB41" i="2"/>
  <c r="AA41" i="2"/>
  <c r="AB13" i="8"/>
  <c r="AI12" i="8"/>
  <c r="AJ12" i="8"/>
  <c r="AK12" i="8"/>
  <c r="AA13" i="8"/>
  <c r="Z13" i="8"/>
  <c r="AB64" i="1"/>
  <c r="AB62" i="1"/>
  <c r="AB63" i="1"/>
  <c r="Q460" i="2"/>
  <c r="Q466" i="2" s="1"/>
  <c r="Q467" i="2" s="1"/>
  <c r="AU59" i="8"/>
  <c r="AU60" i="8"/>
  <c r="Q459" i="2"/>
  <c r="AG62" i="1"/>
  <c r="AG64" i="1"/>
  <c r="AG63" i="1"/>
  <c r="AF63" i="1"/>
  <c r="AF62" i="1"/>
  <c r="AF64" i="1"/>
  <c r="M260" i="2" l="1"/>
  <c r="A106" i="7"/>
  <c r="A202" i="7"/>
  <c r="A383" i="2"/>
  <c r="A311" i="2"/>
  <c r="A104" i="2"/>
  <c r="A161" i="2"/>
  <c r="O161" i="2" s="1"/>
  <c r="A45" i="13"/>
  <c r="P45" i="13" s="1"/>
  <c r="A47" i="15"/>
  <c r="A46" i="8"/>
  <c r="A157" i="8" s="1"/>
  <c r="A46" i="7"/>
  <c r="A52" i="15"/>
  <c r="A51" i="8"/>
  <c r="A51" i="6"/>
  <c r="A51" i="7"/>
  <c r="A106" i="8"/>
  <c r="A161" i="8"/>
  <c r="Z45" i="15"/>
  <c r="AN45" i="15" s="1"/>
  <c r="A104" i="15"/>
  <c r="A385" i="15"/>
  <c r="A161" i="15"/>
  <c r="O161" i="15" s="1"/>
  <c r="A446" i="15"/>
  <c r="A313" i="15"/>
  <c r="A236" i="15"/>
  <c r="A110" i="15"/>
  <c r="A319" i="15"/>
  <c r="Z51" i="15"/>
  <c r="AN51" i="15" s="1"/>
  <c r="A242" i="15"/>
  <c r="A167" i="15"/>
  <c r="O167" i="15" s="1"/>
  <c r="A452" i="15"/>
  <c r="A391" i="15"/>
  <c r="A46" i="15"/>
  <c r="A45" i="7"/>
  <c r="A107" i="7" s="1"/>
  <c r="L260" i="2"/>
  <c r="AJ60" i="8"/>
  <c r="A155" i="8"/>
  <c r="A235" i="2"/>
  <c r="A312" i="2"/>
  <c r="A384" i="2"/>
  <c r="A445" i="2"/>
  <c r="A236" i="2"/>
  <c r="A50" i="13"/>
  <c r="P50" i="13" s="1"/>
  <c r="A51" i="5"/>
  <c r="A450" i="2"/>
  <c r="A241" i="2"/>
  <c r="A167" i="2"/>
  <c r="O167" i="2" s="1"/>
  <c r="A110" i="2"/>
  <c r="A317" i="2"/>
  <c r="A389" i="2"/>
  <c r="Z51" i="2"/>
  <c r="AN51" i="2" s="1"/>
  <c r="A53" i="1"/>
  <c r="A117" i="1"/>
  <c r="X52" i="1"/>
  <c r="AL52" i="1" s="1"/>
  <c r="AZ52" i="1" s="1"/>
  <c r="BN52" i="1" s="1"/>
  <c r="A52" i="2"/>
  <c r="Z52" i="2" s="1"/>
  <c r="AN52" i="2" s="1"/>
  <c r="A172" i="1"/>
  <c r="O172" i="1" s="1"/>
  <c r="A238" i="1"/>
  <c r="Q34" i="7"/>
  <c r="X34" i="7" s="1"/>
  <c r="Y62" i="1"/>
  <c r="AH64" i="1"/>
  <c r="O166" i="2"/>
  <c r="AK62" i="2"/>
  <c r="AK61" i="2"/>
  <c r="AK60" i="2"/>
  <c r="AL62" i="2"/>
  <c r="AL61" i="2"/>
  <c r="AL60" i="2"/>
  <c r="AA60" i="2"/>
  <c r="AA62" i="2"/>
  <c r="AA61" i="2"/>
  <c r="AB61" i="2"/>
  <c r="AB60" i="2"/>
  <c r="AB62" i="2"/>
  <c r="Z63" i="1"/>
  <c r="Y63" i="1"/>
  <c r="AH62" i="1"/>
  <c r="A162" i="2"/>
  <c r="Z46" i="2"/>
  <c r="AN46" i="2" s="1"/>
  <c r="A105" i="2"/>
  <c r="AA62" i="1"/>
  <c r="AJ64" i="1"/>
  <c r="A101" i="8"/>
  <c r="A156" i="8"/>
  <c r="A46" i="5"/>
  <c r="X47" i="1"/>
  <c r="AL47" i="1" s="1"/>
  <c r="AZ47" i="1" s="1"/>
  <c r="BN47" i="1" s="1"/>
  <c r="A46" i="6"/>
  <c r="A112" i="1"/>
  <c r="A48" i="1"/>
  <c r="A47" i="2"/>
  <c r="A233" i="1"/>
  <c r="A167" i="1"/>
  <c r="O167" i="1" s="1"/>
  <c r="AJ63" i="1"/>
  <c r="AA64" i="1"/>
  <c r="AI64" i="1"/>
  <c r="AH63" i="1"/>
  <c r="Y64" i="1"/>
  <c r="AA63" i="1"/>
  <c r="Z64" i="1"/>
  <c r="AI63" i="1"/>
  <c r="AI62" i="1"/>
  <c r="AJ62" i="1"/>
  <c r="Z62" i="1"/>
  <c r="A203" i="7" l="1"/>
  <c r="A154" i="7"/>
  <c r="A162" i="8"/>
  <c r="A107" i="8"/>
  <c r="Z52" i="15"/>
  <c r="AN52" i="15" s="1"/>
  <c r="A111" i="15"/>
  <c r="A453" i="15"/>
  <c r="A392" i="15"/>
  <c r="A168" i="15"/>
  <c r="O168" i="15" s="1"/>
  <c r="A243" i="15"/>
  <c r="A320" i="15"/>
  <c r="A53" i="15"/>
  <c r="A52" i="8"/>
  <c r="A52" i="7"/>
  <c r="A52" i="6"/>
  <c r="A315" i="15"/>
  <c r="A106" i="15"/>
  <c r="A238" i="15"/>
  <c r="A163" i="15"/>
  <c r="O163" i="15" s="1"/>
  <c r="A387" i="15"/>
  <c r="Z47" i="15"/>
  <c r="AN47" i="15" s="1"/>
  <c r="A448" i="15"/>
  <c r="A48" i="15"/>
  <c r="A47" i="8"/>
  <c r="A158" i="8" s="1"/>
  <c r="A47" i="7"/>
  <c r="A447" i="15"/>
  <c r="A105" i="15"/>
  <c r="Z46" i="15"/>
  <c r="AN46" i="15" s="1"/>
  <c r="A314" i="15"/>
  <c r="A386" i="15"/>
  <c r="A237" i="15"/>
  <c r="A162" i="15"/>
  <c r="O162" i="15" s="1"/>
  <c r="A47" i="5"/>
  <c r="A46" i="13"/>
  <c r="P46" i="13" s="1"/>
  <c r="A168" i="2"/>
  <c r="O168" i="2" s="1"/>
  <c r="A451" i="2"/>
  <c r="A242" i="2"/>
  <c r="A111" i="2"/>
  <c r="A390" i="2"/>
  <c r="A318" i="2"/>
  <c r="A53" i="2"/>
  <c r="Z53" i="2" s="1"/>
  <c r="A52" i="5"/>
  <c r="A51" i="13"/>
  <c r="P51" i="13" s="1"/>
  <c r="A385" i="2"/>
  <c r="A446" i="2"/>
  <c r="A237" i="2"/>
  <c r="A313" i="2"/>
  <c r="A118" i="1"/>
  <c r="A54" i="1"/>
  <c r="X53" i="1"/>
  <c r="AL53" i="1" s="1"/>
  <c r="AZ53" i="1" s="1"/>
  <c r="BN53" i="1" s="1"/>
  <c r="A239" i="1"/>
  <c r="A173" i="1"/>
  <c r="O173" i="1" s="1"/>
  <c r="O162" i="2"/>
  <c r="Z47" i="2"/>
  <c r="AN47" i="2" s="1"/>
  <c r="A163" i="2"/>
  <c r="A106" i="2"/>
  <c r="A102" i="8"/>
  <c r="A108" i="7"/>
  <c r="A155" i="7"/>
  <c r="A204" i="7"/>
  <c r="A47" i="6"/>
  <c r="X48" i="1"/>
  <c r="AL48" i="1" s="1"/>
  <c r="AZ48" i="1" s="1"/>
  <c r="BN48" i="1" s="1"/>
  <c r="A234" i="1"/>
  <c r="A168" i="1"/>
  <c r="O168" i="1" s="1"/>
  <c r="A48" i="2"/>
  <c r="A113" i="1"/>
  <c r="A54" i="15" l="1"/>
  <c r="A53" i="8"/>
  <c r="A53" i="7"/>
  <c r="A53" i="6"/>
  <c r="A169" i="15"/>
  <c r="O169" i="15" s="1"/>
  <c r="A454" i="15"/>
  <c r="A393" i="15"/>
  <c r="A244" i="15"/>
  <c r="A321" i="15"/>
  <c r="Z53" i="15"/>
  <c r="AN53" i="15" s="1"/>
  <c r="A112" i="15"/>
  <c r="A163" i="8"/>
  <c r="A108" i="8"/>
  <c r="A449" i="15"/>
  <c r="A316" i="15"/>
  <c r="A164" i="15"/>
  <c r="O164" i="15" s="1"/>
  <c r="A239" i="15"/>
  <c r="A107" i="15"/>
  <c r="Z48" i="15"/>
  <c r="AN48" i="15" s="1"/>
  <c r="A388" i="15"/>
  <c r="O54" i="1"/>
  <c r="A391" i="2"/>
  <c r="A169" i="2"/>
  <c r="O169" i="2" s="1"/>
  <c r="A452" i="2"/>
  <c r="A243" i="2"/>
  <c r="A319" i="2"/>
  <c r="A112" i="2"/>
  <c r="AN53" i="2"/>
  <c r="A238" i="2"/>
  <c r="A314" i="2"/>
  <c r="A386" i="2"/>
  <c r="A447" i="2"/>
  <c r="A52" i="13"/>
  <c r="P52" i="13" s="1"/>
  <c r="A54" i="2"/>
  <c r="Z54" i="2" s="1"/>
  <c r="AN54" i="2" s="1"/>
  <c r="A240" i="1"/>
  <c r="A53" i="5"/>
  <c r="A119" i="1"/>
  <c r="A55" i="1"/>
  <c r="O55" i="1" s="1"/>
  <c r="A174" i="1"/>
  <c r="O174" i="1" s="1"/>
  <c r="X54" i="1"/>
  <c r="AL54" i="1" s="1"/>
  <c r="O163" i="2"/>
  <c r="A103" i="8"/>
  <c r="A164" i="2"/>
  <c r="A107" i="2"/>
  <c r="Z48" i="2"/>
  <c r="AN48" i="2" s="1"/>
  <c r="A109" i="7"/>
  <c r="A156" i="7"/>
  <c r="A205" i="7"/>
  <c r="A164" i="8" l="1"/>
  <c r="A109" i="8"/>
  <c r="A55" i="15"/>
  <c r="A54" i="8"/>
  <c r="A54" i="7"/>
  <c r="A54" i="6"/>
  <c r="Z54" i="15"/>
  <c r="AN54" i="15" s="1"/>
  <c r="A170" i="15"/>
  <c r="O170" i="15" s="1"/>
  <c r="A113" i="15"/>
  <c r="A322" i="15"/>
  <c r="A455" i="15"/>
  <c r="A394" i="15"/>
  <c r="A245" i="15"/>
  <c r="A54" i="5"/>
  <c r="A55" i="2"/>
  <c r="Z55" i="2" s="1"/>
  <c r="AN55" i="2" s="1"/>
  <c r="A53" i="13"/>
  <c r="P53" i="13" s="1"/>
  <c r="A241" i="1"/>
  <c r="A392" i="2"/>
  <c r="A244" i="2"/>
  <c r="A320" i="2"/>
  <c r="A453" i="2"/>
  <c r="A170" i="2"/>
  <c r="O170" i="2" s="1"/>
  <c r="A113" i="2"/>
  <c r="A56" i="1"/>
  <c r="A120" i="1"/>
  <c r="A175" i="1"/>
  <c r="O175" i="1" s="1"/>
  <c r="O164" i="2"/>
  <c r="A56" i="15" l="1"/>
  <c r="A55" i="8"/>
  <c r="A55" i="7"/>
  <c r="A55" i="6"/>
  <c r="A57" i="1"/>
  <c r="A114" i="15"/>
  <c r="A246" i="15"/>
  <c r="A171" i="15"/>
  <c r="O171" i="15" s="1"/>
  <c r="Z55" i="15"/>
  <c r="AN55" i="15" s="1"/>
  <c r="A395" i="15"/>
  <c r="A323" i="15"/>
  <c r="A456" i="15"/>
  <c r="A165" i="8"/>
  <c r="A110" i="8"/>
  <c r="A176" i="1"/>
  <c r="O176" i="1" s="1"/>
  <c r="A121" i="1"/>
  <c r="A55" i="5"/>
  <c r="A56" i="2"/>
  <c r="Z56" i="2" s="1"/>
  <c r="AN56" i="2" s="1"/>
  <c r="A54" i="13"/>
  <c r="P54" i="13" s="1"/>
  <c r="A242" i="1"/>
  <c r="A321" i="2"/>
  <c r="A171" i="2"/>
  <c r="O171" i="2" s="1"/>
  <c r="A393" i="2"/>
  <c r="A114" i="2"/>
  <c r="A454" i="2"/>
  <c r="A245" i="2"/>
  <c r="O56" i="1"/>
  <c r="A57" i="15" l="1"/>
  <c r="A58" i="15" s="1"/>
  <c r="A174" i="15" s="1"/>
  <c r="A56" i="8"/>
  <c r="A56" i="5"/>
  <c r="A56" i="6"/>
  <c r="A177" i="1"/>
  <c r="O177" i="1" s="1"/>
  <c r="A56" i="7"/>
  <c r="A122" i="1"/>
  <c r="A57" i="2"/>
  <c r="A243" i="1"/>
  <c r="Z56" i="15"/>
  <c r="AN56" i="15" s="1"/>
  <c r="A172" i="15"/>
  <c r="O172" i="15" s="1"/>
  <c r="A247" i="15"/>
  <c r="A396" i="15"/>
  <c r="A115" i="15"/>
  <c r="A457" i="15"/>
  <c r="A324" i="15"/>
  <c r="A166" i="8"/>
  <c r="A111" i="8"/>
  <c r="O57" i="1"/>
  <c r="A322" i="2"/>
  <c r="A172" i="2"/>
  <c r="O172" i="2" s="1"/>
  <c r="A246" i="2"/>
  <c r="A394" i="2"/>
  <c r="A115" i="2"/>
  <c r="A455" i="2"/>
  <c r="Z58" i="15" l="1"/>
  <c r="AN58" i="15" s="1"/>
  <c r="A117" i="15"/>
  <c r="Z57" i="2"/>
  <c r="A323" i="2"/>
  <c r="A247" i="2"/>
  <c r="A116" i="2"/>
  <c r="A173" i="2"/>
  <c r="O173" i="2" s="1"/>
  <c r="A116" i="15"/>
  <c r="Z57" i="15"/>
  <c r="AN57" i="15" s="1"/>
  <c r="A173" i="15"/>
  <c r="O173" i="15" s="1"/>
  <c r="A248" i="15"/>
  <c r="A32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Calderon, Raiza</author>
    <author>CENADMIN</author>
    <author>Hallman, Stacy B.</author>
    <author>Cifuentes, Lori L.</author>
  </authors>
  <commentList>
    <comment ref="B4" authorId="0" shapeId="0" xr:uid="{B0F4FA68-F571-4E43-A6AF-19099A4F2315}">
      <text>
        <r>
          <rPr>
            <b/>
            <sz val="13"/>
            <color indexed="81"/>
            <rFont val="Tahoma"/>
            <family val="2"/>
          </rPr>
          <t xml:space="preserve">This is what ECC Grid Ops calls SYSTEM PEAK (TEC + NSI) (MW) vs just PEAK TECO LOAD (MW). 
Source: </t>
        </r>
        <r>
          <rPr>
            <sz val="13"/>
            <color indexed="81"/>
            <rFont val="Tahoma"/>
            <family val="2"/>
          </rPr>
          <t xml:space="preserve">     \\Yborfs\ECC_FP1\VOL1\SHARDATA\SYSTEM REPORT\2022\FINAL
</t>
        </r>
        <r>
          <rPr>
            <b/>
            <sz val="13"/>
            <color indexed="81"/>
            <rFont val="Tahoma"/>
            <family val="2"/>
          </rPr>
          <t>Filename:</t>
        </r>
        <r>
          <rPr>
            <sz val="13"/>
            <color indexed="81"/>
            <rFont val="Tahoma"/>
            <family val="2"/>
          </rPr>
          <t xml:space="preserve">    20YYMM Final System Report.xls
</t>
        </r>
        <r>
          <rPr>
            <b/>
            <sz val="13"/>
            <color indexed="81"/>
            <rFont val="Tahoma"/>
            <family val="2"/>
          </rPr>
          <t xml:space="preserve">Tab:   </t>
        </r>
        <r>
          <rPr>
            <sz val="13"/>
            <color indexed="81"/>
            <rFont val="Tahoma"/>
            <family val="2"/>
          </rPr>
          <t xml:space="preserve">         Peak Data
</t>
        </r>
        <r>
          <rPr>
            <b/>
            <sz val="13"/>
            <color indexed="81"/>
            <rFont val="Tahoma"/>
            <family val="2"/>
          </rPr>
          <t>Column:</t>
        </r>
        <r>
          <rPr>
            <sz val="13"/>
            <color indexed="81"/>
            <rFont val="Tahoma"/>
            <family val="2"/>
          </rPr>
          <t xml:space="preserve">        C, Peak Total Load (MW), max 
</t>
        </r>
      </text>
    </comment>
    <comment ref="K7" authorId="1" shapeId="0" xr:uid="{00000000-0006-0000-0000-000001000000}">
      <text>
        <r>
          <rPr>
            <b/>
            <sz val="10"/>
            <color indexed="81"/>
            <rFont val="Tahoma"/>
            <family val="2"/>
          </rPr>
          <t>Winter peak '73/'74</t>
        </r>
      </text>
    </comment>
    <comment ref="P8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occurred in fall '73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M23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Winter peak '89/'90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24" authorId="1" shapeId="0" xr:uid="{00000000-0006-0000-0000-000004000000}">
      <text>
        <r>
          <rPr>
            <b/>
            <sz val="10"/>
            <color indexed="81"/>
            <rFont val="Tahoma"/>
            <family val="2"/>
          </rPr>
          <t>Winter peak '90/'91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44" authorId="2" shapeId="0" xr:uid="{11D37CBB-9096-47A4-B1F2-72F9858AED18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Jan 11, 2010</t>
        </r>
      </text>
    </comment>
    <comment ref="P45" authorId="3" shapeId="0" xr:uid="{00000000-0006-0000-0000-000005000000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December 2010 peak for 2011 Winter Peak</t>
        </r>
      </text>
    </comment>
    <comment ref="P50" authorId="2" shapeId="0" xr:uid="{BFAB2E86-66E2-4303-AB58-31327637D2A8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Winter Peak Nov 2015</t>
        </r>
      </text>
    </comment>
    <comment ref="P53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November 2018 peak for Winter 2019 peak</t>
        </r>
      </text>
    </comment>
    <comment ref="B62" authorId="1" shapeId="0" xr:uid="{00000000-0006-0000-0000-000007000000}">
      <text>
        <r>
          <rPr>
            <b/>
            <sz val="10"/>
            <color indexed="81"/>
            <rFont val="Tahoma"/>
            <family val="2"/>
          </rPr>
          <t>January 11, 2010</t>
        </r>
      </text>
    </comment>
    <comment ref="I62" authorId="2" shapeId="0" xr:uid="{1D1149BF-C290-47DD-BF98-BD9BF833035A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August 18, 2021, HE18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Hallman, Stacy B.</author>
    <author>CENADMIN</author>
    <author>Cifuentes, Lori L.</author>
  </authors>
  <commentList>
    <comment ref="R5" authorId="0" shapeId="0" xr:uid="{DD48EDCF-3AE2-4C68-B353-3FB96C973DEE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Nov through Mar</t>
        </r>
      </text>
    </comment>
    <comment ref="S5" authorId="0" shapeId="0" xr:uid="{705621DE-5353-4DC2-BCA5-69878A1F1A68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April through October
</t>
        </r>
      </text>
    </comment>
    <comment ref="K7" authorId="1" shapeId="0" xr:uid="{C7516B48-8A8A-4D56-8F16-F45197520920}">
      <text>
        <r>
          <rPr>
            <b/>
            <sz val="10"/>
            <color indexed="81"/>
            <rFont val="Tahoma"/>
            <family val="2"/>
          </rPr>
          <t>Winter peak '73/'74</t>
        </r>
      </text>
    </comment>
    <comment ref="M23" authorId="1" shapeId="0" xr:uid="{36916D4B-5C06-4BCA-A6AC-B7572E8C7DAA}">
      <text>
        <r>
          <rPr>
            <b/>
            <sz val="10"/>
            <color indexed="81"/>
            <rFont val="Tahoma"/>
            <family val="2"/>
          </rPr>
          <t>Winter peak '89/'90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24" authorId="1" shapeId="0" xr:uid="{42CA3417-7F43-460D-BC3A-49B09CAF43AB}">
      <text>
        <r>
          <rPr>
            <b/>
            <sz val="10"/>
            <color indexed="81"/>
            <rFont val="Tahoma"/>
            <family val="2"/>
          </rPr>
          <t>Winter peak '90/'91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44" authorId="0" shapeId="0" xr:uid="{489405A0-E0A3-4249-B75B-B841E8467710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Jan 11, 2010</t>
        </r>
      </text>
    </comment>
    <comment ref="R45" authorId="2" shapeId="0" xr:uid="{E10EFE35-F127-4B6C-9E42-FA1B1853D361}">
      <text>
        <r>
          <rPr>
            <sz val="11"/>
            <color indexed="81"/>
            <rFont val="Tahoma"/>
            <family val="2"/>
          </rPr>
          <t>December2010 peak for 2011 Winter peak</t>
        </r>
      </text>
    </comment>
    <comment ref="R50" authorId="0" shapeId="0" xr:uid="{EF8E00E2-758C-4898-A8AE-350704F075E7}">
      <text>
        <r>
          <rPr>
            <b/>
            <sz val="11"/>
            <color indexed="81"/>
            <rFont val="Tahoma"/>
            <family val="2"/>
          </rPr>
          <t>Hallman, Stacy B.:</t>
        </r>
        <r>
          <rPr>
            <sz val="11"/>
            <color indexed="81"/>
            <rFont val="Tahoma"/>
            <family val="2"/>
          </rPr>
          <t xml:space="preserve">
Nov 2015 Winter Peak for 2016</t>
        </r>
      </text>
    </comment>
    <comment ref="R53" authorId="0" shapeId="0" xr:uid="{18E4DADD-E498-44CA-98AF-E6CEDEF26CC9}">
      <text>
        <r>
          <rPr>
            <sz val="11"/>
            <color indexed="81"/>
            <rFont val="Tahoma"/>
            <family val="2"/>
          </rPr>
          <t xml:space="preserve">Nov 2018 for 2019 Winter Peak 
</t>
        </r>
      </text>
    </comment>
    <comment ref="R54" authorId="2" shapeId="0" xr:uid="{D7EC92A5-C58F-44E8-992B-349B5810C380}">
      <text>
        <r>
          <rPr>
            <b/>
            <sz val="11"/>
            <color indexed="81"/>
            <rFont val="Tahoma"/>
            <family val="2"/>
          </rPr>
          <t>Hallman, Stacy</t>
        </r>
        <r>
          <rPr>
            <sz val="11"/>
            <color indexed="81"/>
            <rFont val="Tahoma"/>
            <family val="2"/>
          </rPr>
          <t xml:space="preserve">
Spoke with Lori and we're still ok reporting March as Winter peak for 2020 even though it was a warm peak day</t>
        </r>
      </text>
    </comment>
    <comment ref="AC253" authorId="2" shapeId="0" xr:uid="{999F5FDF-FE58-4043-B8B0-6631BA41521C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#years with less than or equal to 31 degrees at peak.</t>
        </r>
      </text>
    </comment>
    <comment ref="AC254" authorId="2" shapeId="0" xr:uid="{F62CD847-1479-478C-9E79-B82B9DD01241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total number of years</t>
        </r>
      </text>
    </comment>
    <comment ref="AC255" authorId="2" shapeId="0" xr:uid="{748A4B70-3E98-4733-8C19-AA7DF11F6EFD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probability of having a 31 degree peak or colder.</t>
        </r>
      </text>
    </comment>
    <comment ref="C261" authorId="2" shapeId="0" xr:uid="{01CD7256-2309-451E-8F4F-00661E90A0FD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20 years of cold peaks (ignores 2017 to 2020</t>
        </r>
      </text>
    </comment>
    <comment ref="C337" authorId="2" shapeId="0" xr:uid="{F889FBEA-2CDA-4472-BC30-EC65354AA189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20 years of cold peaks (ignores 2017 to 2020</t>
        </r>
      </text>
    </comment>
    <comment ref="A403" authorId="2" shapeId="0" xr:uid="{F7ED06C8-9F41-4184-B320-2C2A6BAE5B0B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24hourl daily average</t>
        </r>
      </text>
    </comment>
    <comment ref="A464" authorId="2" shapeId="0" xr:uid="{E5EB1E85-6BB8-4E70-A91C-8DB5296C4A41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24hourl daily average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Hallman, Stacy B.</author>
    <author>Cifuentes, Lori L.</author>
    <author>Calderon, Raiza</author>
  </authors>
  <commentList>
    <comment ref="R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Nov through Mar</t>
        </r>
      </text>
    </comment>
    <comment ref="S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April through October
</t>
        </r>
      </text>
    </comment>
    <comment ref="R45" authorId="1" shapeId="0" xr:uid="{00000000-0006-0000-0100-000003000000}">
      <text>
        <r>
          <rPr>
            <sz val="11"/>
            <color indexed="81"/>
            <rFont val="Tahoma"/>
            <family val="2"/>
          </rPr>
          <t>December2010 peak for 2011 Winter peak</t>
        </r>
      </text>
    </comment>
    <comment ref="R50" authorId="0" shapeId="0" xr:uid="{2D1EA20C-3F46-4139-9A3B-AB5A5CF23989}">
      <text>
        <r>
          <rPr>
            <b/>
            <sz val="11"/>
            <color indexed="81"/>
            <rFont val="Tahoma"/>
            <family val="2"/>
          </rPr>
          <t>Hallman, Stacy B.:</t>
        </r>
        <r>
          <rPr>
            <sz val="11"/>
            <color indexed="81"/>
            <rFont val="Tahoma"/>
            <family val="2"/>
          </rPr>
          <t xml:space="preserve">
Nov 2015 Winter Peak for 2016</t>
        </r>
      </text>
    </comment>
    <comment ref="L52" authorId="1" shapeId="0" xr:uid="{2001D1C8-53DE-4FDF-84E1-68A61767A42E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LLC, this was a hot peak day, but it is still the highest MW from Nov - Mar 2019</t>
        </r>
      </text>
    </comment>
    <comment ref="R53" authorId="0" shapeId="0" xr:uid="{00000000-0006-0000-0100-000004000000}">
      <text>
        <r>
          <rPr>
            <sz val="11"/>
            <color indexed="81"/>
            <rFont val="Tahoma"/>
            <family val="2"/>
          </rPr>
          <t xml:space="preserve">Nov 2018 for 2019 Winter Peak 
</t>
        </r>
      </text>
    </comment>
    <comment ref="D54" authorId="0" shapeId="0" xr:uid="{53357EAA-66A3-4A9A-A256-80E2F180FC94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Hot peak day, but it is counted as 2020 Winter Peak [highest MW during Nov-Mar)</t>
        </r>
      </text>
    </comment>
    <comment ref="R54" authorId="1" shapeId="0" xr:uid="{11548F21-9E96-44A7-98B0-E6F1E77F7591}">
      <text>
        <r>
          <rPr>
            <b/>
            <sz val="11"/>
            <color indexed="81"/>
            <rFont val="Tahoma"/>
            <family val="2"/>
          </rPr>
          <t>Hallman, Stacy</t>
        </r>
        <r>
          <rPr>
            <sz val="11"/>
            <color indexed="81"/>
            <rFont val="Tahoma"/>
            <family val="2"/>
          </rPr>
          <t xml:space="preserve">
Spoke with Lori and we're still ok reporting March as Winter peak for 2020 even though it was a warm peak day</t>
        </r>
      </text>
    </comment>
    <comment ref="D55" authorId="0" shapeId="0" xr:uid="{A7379645-A96C-4DA6-BD13-E28B9E5CB673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Also a warm evening peak day; however, highest during 'winter' months of Nov - Mar</t>
        </r>
      </text>
    </comment>
    <comment ref="W197" authorId="2" shapeId="0" xr:uid="{6DA0C5BA-2C7E-45E0-8D01-CF07ABC41230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W199" authorId="2" shapeId="0" xr:uid="{66CEF74C-4C11-4A45-9F7F-2449FCC0A191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Q200" authorId="2" shapeId="0" xr:uid="{E4D51B43-345D-4FF3-986A-3E12286EA688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W202" authorId="2" shapeId="0" xr:uid="{034F26C6-A23B-415A-B1F2-31F582B7BEBD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Q203" authorId="2" shapeId="0" xr:uid="{7DD50357-32B1-4BC2-B509-F362DC62BB60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T204" authorId="2" shapeId="0" xr:uid="{5EB27B81-8382-4B73-B627-3069D050E6DB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T205" authorId="2" shapeId="0" xr:uid="{72FE899A-45FA-4DCF-870D-331EB1D6BEA2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T207" authorId="2" shapeId="0" xr:uid="{86DE33AD-11D0-4AC5-8DFB-91E56EF30C86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T211" authorId="2" shapeId="0" xr:uid="{36AFF4FF-B693-4EE2-8489-16C39C9EE3E5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W213" authorId="2" shapeId="0" xr:uid="{884527A2-1743-4184-B4A1-C7BF918BBB86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T216" authorId="2" shapeId="0" xr:uid="{F945BEA1-CE72-449D-A018-4CBE1D739BB5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Q221" authorId="2" shapeId="0" xr:uid="{5A350143-CD62-4D8E-ABA4-FE9FF9306745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hot AM peak, but was included in this column. Ask Lori why? Likely because we are trying to capture Hot Peaks, which do mostly occur in the PM.</t>
        </r>
      </text>
    </comment>
    <comment ref="W221" authorId="2" shapeId="0" xr:uid="{8AEDE332-EE97-464C-95E6-36993DFE273F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T229" authorId="2" shapeId="0" xr:uid="{3D8D2008-9290-4EFD-BFB7-253600EDE68D}">
      <text>
        <r>
          <rPr>
            <b/>
            <sz val="14"/>
            <color indexed="81"/>
            <rFont val="Tahoma"/>
            <family val="2"/>
          </rPr>
          <t>Calderon, Raiza:</t>
        </r>
        <r>
          <rPr>
            <sz val="14"/>
            <color indexed="81"/>
            <rFont val="Tahoma"/>
            <family val="2"/>
          </rPr>
          <t xml:space="preserve">
This was a cold PM peak, but for this column will ignore.</t>
        </r>
      </text>
    </comment>
    <comment ref="AC251" authorId="1" shapeId="0" xr:uid="{0B77E83C-71EA-4F49-8006-A90FA0BC0837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#years with less than or equal to 31 degrees at peak.</t>
        </r>
      </text>
    </comment>
    <comment ref="AC252" authorId="1" shapeId="0" xr:uid="{30D130DF-EE06-42AD-9987-210A64369BC2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total number of years</t>
        </r>
      </text>
    </comment>
    <comment ref="AC253" authorId="1" shapeId="0" xr:uid="{C05BEB6A-F142-403F-8B5A-A480B27E1E0C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probability of having a 31 degree peak or colder.</t>
        </r>
      </text>
    </comment>
    <comment ref="C259" authorId="1" shapeId="0" xr:uid="{ED4C2840-15A3-42B6-8A88-04C2D496F619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20 years of cold peaks (ignores 2017 to 2020</t>
        </r>
      </text>
    </comment>
    <comment ref="C335" authorId="1" shapeId="0" xr:uid="{CA9458F6-AD33-4BC7-9AF7-DF99F6343EF9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20 years of cold peaks (ignores 2017 to 2020</t>
        </r>
      </text>
    </comment>
    <comment ref="A401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24hourl daily average</t>
        </r>
      </text>
    </comment>
    <comment ref="C447" authorId="0" shapeId="0" xr:uid="{51730000-D6CE-4038-BCDB-FE8766D59C8C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check if formulas are ok…just copied them…no time to look into </t>
        </r>
      </text>
    </comment>
    <comment ref="A464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24hourl daily average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Cifuentes, Lori L.</author>
  </authors>
  <commentList>
    <comment ref="D2" authorId="0" shapeId="0" xr:uid="{54F99AFF-99FE-4AEF-ADF9-39C462934B93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rounded down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Cifuentes, Lori L.</author>
  </authors>
  <commentList>
    <comment ref="I4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Control</t>
        </r>
      </text>
    </comment>
    <comment ref="G4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control:
</t>
        </r>
      </text>
    </comment>
    <comment ref="B4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Added Com'l Demand Response program. (ENERNOC)</t>
        </r>
      </text>
    </comment>
  </commentList>
</comments>
</file>

<file path=xl/sharedStrings.xml><?xml version="1.0" encoding="utf-8"?>
<sst xmlns="http://schemas.openxmlformats.org/spreadsheetml/2006/main" count="1903" uniqueCount="337">
  <si>
    <t>(PAGE DOWN FOR DATE/HOUR PEAK OCCURED &amp; TEMPERATURE)</t>
  </si>
  <si>
    <t xml:space="preserve">00  </t>
  </si>
  <si>
    <t xml:space="preserve">03 </t>
  </si>
  <si>
    <t>INSTANTANEOUS PEAK</t>
  </si>
  <si>
    <t>JAN</t>
  </si>
  <si>
    <t>DATE OF PEAK</t>
  </si>
  <si>
    <t>HOUR OF PEAK</t>
  </si>
  <si>
    <t>TEMPERATURE AT HOUR OF PEAK</t>
  </si>
  <si>
    <t>FEB</t>
  </si>
  <si>
    <t>MAR</t>
  </si>
  <si>
    <t>APR</t>
  </si>
  <si>
    <t>MAY</t>
  </si>
  <si>
    <t>JUN</t>
  </si>
  <si>
    <t>JUL</t>
  </si>
  <si>
    <t>SOURCE:  1973-95: test.lf.database(mwinst)</t>
  </si>
  <si>
    <t>AUG</t>
  </si>
  <si>
    <t>SEP</t>
  </si>
  <si>
    <t>OCT</t>
  </si>
  <si>
    <t>NOV</t>
  </si>
  <si>
    <t>DEC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</si>
  <si>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</si>
  <si>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</si>
  <si>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</si>
  <si>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</si>
  <si>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</si>
  <si>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</si>
  <si>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</si>
  <si>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</si>
  <si>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</si>
  <si>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</si>
  <si>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</si>
  <si>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</si>
  <si>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</si>
  <si>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</si>
  <si>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</si>
  <si>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</si>
  <si>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</si>
  <si>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</si>
  <si>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</si>
  <si>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</si>
  <si>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</si>
  <si>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</si>
  <si>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</si>
  <si>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</si>
  <si>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</si>
  <si>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</si>
  <si>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</si>
  <si>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</si>
  <si>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Winter</t>
  </si>
  <si>
    <t>Peak</t>
  </si>
  <si>
    <t>Summer</t>
  </si>
  <si>
    <t>Jan-Mar</t>
  </si>
  <si>
    <t>MAX</t>
  </si>
  <si>
    <t>MIN</t>
  </si>
  <si>
    <t>AVG</t>
  </si>
  <si>
    <t>MONTHLY % OF PEAK:  INSTANTANEOUS PEAK DEMAND</t>
  </si>
  <si>
    <t>ANNUAL CHANGE IN INSTANTANEOUS PEAK DEMAND</t>
  </si>
  <si>
    <t>TOTAL RETAIL AS A PERCENTAGE OF INSTANTANEOUS</t>
  </si>
  <si>
    <t>FIRM RETAIL AS A PERCENTAGE OF INSTANTANEOUS</t>
  </si>
  <si>
    <t>(PAGE DOWN FOR DATE/HOUR PEAK OCCURED)</t>
  </si>
  <si>
    <t xml:space="preserve">00 </t>
  </si>
  <si>
    <t xml:space="preserve">01 </t>
  </si>
  <si>
    <t xml:space="preserve">02 </t>
  </si>
  <si>
    <t>Median</t>
  </si>
  <si>
    <t>Avg</t>
  </si>
  <si>
    <t>% morning pk</t>
  </si>
  <si>
    <t>% evening pk</t>
  </si>
  <si>
    <t>30yravg</t>
  </si>
  <si>
    <t>10yravg</t>
  </si>
  <si>
    <t>20yravg</t>
  </si>
  <si>
    <t>20yrHDD (For the Hour)</t>
  </si>
  <si>
    <t>20yrCDD (For the Hour)</t>
  </si>
  <si>
    <t>TOTAL RETAIL PEAK DEMAND (w/curtailments added back)</t>
  </si>
  <si>
    <t>March and November are transition months.</t>
  </si>
  <si>
    <t>Temperature @ peak</t>
  </si>
  <si>
    <t>24-hour temperature on peak day</t>
  </si>
  <si>
    <t>HDD  (For the Peak DAY, not the hour)</t>
  </si>
  <si>
    <t>CDD  (For the Peak DAY, not the hour)</t>
  </si>
  <si>
    <t>Cold (below 65 degree)</t>
  </si>
  <si>
    <t>Hot  (above 65 degree)</t>
  </si>
  <si>
    <t>Evening</t>
  </si>
  <si>
    <t>Evening (Cold) ????</t>
  </si>
  <si>
    <t xml:space="preserve">   ----&gt;</t>
  </si>
  <si>
    <t>PageOver</t>
  </si>
  <si>
    <t>Winter Peak</t>
  </si>
  <si>
    <t>Summer Peak</t>
  </si>
  <si>
    <t xml:space="preserve"> </t>
  </si>
  <si>
    <t>SOURCE:  1973-95: test.lf.database(mwsptsl)</t>
  </si>
  <si>
    <t>Graph----&gt;</t>
  </si>
  <si>
    <t xml:space="preserve">  add 1 mw due to LM curtailed -&gt;</t>
  </si>
  <si>
    <t xml:space="preserve">  add 27 mw due to LM curtailed -&gt;</t>
  </si>
  <si>
    <t>Nov am</t>
  </si>
  <si>
    <t>2001/02</t>
  </si>
  <si>
    <t>Nov pm</t>
  </si>
  <si>
    <t>Numbers verified...OK</t>
  </si>
  <si>
    <t>Mar am</t>
  </si>
  <si>
    <t>Nov-Dec</t>
  </si>
  <si>
    <t>Mar pm</t>
  </si>
  <si>
    <t>Dec am</t>
  </si>
  <si>
    <t>Dec pm</t>
  </si>
  <si>
    <t>MONTHLY % OF PEAK:  TOTAL  RETAIL PEAK DEMAND</t>
  </si>
  <si>
    <t>ANNUAL CHANGE IN TOTAL  RETAIL PEAK DEMAND</t>
  </si>
  <si>
    <t xml:space="preserve"> 73-02</t>
  </si>
  <si>
    <t>Median:</t>
  </si>
  <si>
    <t>Excl from median calc.</t>
  </si>
  <si>
    <t>Temperature ranges sorted low to high (see graphs below)</t>
  </si>
  <si>
    <t>NA</t>
  </si>
  <si>
    <t>NOVEMBER</t>
  </si>
  <si>
    <t>Nov (hot)</t>
  </si>
  <si>
    <t>Nov (cold)</t>
  </si>
  <si>
    <t>MARCH</t>
  </si>
  <si>
    <t>Mar (Hot)</t>
  </si>
  <si>
    <t>Mar (cold)</t>
  </si>
  <si>
    <t>DECEMBER</t>
  </si>
  <si>
    <t>Dec (Hot)</t>
  </si>
  <si>
    <t>Dec (cold)</t>
  </si>
  <si>
    <t xml:space="preserve"> 83-02</t>
  </si>
  <si>
    <t>For min pk</t>
  </si>
  <si>
    <t>For max pk</t>
  </si>
  <si>
    <t>January uses 31 degrees</t>
  </si>
  <si>
    <t>Omitted form median</t>
  </si>
  <si>
    <t xml:space="preserve">Use Avg </t>
  </si>
  <si>
    <t>rather</t>
  </si>
  <si>
    <t>than Median (see graph)</t>
  </si>
  <si>
    <t>December</t>
  </si>
  <si>
    <t>Total Potential (available+curtailed)</t>
  </si>
  <si>
    <t>Coincident w/Total Load</t>
  </si>
  <si>
    <t>W</t>
  </si>
  <si>
    <t>S</t>
  </si>
  <si>
    <t>1975 - 1979 source: H:\LLC97\PEAKS\INTERRUPTIBLE\INTERRUP.WK4</t>
  </si>
  <si>
    <t>March (8am)</t>
  </si>
  <si>
    <t>8am avg</t>
  </si>
  <si>
    <t>March (pm)</t>
  </si>
  <si>
    <t>evening avg</t>
  </si>
  <si>
    <t>Nov (8am)</t>
  </si>
  <si>
    <t>Nov (pm)</t>
  </si>
  <si>
    <t>Coincident w/total retail peak (don't use this number,  firm peak may have been higher at a different time)</t>
  </si>
  <si>
    <t>Differences coincident firm peak (w/total peak) and reported firm peak.</t>
  </si>
  <si>
    <t xml:space="preserve">Total retail peak and firm peak occurred on different days (X) or same day different hour (x)   </t>
  </si>
  <si>
    <t>OK= Peaks did not occur at same time AND coincident firm peak is different than reported firm peak.</t>
  </si>
  <si>
    <t xml:space="preserve">  ?= Peaks did not occur at same time AND coincident firm peak is equal to  reported firm peak. (Usually different?)</t>
  </si>
  <si>
    <t>Check= Peaks occurred at same time AND coincident firm peak is NOT  equal to  reported firm peak. (Should be the same if both are coincident)</t>
  </si>
  <si>
    <t>FIRM RETAIL PEAK DEMAND (w/ curtailments added back)</t>
  </si>
  <si>
    <t>Not recorded prior to 1980 (see column "BB")</t>
  </si>
  <si>
    <t>SOURCE:  (1980-94: test.lf.database(mwfptsl))</t>
  </si>
  <si>
    <t>WINTER</t>
  </si>
  <si>
    <t>(1)</t>
  </si>
  <si>
    <t>(3)</t>
  </si>
  <si>
    <t>(1) Not coinc. w/system peak:  Total Peak is in 2/84, Firm Peak is 12/83</t>
  </si>
  <si>
    <t>(3) Not coinc. w/system peak:  Total Peak is in 2/89, Firm Peak is 12/88</t>
  </si>
  <si>
    <t>MED</t>
  </si>
  <si>
    <t>MONTHLY % OF PEAK:  FIRM RETAIL PEAK DEMAND</t>
  </si>
  <si>
    <t>SORTED</t>
  </si>
  <si>
    <t>/DSRD.{END}{D}~P.{END}{D}~~G{R}</t>
  </si>
  <si>
    <t>ANNUAL CHANGE IN FIRM RETAIL PEAK DEMAND</t>
  </si>
  <si>
    <t>Other Load  (This is non-phosphate load that is coincident with total peak)</t>
  </si>
  <si>
    <t>Prior to 1980, loads were reported as (1) total system load (2) phosphate (firm &amp; interr.),  and (3) other load.</t>
  </si>
  <si>
    <t>SOURCE:  System demand &amp; generate reports (see binder)</t>
  </si>
  <si>
    <t>Use this for determining monthly winter/summer distribution factors.</t>
  </si>
  <si>
    <t>Mth</t>
  </si>
  <si>
    <t>Year</t>
  </si>
  <si>
    <t>Firm</t>
  </si>
  <si>
    <t xml:space="preserve">LM  </t>
  </si>
  <si>
    <t>SUMMER</t>
  </si>
  <si>
    <t>1993-2002</t>
  </si>
  <si>
    <t>MEDIAN</t>
  </si>
  <si>
    <t>1993 - 2002</t>
  </si>
  <si>
    <t xml:space="preserve">INSTANTANEOUS TO TOTAL </t>
  </si>
  <si>
    <t>INSTANTANEOUS TO FIRM</t>
  </si>
  <si>
    <t>TOTAL TO FIRM</t>
  </si>
  <si>
    <t>(Select OTL or Billing Cycle Sales)</t>
  </si>
  <si>
    <t>Energy</t>
  </si>
  <si>
    <t>Shapes Peak Hour</t>
  </si>
  <si>
    <t>Other Peak Hours</t>
  </si>
  <si>
    <t>Hours in Month</t>
  </si>
  <si>
    <t>Total Load Factor</t>
  </si>
  <si>
    <t>Period Avg</t>
  </si>
  <si>
    <t>1980's Avg</t>
  </si>
  <si>
    <t>1990's Avg</t>
  </si>
  <si>
    <t>Firm  Load Factor</t>
  </si>
  <si>
    <t>2001 Fcst</t>
  </si>
  <si>
    <t>2000 Fcst</t>
  </si>
  <si>
    <t>800(54%)</t>
  </si>
  <si>
    <t>1900(75%)</t>
  </si>
  <si>
    <t>OTL</t>
  </si>
  <si>
    <t>Sales</t>
  </si>
  <si>
    <t>Data sources:</t>
  </si>
  <si>
    <t>Mainframe Files:</t>
  </si>
  <si>
    <t>Other than Phos</t>
  </si>
  <si>
    <t>Firm Phosphate</t>
  </si>
  <si>
    <t>Phosphate Furnace</t>
  </si>
  <si>
    <t xml:space="preserve">Phosphate Interruptible </t>
  </si>
  <si>
    <t>Non-phos Interruptible</t>
  </si>
  <si>
    <t>* MWFPOTHR = Firm peak + load mgmt + non-phosphate interruptible.</t>
  </si>
  <si>
    <t xml:space="preserve">SAS Programs:  </t>
  </si>
  <si>
    <t>test.lf.jcllib(multreg)</t>
  </si>
  <si>
    <t>test.lf.saslib(multreg)</t>
  </si>
  <si>
    <t>test.lf.saslib(seasonal)</t>
  </si>
  <si>
    <t>TEST.LF.DATABASE(                       )</t>
  </si>
  <si>
    <t>Instantaneous</t>
  </si>
  <si>
    <t>MWINST (73-95)</t>
  </si>
  <si>
    <t xml:space="preserve">               Matches temperatures &amp; peaks</t>
  </si>
  <si>
    <t>MWFPTSL (80-00)</t>
  </si>
  <si>
    <t>MWFPOTHR* (73-94)</t>
  </si>
  <si>
    <t>MWFPPHOS (80-89)</t>
  </si>
  <si>
    <t>Total</t>
  </si>
  <si>
    <t>MWSPTSL (73-00)</t>
  </si>
  <si>
    <t>N/A</t>
  </si>
  <si>
    <t>MWSPFPH (75-89)</t>
  </si>
  <si>
    <t>MWSPFURN (75-82)</t>
  </si>
  <si>
    <t>MWSPMINE (75-94)</t>
  </si>
  <si>
    <t>MWSPIND (78-94)</t>
  </si>
  <si>
    <t>OVER:----&gt;</t>
  </si>
  <si>
    <t>NON-PHOSPHATE</t>
  </si>
  <si>
    <t>Non-industrial</t>
  </si>
  <si>
    <t>Sources:</t>
  </si>
  <si>
    <t>1.  Dreama's files: csdks.teset.interr00  ... interr93       (Hourly)  Non-phos interr, phos interr, phos firm, total phosphate</t>
  </si>
  <si>
    <t>2.  Test.lf.database(         )</t>
  </si>
  <si>
    <t>3. test.lf.data(interr80).....(interr94)            (Hourly)     Total interruptible</t>
  </si>
  <si>
    <t>3. test.lf.tmplib(interr00).....(interr95)            (Hourly)     Total interruptible</t>
  </si>
  <si>
    <t>Commercial</t>
  </si>
  <si>
    <t>Interruptible</t>
  </si>
  <si>
    <t>Available Interruptible Load</t>
  </si>
  <si>
    <t>Curtailed Interruptible Load</t>
  </si>
  <si>
    <t>Industrial</t>
  </si>
  <si>
    <t>(Not in</t>
  </si>
  <si>
    <t xml:space="preserve">meter </t>
  </si>
  <si>
    <t>sample)</t>
  </si>
  <si>
    <t>(Included</t>
  </si>
  <si>
    <t>PHOSPHATE</t>
  </si>
  <si>
    <t>Total Potential Interrutible Load</t>
  </si>
  <si>
    <t>LOADMGMT</t>
  </si>
  <si>
    <t>VOLT.RED</t>
  </si>
  <si>
    <t>2002/03</t>
  </si>
  <si>
    <t>2003/04</t>
  </si>
  <si>
    <t>2000/01</t>
  </si>
  <si>
    <t>2004/05</t>
  </si>
  <si>
    <t>All time MAX</t>
  </si>
  <si>
    <t>Winter Pk 1990</t>
  </si>
  <si>
    <t>Christmas Freeze of '89</t>
  </si>
  <si>
    <t>X</t>
  </si>
  <si>
    <t>2005/06</t>
  </si>
  <si>
    <t>Winter MAX</t>
  </si>
  <si>
    <t>Summer MAX</t>
  </si>
  <si>
    <t>2006/07</t>
  </si>
  <si>
    <t>2007/08</t>
  </si>
  <si>
    <t>RECORD SETTING - ALL TIME</t>
  </si>
  <si>
    <t>Load Served (curtailments are NOT added back)</t>
  </si>
  <si>
    <t>1997-2006</t>
  </si>
  <si>
    <t>10-year average</t>
  </si>
  <si>
    <t>Current source: 1973 to date, System, Demand &amp; Generation Reports</t>
  </si>
  <si>
    <t>SEASONAL PEAKS</t>
  </si>
  <si>
    <t>MODEL USES</t>
  </si>
  <si>
    <t xml:space="preserve"> 2008/09</t>
  </si>
  <si>
    <t xml:space="preserve"> 2009/10</t>
  </si>
  <si>
    <t xml:space="preserve"> 2010/11</t>
  </si>
  <si>
    <t xml:space="preserve"> 2011/12</t>
  </si>
  <si>
    <t xml:space="preserve"> 2012/13</t>
  </si>
  <si>
    <t xml:space="preserve"> 2013/14</t>
  </si>
  <si>
    <t>PeakModel CDD</t>
  </si>
  <si>
    <t>Equivalent Degrees</t>
  </si>
  <si>
    <t>20 yr Average</t>
  </si>
  <si>
    <t>30 yr Average</t>
  </si>
  <si>
    <t>10 yr Average</t>
  </si>
  <si>
    <t>ColdPk</t>
  </si>
  <si>
    <t>Hot Pk</t>
  </si>
  <si>
    <t>All Years</t>
  </si>
  <si>
    <t>Firm Pk</t>
  </si>
  <si>
    <t>Feb</t>
  </si>
  <si>
    <t>Jan</t>
  </si>
  <si>
    <t>Mar</t>
  </si>
  <si>
    <t>Aug</t>
  </si>
  <si>
    <t>Jul</t>
  </si>
  <si>
    <t>May</t>
  </si>
  <si>
    <t>Jun</t>
  </si>
  <si>
    <t xml:space="preserve"> Dec 2010</t>
  </si>
  <si>
    <t>Checks for coincidence</t>
  </si>
  <si>
    <t>At Winter Peak</t>
  </si>
  <si>
    <t>At Summer Peak</t>
  </si>
  <si>
    <t>model</t>
  </si>
  <si>
    <t xml:space="preserve"> 2014/15</t>
  </si>
  <si>
    <t>median</t>
  </si>
  <si>
    <t>mode</t>
  </si>
  <si>
    <t>average</t>
  </si>
  <si>
    <t>top 20</t>
  </si>
  <si>
    <t xml:space="preserve"> 2015/16</t>
  </si>
  <si>
    <t xml:space="preserve"> 2016/17</t>
  </si>
  <si>
    <t xml:space="preserve"> 2017/18</t>
  </si>
  <si>
    <t xml:space="preserve"> 2018/19</t>
  </si>
  <si>
    <t>To identify Winter</t>
  </si>
  <si>
    <t>Gross Instantaneous Peak</t>
  </si>
  <si>
    <t>Net Integrated</t>
  </si>
  <si>
    <t>Retail Peak</t>
  </si>
  <si>
    <t xml:space="preserve"> 2019/20</t>
  </si>
  <si>
    <t>2011-2020</t>
  </si>
  <si>
    <t>2001-2010</t>
  </si>
  <si>
    <t>Lori had temporarily changed it…to reflect COLD weather Winter Peak…but, we discussed this and we're going  to use what is above…Highest Demand from Nov thru Mar = Winter Peak, regardless of weather</t>
  </si>
  <si>
    <t>Annual Low</t>
  </si>
  <si>
    <t>History averages:</t>
  </si>
  <si>
    <t xml:space="preserve"> 2020/21</t>
  </si>
  <si>
    <t>top 10</t>
  </si>
  <si>
    <t>top 5</t>
  </si>
  <si>
    <t>5 yr Average</t>
  </si>
  <si>
    <t>5yrAvg</t>
  </si>
  <si>
    <t>Christmas Freeze of '89 is the</t>
  </si>
  <si>
    <t>Winter Pk of 1990</t>
  </si>
  <si>
    <t>Amount of Yrs</t>
  </si>
  <si>
    <t># of morning pk</t>
  </si>
  <si>
    <t>History Avg:</t>
  </si>
  <si>
    <t>5yravg</t>
  </si>
  <si>
    <t>Month</t>
  </si>
  <si>
    <t>NTempAtPeak</t>
  </si>
  <si>
    <t>NTemp24HrAvg</t>
  </si>
  <si>
    <t>NAtPk_Alt</t>
  </si>
  <si>
    <t>N24HR_Alt</t>
  </si>
  <si>
    <t>Feb am</t>
  </si>
  <si>
    <t>Feb pm</t>
  </si>
  <si>
    <t>&lt;----Don’t use yet, keep consistent with what we have been using</t>
  </si>
  <si>
    <t xml:space="preserve">&lt;----Don’t use yet, keep consistent with what we have been using. </t>
  </si>
  <si>
    <t xml:space="preserve">      Need to plan for cold December to avoid Christmas freeze of 1989.</t>
  </si>
  <si>
    <t>Dec</t>
  </si>
  <si>
    <t>JAN - Past 20 years (2002-2021), sorted low to high</t>
  </si>
  <si>
    <t>NOT USED- Just to see</t>
  </si>
  <si>
    <t xml:space="preserve"> 2021/22</t>
  </si>
  <si>
    <t>NOTES:</t>
  </si>
  <si>
    <t>* Normal Temp at Peak and 24 hr Averages for Apr-Jul, Sep &amp; Oct are based on a 10-yr average (2012-2021). Feb &amp; March are based on a Cold Peak AM 10-yr average.  Nov is based on a Hot Peak PM 10-yr average.</t>
  </si>
  <si>
    <r>
      <t>* Jan &amp; Dec are based on the top 20 coldest peak days over the past 49 years and Aug on the top 20 hottest peak days.  </t>
    </r>
    <r>
      <rPr>
        <b/>
        <sz val="10"/>
        <color indexed="53"/>
        <rFont val="Arial"/>
        <family val="2"/>
      </rPr>
      <t xml:space="preserve">(Kept Aug same as Fcst22 since data had been released) </t>
    </r>
  </si>
  <si>
    <t>807</t>
  </si>
  <si>
    <t>1716</t>
  </si>
  <si>
    <t>Checked started 2014</t>
  </si>
  <si>
    <t>LM = Includes Standby Generator &amp; C/I, Load Management, and Demand Response</t>
  </si>
  <si>
    <t>*</t>
  </si>
  <si>
    <t xml:space="preserve"> 2022/23</t>
  </si>
  <si>
    <t>Cold Pk</t>
  </si>
  <si>
    <t>Data Points</t>
  </si>
  <si>
    <t xml:space="preserve"> 2022/24</t>
  </si>
  <si>
    <t>not necessarily highest firm peak…see firm retail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</si>
</sst>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0.0%"/>
    <numFmt numFmtId="166" formatCode="0_)"/>
    <numFmt numFmtId="167" formatCode="_(* #,##0_);_(* \(#,##0\);_(* &quot;-&quot;??_);_(@_)"/>
    <numFmt numFmtId="168" formatCode="0.0000"/>
    <numFmt numFmtId="169" formatCode="0.0_)"/>
  </numFmts>
  <fonts count="64">
    <font>
      <sz val="12"/>
      <name val="Arial"/>
    </font>
    <font>
      <sz val="1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sz val="12"/>
      <color indexed="20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b/>
      <sz val="10"/>
      <color indexed="12"/>
      <name val="SWISS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i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Helv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name val="Arial"/>
      <family val="2"/>
    </font>
    <font>
      <i/>
      <sz val="12"/>
      <color indexed="12"/>
      <name val="Arial"/>
      <family val="2"/>
    </font>
    <font>
      <sz val="10"/>
      <name val="Arial"/>
      <family val="2"/>
    </font>
    <font>
      <i/>
      <sz val="8"/>
      <color rgb="FFFF0000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sz val="10"/>
      <color indexed="53"/>
      <name val="Arial"/>
      <family val="2"/>
    </font>
    <font>
      <sz val="12"/>
      <color rgb="FFFF0066"/>
      <name val="Arial"/>
      <family val="2"/>
    </font>
    <font>
      <b/>
      <sz val="12"/>
      <color rgb="FFFF0066"/>
      <name val="Arial"/>
      <family val="2"/>
    </font>
    <font>
      <b/>
      <sz val="16"/>
      <color indexed="12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4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9" fontId="3" fillId="0" borderId="1" xfId="0" applyNumberFormat="1" applyFont="1" applyBorder="1"/>
    <xf numFmtId="9" fontId="3" fillId="0" borderId="2" xfId="0" applyNumberFormat="1" applyFont="1" applyBorder="1"/>
    <xf numFmtId="9" fontId="3" fillId="0" borderId="3" xfId="0" applyNumberFormat="1" applyFont="1" applyBorder="1"/>
    <xf numFmtId="9" fontId="3" fillId="0" borderId="0" xfId="0" applyNumberFormat="1" applyFont="1"/>
    <xf numFmtId="0" fontId="1" fillId="0" borderId="3" xfId="0" applyFont="1" applyBorder="1"/>
    <xf numFmtId="0" fontId="6" fillId="0" borderId="0" xfId="0" applyFont="1"/>
    <xf numFmtId="0" fontId="7" fillId="0" borderId="0" xfId="0" applyFont="1"/>
    <xf numFmtId="0" fontId="7" fillId="0" borderId="2" xfId="0" applyFont="1" applyBorder="1"/>
    <xf numFmtId="0" fontId="6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3" xfId="0" applyFont="1" applyBorder="1"/>
    <xf numFmtId="1" fontId="3" fillId="0" borderId="0" xfId="0" applyNumberFormat="1" applyFont="1"/>
    <xf numFmtId="0" fontId="10" fillId="0" borderId="0" xfId="0" applyFont="1"/>
    <xf numFmtId="0" fontId="1" fillId="0" borderId="1" xfId="0" applyFont="1" applyBorder="1"/>
    <xf numFmtId="0" fontId="1" fillId="0" borderId="2" xfId="0" applyFont="1" applyBorder="1"/>
    <xf numFmtId="9" fontId="5" fillId="2" borderId="0" xfId="0" applyNumberFormat="1" applyFont="1" applyFill="1"/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" fontId="12" fillId="0" borderId="1" xfId="0" applyNumberFormat="1" applyFont="1" applyBorder="1" applyProtection="1">
      <protection locked="0"/>
    </xf>
    <xf numFmtId="1" fontId="12" fillId="0" borderId="0" xfId="0" applyNumberFormat="1" applyFont="1" applyProtection="1">
      <protection locked="0"/>
    </xf>
    <xf numFmtId="1" fontId="12" fillId="0" borderId="3" xfId="0" applyNumberFormat="1" applyFont="1" applyBorder="1" applyProtection="1">
      <protection locked="0"/>
    </xf>
    <xf numFmtId="1" fontId="5" fillId="0" borderId="0" xfId="0" applyNumberFormat="1" applyFont="1" applyProtection="1">
      <protection locked="0"/>
    </xf>
    <xf numFmtId="0" fontId="11" fillId="0" borderId="3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1" fontId="3" fillId="0" borderId="0" xfId="0" applyNumberFormat="1" applyFont="1" applyProtection="1">
      <protection locked="0"/>
    </xf>
    <xf numFmtId="0" fontId="13" fillId="0" borderId="0" xfId="0" applyFont="1"/>
    <xf numFmtId="1" fontId="5" fillId="0" borderId="0" xfId="0" applyNumberFormat="1" applyFont="1"/>
    <xf numFmtId="1" fontId="3" fillId="0" borderId="1" xfId="0" applyNumberFormat="1" applyFont="1" applyBorder="1" applyProtection="1">
      <protection locked="0"/>
    </xf>
    <xf numFmtId="1" fontId="3" fillId="0" borderId="2" xfId="0" applyNumberFormat="1" applyFont="1" applyBorder="1" applyProtection="1">
      <protection locked="0"/>
    </xf>
    <xf numFmtId="1" fontId="3" fillId="0" borderId="3" xfId="0" applyNumberFormat="1" applyFont="1" applyBorder="1" applyProtection="1">
      <protection locked="0"/>
    </xf>
    <xf numFmtId="0" fontId="14" fillId="6" borderId="1" xfId="0" applyFont="1" applyFill="1" applyBorder="1"/>
    <xf numFmtId="0" fontId="14" fillId="6" borderId="2" xfId="0" applyFont="1" applyFill="1" applyBorder="1"/>
    <xf numFmtId="0" fontId="15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6" borderId="3" xfId="0" applyFont="1" applyFill="1" applyBorder="1"/>
    <xf numFmtId="0" fontId="17" fillId="6" borderId="3" xfId="0" applyFont="1" applyFill="1" applyBorder="1" applyAlignment="1">
      <alignment horizontal="center"/>
    </xf>
    <xf numFmtId="0" fontId="14" fillId="6" borderId="0" xfId="0" applyFont="1" applyFill="1"/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1" fontId="3" fillId="5" borderId="2" xfId="0" applyNumberFormat="1" applyFont="1" applyFill="1" applyBorder="1" applyProtection="1">
      <protection locked="0"/>
    </xf>
    <xf numFmtId="0" fontId="16" fillId="6" borderId="0" xfId="0" applyFont="1" applyFill="1"/>
    <xf numFmtId="1" fontId="16" fillId="6" borderId="0" xfId="0" applyNumberFormat="1" applyFont="1" applyFill="1" applyProtection="1">
      <protection locked="0"/>
    </xf>
    <xf numFmtId="0" fontId="14" fillId="6" borderId="3" xfId="0" applyFont="1" applyFill="1" applyBorder="1"/>
    <xf numFmtId="1" fontId="16" fillId="5" borderId="0" xfId="0" applyNumberFormat="1" applyFont="1" applyFill="1" applyProtection="1">
      <protection locked="0"/>
    </xf>
    <xf numFmtId="1" fontId="3" fillId="5" borderId="3" xfId="0" applyNumberFormat="1" applyFont="1" applyFill="1" applyBorder="1" applyProtection="1">
      <protection locked="0"/>
    </xf>
    <xf numFmtId="1" fontId="3" fillId="5" borderId="0" xfId="0" applyNumberFormat="1" applyFont="1" applyFill="1" applyProtection="1">
      <protection locked="0"/>
    </xf>
    <xf numFmtId="0" fontId="16" fillId="5" borderId="3" xfId="0" applyFont="1" applyFill="1" applyBorder="1"/>
    <xf numFmtId="1" fontId="1" fillId="0" borderId="0" xfId="0" applyNumberFormat="1" applyFont="1"/>
    <xf numFmtId="1" fontId="10" fillId="0" borderId="0" xfId="0" applyNumberFormat="1" applyFont="1" applyAlignment="1">
      <alignment horizontal="center"/>
    </xf>
    <xf numFmtId="0" fontId="10" fillId="5" borderId="0" xfId="0" applyFont="1" applyFill="1"/>
    <xf numFmtId="1" fontId="12" fillId="0" borderId="2" xfId="0" applyNumberFormat="1" applyFont="1" applyBorder="1" applyProtection="1">
      <protection locked="0"/>
    </xf>
    <xf numFmtId="1" fontId="6" fillId="5" borderId="2" xfId="0" applyNumberFormat="1" applyFont="1" applyFill="1" applyBorder="1" applyProtection="1">
      <protection locked="0"/>
    </xf>
    <xf numFmtId="0" fontId="3" fillId="5" borderId="3" xfId="0" applyFont="1" applyFill="1" applyBorder="1"/>
    <xf numFmtId="0" fontId="3" fillId="5" borderId="0" xfId="0" applyFont="1" applyFill="1"/>
    <xf numFmtId="0" fontId="3" fillId="0" borderId="0" xfId="0" applyFont="1" applyAlignment="1">
      <alignment horizontal="left"/>
    </xf>
    <xf numFmtId="1" fontId="1" fillId="0" borderId="3" xfId="0" applyNumberFormat="1" applyFont="1" applyBorder="1"/>
    <xf numFmtId="1" fontId="10" fillId="0" borderId="0" xfId="0" applyNumberFormat="1" applyFont="1" applyAlignment="1">
      <alignment horizontal="right"/>
    </xf>
    <xf numFmtId="1" fontId="10" fillId="7" borderId="0" xfId="0" applyNumberFormat="1" applyFont="1" applyFill="1"/>
    <xf numFmtId="0" fontId="20" fillId="7" borderId="0" xfId="0" applyFont="1" applyFill="1"/>
    <xf numFmtId="0" fontId="8" fillId="0" borderId="3" xfId="0" applyFont="1" applyBorder="1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21" fillId="0" borderId="0" xfId="0" applyFont="1"/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22" fillId="0" borderId="3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3" xfId="0" applyFont="1" applyBorder="1" applyProtection="1">
      <protection locked="0"/>
    </xf>
    <xf numFmtId="1" fontId="3" fillId="0" borderId="1" xfId="0" applyNumberFormat="1" applyFont="1" applyBorder="1"/>
    <xf numFmtId="1" fontId="3" fillId="0" borderId="2" xfId="0" applyNumberFormat="1" applyFont="1" applyBorder="1"/>
    <xf numFmtId="1" fontId="3" fillId="0" borderId="3" xfId="0" applyNumberFormat="1" applyFont="1" applyBorder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/>
    <xf numFmtId="0" fontId="23" fillId="0" borderId="0" xfId="0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  <xf numFmtId="9" fontId="5" fillId="0" borderId="0" xfId="0" applyNumberFormat="1" applyFont="1"/>
    <xf numFmtId="0" fontId="1" fillId="0" borderId="4" xfId="0" applyFont="1" applyBorder="1"/>
    <xf numFmtId="165" fontId="13" fillId="0" borderId="1" xfId="0" applyNumberFormat="1" applyFont="1" applyBorder="1"/>
    <xf numFmtId="165" fontId="13" fillId="0" borderId="2" xfId="0" applyNumberFormat="1" applyFont="1" applyBorder="1"/>
    <xf numFmtId="165" fontId="13" fillId="0" borderId="3" xfId="0" applyNumberFormat="1" applyFont="1" applyBorder="1"/>
    <xf numFmtId="165" fontId="13" fillId="0" borderId="0" xfId="0" applyNumberFormat="1" applyFont="1"/>
    <xf numFmtId="10" fontId="3" fillId="0" borderId="0" xfId="0" applyNumberFormat="1" applyFont="1"/>
    <xf numFmtId="1" fontId="26" fillId="0" borderId="1" xfId="0" applyNumberFormat="1" applyFont="1" applyBorder="1" applyProtection="1">
      <protection locked="0"/>
    </xf>
    <xf numFmtId="1" fontId="26" fillId="0" borderId="2" xfId="0" applyNumberFormat="1" applyFont="1" applyBorder="1" applyProtection="1">
      <protection locked="0"/>
    </xf>
    <xf numFmtId="1" fontId="26" fillId="0" borderId="5" xfId="0" applyNumberFormat="1" applyFont="1" applyBorder="1" applyProtection="1">
      <protection locked="0"/>
    </xf>
    <xf numFmtId="1" fontId="26" fillId="0" borderId="4" xfId="0" applyNumberFormat="1" applyFont="1" applyBorder="1" applyProtection="1">
      <protection locked="0"/>
    </xf>
    <xf numFmtId="0" fontId="3" fillId="0" borderId="6" xfId="0" applyFont="1" applyBorder="1"/>
    <xf numFmtId="1" fontId="26" fillId="0" borderId="7" xfId="0" applyNumberFormat="1" applyFont="1" applyBorder="1" applyProtection="1">
      <protection locked="0"/>
    </xf>
    <xf numFmtId="1" fontId="26" fillId="0" borderId="3" xfId="0" applyNumberFormat="1" applyFont="1" applyBorder="1" applyProtection="1">
      <protection locked="0"/>
    </xf>
    <xf numFmtId="1" fontId="26" fillId="0" borderId="0" xfId="0" applyNumberFormat="1" applyFont="1" applyProtection="1">
      <protection locked="0"/>
    </xf>
    <xf numFmtId="1" fontId="26" fillId="0" borderId="6" xfId="0" applyNumberFormat="1" applyFont="1" applyBorder="1" applyProtection="1">
      <protection locked="0"/>
    </xf>
    <xf numFmtId="0" fontId="26" fillId="0" borderId="6" xfId="0" applyFont="1" applyBorder="1"/>
    <xf numFmtId="0" fontId="26" fillId="0" borderId="0" xfId="0" applyFont="1"/>
    <xf numFmtId="1" fontId="13" fillId="0" borderId="4" xfId="0" applyNumberFormat="1" applyFont="1" applyBorder="1"/>
    <xf numFmtId="0" fontId="3" fillId="0" borderId="4" xfId="0" applyFont="1" applyBorder="1"/>
    <xf numFmtId="1" fontId="13" fillId="0" borderId="0" xfId="0" applyNumberFormat="1" applyFont="1"/>
    <xf numFmtId="165" fontId="26" fillId="0" borderId="1" xfId="0" applyNumberFormat="1" applyFont="1" applyBorder="1" applyProtection="1">
      <protection locked="0"/>
    </xf>
    <xf numFmtId="165" fontId="26" fillId="0" borderId="2" xfId="0" applyNumberFormat="1" applyFont="1" applyBorder="1" applyProtection="1">
      <protection locked="0"/>
    </xf>
    <xf numFmtId="165" fontId="26" fillId="0" borderId="3" xfId="0" applyNumberFormat="1" applyFont="1" applyBorder="1" applyProtection="1">
      <protection locked="0"/>
    </xf>
    <xf numFmtId="165" fontId="26" fillId="0" borderId="0" xfId="0" applyNumberFormat="1" applyFont="1" applyProtection="1">
      <protection locked="0"/>
    </xf>
    <xf numFmtId="165" fontId="26" fillId="0" borderId="0" xfId="0" applyNumberFormat="1" applyFont="1"/>
    <xf numFmtId="165" fontId="3" fillId="0" borderId="0" xfId="0" applyNumberFormat="1" applyFont="1"/>
    <xf numFmtId="0" fontId="3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3" fillId="0" borderId="11" xfId="0" applyFont="1" applyBorder="1"/>
    <xf numFmtId="0" fontId="2" fillId="0" borderId="8" xfId="0" applyFont="1" applyBorder="1" applyAlignment="1">
      <alignment horizontal="centerContinuous"/>
    </xf>
    <xf numFmtId="0" fontId="3" fillId="0" borderId="10" xfId="0" applyFont="1" applyBorder="1"/>
    <xf numFmtId="0" fontId="3" fillId="0" borderId="12" xfId="0" applyFont="1" applyBorder="1"/>
    <xf numFmtId="0" fontId="3" fillId="0" borderId="9" xfId="0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8" xfId="0" applyFont="1" applyBorder="1"/>
    <xf numFmtId="0" fontId="3" fillId="8" borderId="1" xfId="0" applyFont="1" applyFill="1" applyBorder="1"/>
    <xf numFmtId="0" fontId="3" fillId="2" borderId="1" xfId="0" applyFont="1" applyFill="1" applyBorder="1"/>
    <xf numFmtId="0" fontId="3" fillId="8" borderId="3" xfId="0" applyFont="1" applyFill="1" applyBorder="1"/>
    <xf numFmtId="0" fontId="3" fillId="2" borderId="3" xfId="0" applyFont="1" applyFill="1" applyBorder="1"/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8" borderId="2" xfId="0" applyFont="1" applyFill="1" applyBorder="1"/>
    <xf numFmtId="0" fontId="3" fillId="2" borderId="2" xfId="0" applyFont="1" applyFill="1" applyBorder="1"/>
    <xf numFmtId="0" fontId="1" fillId="0" borderId="0" xfId="0" applyFont="1" applyAlignment="1">
      <alignment horizontal="right"/>
    </xf>
    <xf numFmtId="1" fontId="11" fillId="0" borderId="0" xfId="0" applyNumberFormat="1" applyFont="1" applyProtection="1">
      <protection locked="0"/>
    </xf>
    <xf numFmtId="0" fontId="28" fillId="0" borderId="0" xfId="0" applyFont="1"/>
    <xf numFmtId="0" fontId="29" fillId="0" borderId="0" xfId="0" applyFont="1"/>
    <xf numFmtId="0" fontId="30" fillId="0" borderId="2" xfId="0" applyFont="1" applyBorder="1"/>
    <xf numFmtId="0" fontId="30" fillId="0" borderId="1" xfId="0" applyFont="1" applyBorder="1"/>
    <xf numFmtId="0" fontId="3" fillId="0" borderId="14" xfId="0" applyFont="1" applyBorder="1"/>
    <xf numFmtId="0" fontId="32" fillId="0" borderId="0" xfId="0" applyFont="1"/>
    <xf numFmtId="0" fontId="31" fillId="0" borderId="0" xfId="0" applyFont="1"/>
    <xf numFmtId="0" fontId="30" fillId="0" borderId="0" xfId="0" applyFont="1"/>
    <xf numFmtId="0" fontId="28" fillId="0" borderId="3" xfId="0" applyFont="1" applyBorder="1"/>
    <xf numFmtId="0" fontId="8" fillId="0" borderId="14" xfId="0" applyFont="1" applyBorder="1"/>
    <xf numFmtId="0" fontId="3" fillId="0" borderId="15" xfId="0" applyFont="1" applyBorder="1" applyAlignment="1">
      <alignment horizontal="center"/>
    </xf>
    <xf numFmtId="9" fontId="3" fillId="0" borderId="15" xfId="0" applyNumberFormat="1" applyFont="1" applyBorder="1"/>
    <xf numFmtId="0" fontId="8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3" fillId="0" borderId="15" xfId="0" applyFont="1" applyBorder="1"/>
    <xf numFmtId="0" fontId="1" fillId="9" borderId="17" xfId="0" applyFont="1" applyFill="1" applyBorder="1"/>
    <xf numFmtId="0" fontId="3" fillId="9" borderId="20" xfId="0" applyFont="1" applyFill="1" applyBorder="1"/>
    <xf numFmtId="0" fontId="1" fillId="9" borderId="19" xfId="0" applyFont="1" applyFill="1" applyBorder="1"/>
    <xf numFmtId="0" fontId="3" fillId="9" borderId="21" xfId="0" applyFont="1" applyFill="1" applyBorder="1"/>
    <xf numFmtId="1" fontId="1" fillId="9" borderId="22" xfId="0" applyNumberFormat="1" applyFont="1" applyFill="1" applyBorder="1"/>
    <xf numFmtId="1" fontId="1" fillId="9" borderId="23" xfId="0" applyNumberFormat="1" applyFont="1" applyFill="1" applyBorder="1"/>
    <xf numFmtId="164" fontId="5" fillId="0" borderId="0" xfId="0" applyNumberFormat="1" applyFont="1"/>
    <xf numFmtId="1" fontId="6" fillId="0" borderId="0" xfId="0" applyNumberFormat="1" applyFont="1"/>
    <xf numFmtId="164" fontId="3" fillId="0" borderId="0" xfId="0" applyNumberFormat="1" applyFont="1"/>
    <xf numFmtId="49" fontId="3" fillId="0" borderId="0" xfId="0" applyNumberFormat="1" applyFont="1" applyAlignment="1">
      <alignment horizontal="right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right"/>
    </xf>
    <xf numFmtId="0" fontId="29" fillId="5" borderId="24" xfId="0" applyFont="1" applyFill="1" applyBorder="1"/>
    <xf numFmtId="0" fontId="20" fillId="0" borderId="0" xfId="0" applyFont="1"/>
    <xf numFmtId="0" fontId="37" fillId="0" borderId="0" xfId="0" applyFont="1"/>
    <xf numFmtId="0" fontId="10" fillId="0" borderId="27" xfId="0" applyFont="1" applyBorder="1" applyAlignment="1">
      <alignment horizontal="right"/>
    </xf>
    <xf numFmtId="0" fontId="14" fillId="0" borderId="0" xfId="0" applyFont="1"/>
    <xf numFmtId="0" fontId="14" fillId="0" borderId="3" xfId="0" applyFont="1" applyBorder="1"/>
    <xf numFmtId="0" fontId="14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27" fillId="0" borderId="0" xfId="0" applyFont="1"/>
    <xf numFmtId="1" fontId="14" fillId="0" borderId="0" xfId="0" applyNumberFormat="1" applyFont="1"/>
    <xf numFmtId="9" fontId="14" fillId="0" borderId="0" xfId="0" applyNumberFormat="1" applyFont="1"/>
    <xf numFmtId="9" fontId="37" fillId="0" borderId="0" xfId="0" applyNumberFormat="1" applyFont="1"/>
    <xf numFmtId="0" fontId="14" fillId="0" borderId="0" xfId="0" applyFont="1" applyAlignment="1">
      <alignment horizontal="center"/>
    </xf>
    <xf numFmtId="1" fontId="14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166" fontId="14" fillId="0" borderId="0" xfId="0" applyNumberFormat="1" applyFont="1" applyProtection="1">
      <protection locked="0"/>
    </xf>
    <xf numFmtId="164" fontId="14" fillId="0" borderId="0" xfId="0" applyNumberFormat="1" applyFont="1"/>
    <xf numFmtId="164" fontId="37" fillId="0" borderId="0" xfId="0" applyNumberFormat="1" applyFont="1"/>
    <xf numFmtId="0" fontId="38" fillId="0" borderId="0" xfId="0" applyFont="1" applyAlignment="1">
      <alignment horizontal="left"/>
    </xf>
    <xf numFmtId="0" fontId="39" fillId="0" borderId="0" xfId="0" applyFont="1"/>
    <xf numFmtId="0" fontId="1" fillId="0" borderId="15" xfId="0" applyFont="1" applyBorder="1" applyAlignment="1">
      <alignment horizontal="right"/>
    </xf>
    <xf numFmtId="1" fontId="8" fillId="3" borderId="2" xfId="0" applyNumberFormat="1" applyFont="1" applyFill="1" applyBorder="1" applyProtection="1">
      <protection locked="0"/>
    </xf>
    <xf numFmtId="1" fontId="8" fillId="3" borderId="0" xfId="0" applyNumberFormat="1" applyFont="1" applyFill="1" applyProtection="1">
      <protection locked="0"/>
    </xf>
    <xf numFmtId="1" fontId="8" fillId="3" borderId="3" xfId="0" applyNumberFormat="1" applyFont="1" applyFill="1" applyBorder="1" applyProtection="1">
      <protection locked="0"/>
    </xf>
    <xf numFmtId="0" fontId="32" fillId="0" borderId="3" xfId="0" applyFont="1" applyBorder="1"/>
    <xf numFmtId="0" fontId="1" fillId="0" borderId="0" xfId="0" applyFont="1" applyAlignment="1">
      <alignment horizontal="center"/>
    </xf>
    <xf numFmtId="0" fontId="43" fillId="0" borderId="0" xfId="0" applyFont="1"/>
    <xf numFmtId="0" fontId="1" fillId="0" borderId="3" xfId="0" applyFont="1" applyBorder="1" applyAlignment="1">
      <alignment horizontal="center"/>
    </xf>
    <xf numFmtId="1" fontId="8" fillId="0" borderId="0" xfId="0" applyNumberFormat="1" applyFont="1"/>
    <xf numFmtId="1" fontId="0" fillId="0" borderId="0" xfId="0" applyNumberFormat="1"/>
    <xf numFmtId="0" fontId="0" fillId="0" borderId="3" xfId="0" applyBorder="1"/>
    <xf numFmtId="1" fontId="8" fillId="10" borderId="0" xfId="0" applyNumberFormat="1" applyFont="1" applyFill="1"/>
    <xf numFmtId="1" fontId="43" fillId="0" borderId="0" xfId="0" applyNumberFormat="1" applyFont="1"/>
    <xf numFmtId="1" fontId="1" fillId="3" borderId="0" xfId="0" applyNumberFormat="1" applyFont="1" applyFill="1" applyProtection="1">
      <protection locked="0"/>
    </xf>
    <xf numFmtId="1" fontId="5" fillId="10" borderId="0" xfId="0" applyNumberFormat="1" applyFont="1" applyFill="1"/>
    <xf numFmtId="0" fontId="1" fillId="0" borderId="25" xfId="0" applyFont="1" applyBorder="1"/>
    <xf numFmtId="0" fontId="1" fillId="0" borderId="28" xfId="0" applyFont="1" applyBorder="1"/>
    <xf numFmtId="0" fontId="5" fillId="0" borderId="28" xfId="0" applyFont="1" applyBorder="1"/>
    <xf numFmtId="0" fontId="1" fillId="0" borderId="29" xfId="0" applyFont="1" applyBorder="1"/>
    <xf numFmtId="0" fontId="1" fillId="0" borderId="27" xfId="0" applyFont="1" applyBorder="1"/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7" fontId="0" fillId="0" borderId="25" xfId="1" applyNumberFormat="1" applyFont="1" applyBorder="1"/>
    <xf numFmtId="167" fontId="0" fillId="0" borderId="26" xfId="1" applyNumberFormat="1" applyFont="1" applyBorder="1" applyAlignment="1">
      <alignment horizontal="center"/>
    </xf>
    <xf numFmtId="0" fontId="0" fillId="0" borderId="26" xfId="0" applyBorder="1"/>
    <xf numFmtId="167" fontId="0" fillId="0" borderId="14" xfId="1" applyNumberFormat="1" applyFont="1" applyBorder="1"/>
    <xf numFmtId="167" fontId="0" fillId="0" borderId="15" xfId="1" applyNumberFormat="1" applyFont="1" applyBorder="1" applyAlignment="1">
      <alignment horizontal="center"/>
    </xf>
    <xf numFmtId="0" fontId="0" fillId="0" borderId="15" xfId="0" applyBorder="1"/>
    <xf numFmtId="0" fontId="1" fillId="11" borderId="0" xfId="0" applyFont="1" applyFill="1"/>
    <xf numFmtId="1" fontId="1" fillId="11" borderId="0" xfId="0" applyNumberFormat="1" applyFont="1" applyFill="1"/>
    <xf numFmtId="167" fontId="1" fillId="0" borderId="0" xfId="0" applyNumberFormat="1" applyFont="1"/>
    <xf numFmtId="1" fontId="11" fillId="0" borderId="0" xfId="0" applyNumberFormat="1" applyFont="1" applyAlignment="1" applyProtection="1">
      <alignment horizontal="right"/>
      <protection locked="0"/>
    </xf>
    <xf numFmtId="0" fontId="1" fillId="0" borderId="15" xfId="0" applyFont="1" applyBorder="1"/>
    <xf numFmtId="0" fontId="45" fillId="0" borderId="0" xfId="0" applyFont="1"/>
    <xf numFmtId="1" fontId="7" fillId="0" borderId="0" xfId="0" applyNumberFormat="1" applyFont="1"/>
    <xf numFmtId="167" fontId="8" fillId="0" borderId="0" xfId="1" applyNumberFormat="1" applyFont="1" applyBorder="1" applyAlignment="1">
      <alignment horizontal="center"/>
    </xf>
    <xf numFmtId="167" fontId="7" fillId="2" borderId="0" xfId="1" applyNumberFormat="1" applyFont="1" applyFill="1" applyBorder="1" applyAlignment="1">
      <alignment horizontal="center"/>
    </xf>
    <xf numFmtId="167" fontId="44" fillId="0" borderId="0" xfId="1" applyNumberFormat="1" applyFont="1" applyBorder="1" applyAlignment="1">
      <alignment horizontal="center"/>
    </xf>
    <xf numFmtId="1" fontId="1" fillId="0" borderId="14" xfId="0" applyNumberFormat="1" applyFont="1" applyBorder="1"/>
    <xf numFmtId="1" fontId="43" fillId="0" borderId="14" xfId="0" applyNumberFormat="1" applyFont="1" applyBorder="1"/>
    <xf numFmtId="167" fontId="7" fillId="10" borderId="34" xfId="1" applyNumberFormat="1" applyFont="1" applyFill="1" applyBorder="1" applyAlignment="1">
      <alignment horizontal="center"/>
    </xf>
    <xf numFmtId="0" fontId="29" fillId="5" borderId="24" xfId="0" applyFont="1" applyFill="1" applyBorder="1" applyAlignment="1">
      <alignment horizontal="center"/>
    </xf>
    <xf numFmtId="167" fontId="31" fillId="5" borderId="24" xfId="1" applyNumberFormat="1" applyFont="1" applyFill="1" applyBorder="1" applyAlignment="1"/>
    <xf numFmtId="167" fontId="1" fillId="0" borderId="0" xfId="1" applyNumberFormat="1" applyFont="1" applyAlignment="1"/>
    <xf numFmtId="0" fontId="5" fillId="10" borderId="3" xfId="0" applyFont="1" applyFill="1" applyBorder="1"/>
    <xf numFmtId="1" fontId="1" fillId="0" borderId="35" xfId="1" applyNumberFormat="1" applyFont="1" applyBorder="1" applyAlignment="1">
      <alignment horizontal="right"/>
    </xf>
    <xf numFmtId="167" fontId="45" fillId="12" borderId="0" xfId="1" applyNumberFormat="1" applyFont="1" applyFill="1" applyAlignment="1">
      <alignment horizontal="center" vertical="center"/>
    </xf>
    <xf numFmtId="14" fontId="45" fillId="12" borderId="0" xfId="0" applyNumberFormat="1" applyFont="1" applyFill="1" applyAlignment="1">
      <alignment horizontal="center" vertical="center"/>
    </xf>
    <xf numFmtId="0" fontId="5" fillId="12" borderId="3" xfId="0" applyFont="1" applyFill="1" applyBorder="1" applyAlignment="1">
      <alignment horizontal="center"/>
    </xf>
    <xf numFmtId="167" fontId="8" fillId="0" borderId="3" xfId="1" applyNumberFormat="1" applyFont="1" applyBorder="1" applyAlignment="1">
      <alignment horizontal="center"/>
    </xf>
    <xf numFmtId="167" fontId="8" fillId="0" borderId="0" xfId="1" applyNumberFormat="1" applyFont="1" applyFill="1" applyAlignment="1">
      <alignment horizontal="center"/>
    </xf>
    <xf numFmtId="167" fontId="3" fillId="0" borderId="3" xfId="1" applyNumberFormat="1" applyFont="1" applyBorder="1" applyAlignment="1">
      <alignment horizontal="center"/>
    </xf>
    <xf numFmtId="167" fontId="3" fillId="0" borderId="0" xfId="1" applyNumberFormat="1" applyFont="1" applyAlignment="1">
      <alignment horizontal="center"/>
    </xf>
    <xf numFmtId="1" fontId="7" fillId="10" borderId="24" xfId="1" applyNumberFormat="1" applyFont="1" applyFill="1" applyBorder="1" applyAlignment="1">
      <alignment horizontal="center"/>
    </xf>
    <xf numFmtId="1" fontId="8" fillId="13" borderId="0" xfId="0" applyNumberFormat="1" applyFont="1" applyFill="1" applyProtection="1">
      <protection locked="0"/>
    </xf>
    <xf numFmtId="0" fontId="1" fillId="0" borderId="36" xfId="0" applyFont="1" applyBorder="1"/>
    <xf numFmtId="0" fontId="1" fillId="0" borderId="18" xfId="0" applyFont="1" applyBorder="1"/>
    <xf numFmtId="0" fontId="1" fillId="0" borderId="40" xfId="0" applyFont="1" applyBorder="1"/>
    <xf numFmtId="0" fontId="1" fillId="14" borderId="0" xfId="0" applyFont="1" applyFill="1"/>
    <xf numFmtId="1" fontId="47" fillId="0" borderId="0" xfId="0" applyNumberFormat="1" applyFont="1"/>
    <xf numFmtId="166" fontId="1" fillId="0" borderId="0" xfId="0" applyNumberFormat="1" applyFont="1"/>
    <xf numFmtId="0" fontId="44" fillId="0" borderId="0" xfId="0" applyFont="1" applyAlignment="1">
      <alignment horizontal="right"/>
    </xf>
    <xf numFmtId="1" fontId="44" fillId="0" borderId="0" xfId="0" applyNumberFormat="1" applyFont="1"/>
    <xf numFmtId="0" fontId="44" fillId="0" borderId="0" xfId="0" applyFont="1"/>
    <xf numFmtId="0" fontId="48" fillId="0" borderId="0" xfId="0" applyFont="1"/>
    <xf numFmtId="167" fontId="7" fillId="12" borderId="44" xfId="1" applyNumberFormat="1" applyFont="1" applyFill="1" applyBorder="1" applyAlignment="1">
      <alignment horizontal="center"/>
    </xf>
    <xf numFmtId="0" fontId="1" fillId="0" borderId="46" xfId="0" applyFont="1" applyBorder="1" applyAlignment="1">
      <alignment horizontal="center"/>
    </xf>
    <xf numFmtId="167" fontId="45" fillId="12" borderId="47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1" fillId="14" borderId="0" xfId="0" applyFont="1" applyFill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9" fontId="1" fillId="0" borderId="0" xfId="2" applyFont="1" applyBorder="1" applyAlignment="1">
      <alignment horizontal="center"/>
    </xf>
    <xf numFmtId="9" fontId="1" fillId="0" borderId="39" xfId="2" applyFont="1" applyBorder="1" applyAlignment="1">
      <alignment horizontal="center"/>
    </xf>
    <xf numFmtId="9" fontId="1" fillId="0" borderId="41" xfId="0" applyNumberFormat="1" applyFont="1" applyBorder="1" applyAlignment="1">
      <alignment horizontal="center"/>
    </xf>
    <xf numFmtId="9" fontId="1" fillId="0" borderId="42" xfId="0" applyNumberFormat="1" applyFont="1" applyBorder="1" applyAlignment="1">
      <alignment horizontal="center"/>
    </xf>
    <xf numFmtId="1" fontId="5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1" fontId="1" fillId="3" borderId="0" xfId="0" applyNumberFormat="1" applyFont="1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" fontId="8" fillId="3" borderId="0" xfId="0" applyNumberFormat="1" applyFont="1" applyFill="1" applyAlignment="1" applyProtection="1">
      <alignment horizontal="center"/>
      <protection locked="0"/>
    </xf>
    <xf numFmtId="0" fontId="1" fillId="0" borderId="2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5" fillId="5" borderId="0" xfId="0" applyFont="1" applyFill="1" applyAlignment="1">
      <alignment horizontal="right"/>
    </xf>
    <xf numFmtId="0" fontId="49" fillId="0" borderId="0" xfId="0" applyFont="1"/>
    <xf numFmtId="0" fontId="1" fillId="0" borderId="4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167" fontId="1" fillId="0" borderId="14" xfId="1" applyNumberFormat="1" applyFont="1" applyBorder="1" applyAlignment="1">
      <alignment horizontal="center"/>
    </xf>
    <xf numFmtId="167" fontId="1" fillId="0" borderId="15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9" fontId="1" fillId="0" borderId="0" xfId="0" applyNumberFormat="1" applyFont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30" xfId="0" applyFont="1" applyBorder="1" applyAlignment="1">
      <alignment horizontal="right"/>
    </xf>
    <xf numFmtId="0" fontId="1" fillId="3" borderId="0" xfId="0" applyFont="1" applyFill="1"/>
    <xf numFmtId="1" fontId="11" fillId="0" borderId="1" xfId="0" applyNumberFormat="1" applyFont="1" applyBorder="1" applyProtection="1">
      <protection locked="0"/>
    </xf>
    <xf numFmtId="1" fontId="11" fillId="4" borderId="2" xfId="0" applyNumberFormat="1" applyFont="1" applyFill="1" applyBorder="1" applyProtection="1">
      <protection locked="0"/>
    </xf>
    <xf numFmtId="1" fontId="11" fillId="4" borderId="0" xfId="0" applyNumberFormat="1" applyFont="1" applyFill="1" applyAlignment="1" applyProtection="1">
      <alignment horizontal="center"/>
      <protection locked="0"/>
    </xf>
    <xf numFmtId="1" fontId="11" fillId="0" borderId="0" xfId="0" applyNumberFormat="1" applyFont="1" applyAlignment="1" applyProtection="1">
      <alignment horizontal="center"/>
      <protection locked="0"/>
    </xf>
    <xf numFmtId="1" fontId="11" fillId="0" borderId="3" xfId="0" applyNumberFormat="1" applyFont="1" applyBorder="1" applyProtection="1">
      <protection locked="0"/>
    </xf>
    <xf numFmtId="1" fontId="11" fillId="4" borderId="0" xfId="0" applyNumberFormat="1" applyFont="1" applyFill="1" applyProtection="1"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/>
    <xf numFmtId="164" fontId="1" fillId="10" borderId="0" xfId="0" applyNumberFormat="1" applyFont="1" applyFill="1"/>
    <xf numFmtId="2" fontId="1" fillId="0" borderId="0" xfId="0" applyNumberFormat="1" applyFont="1"/>
    <xf numFmtId="9" fontId="1" fillId="0" borderId="0" xfId="2" applyFont="1" applyAlignment="1">
      <alignment horizontal="center"/>
    </xf>
    <xf numFmtId="164" fontId="1" fillId="10" borderId="0" xfId="0" applyNumberFormat="1" applyFont="1" applyFill="1" applyAlignment="1">
      <alignment horizontal="center"/>
    </xf>
    <xf numFmtId="1" fontId="1" fillId="5" borderId="0" xfId="0" applyNumberFormat="1" applyFont="1" applyFill="1"/>
    <xf numFmtId="164" fontId="1" fillId="5" borderId="0" xfId="0" applyNumberFormat="1" applyFont="1" applyFill="1"/>
    <xf numFmtId="164" fontId="1" fillId="0" borderId="0" xfId="0" applyNumberFormat="1" applyFont="1" applyAlignment="1">
      <alignment horizontal="center"/>
    </xf>
    <xf numFmtId="166" fontId="8" fillId="5" borderId="0" xfId="0" applyNumberFormat="1" applyFont="1" applyFill="1" applyAlignment="1" applyProtection="1">
      <alignment horizontal="center"/>
      <protection locked="0"/>
    </xf>
    <xf numFmtId="166" fontId="43" fillId="5" borderId="0" xfId="0" applyNumberFormat="1" applyFont="1" applyFill="1" applyAlignment="1" applyProtection="1">
      <alignment horizontal="center"/>
      <protection locked="0"/>
    </xf>
    <xf numFmtId="1" fontId="1" fillId="3" borderId="3" xfId="0" applyNumberFormat="1" applyFont="1" applyFill="1" applyBorder="1" applyProtection="1">
      <protection locked="0"/>
    </xf>
    <xf numFmtId="1" fontId="50" fillId="0" borderId="0" xfId="0" applyNumberFormat="1" applyFont="1" applyAlignment="1" applyProtection="1">
      <alignment horizontal="center"/>
      <protection locked="0"/>
    </xf>
    <xf numFmtId="1" fontId="1" fillId="0" borderId="27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" fontId="50" fillId="0" borderId="0" xfId="0" applyNumberFormat="1" applyFont="1" applyProtection="1">
      <protection locked="0"/>
    </xf>
    <xf numFmtId="2" fontId="1" fillId="1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1" fillId="15" borderId="0" xfId="0" applyFont="1" applyFill="1"/>
    <xf numFmtId="1" fontId="5" fillId="15" borderId="0" xfId="0" applyNumberFormat="1" applyFont="1" applyFill="1"/>
    <xf numFmtId="1" fontId="5" fillId="15" borderId="0" xfId="0" applyNumberFormat="1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2" fontId="13" fillId="10" borderId="0" xfId="0" applyNumberFormat="1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66" fontId="1" fillId="0" borderId="27" xfId="0" applyNumberFormat="1" applyFont="1" applyBorder="1" applyAlignment="1" applyProtection="1">
      <alignment horizontal="center"/>
      <protection locked="0"/>
    </xf>
    <xf numFmtId="1" fontId="1" fillId="10" borderId="0" xfId="0" applyNumberFormat="1" applyFont="1" applyFill="1" applyAlignment="1">
      <alignment horizontal="center"/>
    </xf>
    <xf numFmtId="167" fontId="1" fillId="0" borderId="0" xfId="1" applyNumberFormat="1" applyFont="1" applyBorder="1" applyAlignment="1">
      <alignment horizontal="center"/>
    </xf>
    <xf numFmtId="1" fontId="45" fillId="0" borderId="0" xfId="0" applyNumberFormat="1" applyFont="1"/>
    <xf numFmtId="167" fontId="8" fillId="0" borderId="15" xfId="1" applyNumberFormat="1" applyFont="1" applyBorder="1" applyAlignment="1">
      <alignment horizontal="center"/>
    </xf>
    <xf numFmtId="0" fontId="1" fillId="0" borderId="48" xfId="0" applyFont="1" applyBorder="1"/>
    <xf numFmtId="9" fontId="1" fillId="0" borderId="15" xfId="0" applyNumberFormat="1" applyFont="1" applyBorder="1"/>
    <xf numFmtId="0" fontId="45" fillId="12" borderId="0" xfId="0" applyFont="1" applyFill="1" applyAlignment="1">
      <alignment horizontal="right" vertical="center"/>
    </xf>
    <xf numFmtId="0" fontId="1" fillId="14" borderId="0" xfId="0" applyFont="1" applyFill="1" applyAlignment="1">
      <alignment horizontal="left"/>
    </xf>
    <xf numFmtId="14" fontId="1" fillId="0" borderId="0" xfId="0" applyNumberFormat="1" applyFont="1"/>
    <xf numFmtId="1" fontId="1" fillId="0" borderId="0" xfId="1" applyNumberFormat="1" applyFont="1" applyBorder="1" applyAlignment="1">
      <alignment horizontal="right"/>
    </xf>
    <xf numFmtId="3" fontId="1" fillId="0" borderId="0" xfId="0" applyNumberFormat="1" applyFont="1"/>
    <xf numFmtId="3" fontId="11" fillId="0" borderId="0" xfId="0" applyNumberFormat="1" applyFont="1" applyAlignment="1" applyProtection="1">
      <alignment horizontal="right"/>
      <protection locked="0"/>
    </xf>
    <xf numFmtId="3" fontId="6" fillId="0" borderId="3" xfId="0" applyNumberFormat="1" applyFont="1" applyBorder="1"/>
    <xf numFmtId="3" fontId="3" fillId="0" borderId="0" xfId="0" applyNumberFormat="1" applyFont="1"/>
    <xf numFmtId="3" fontId="7" fillId="0" borderId="0" xfId="0" applyNumberFormat="1" applyFont="1"/>
    <xf numFmtId="3" fontId="3" fillId="0" borderId="3" xfId="0" applyNumberFormat="1" applyFont="1" applyBorder="1"/>
    <xf numFmtId="3" fontId="6" fillId="0" borderId="0" xfId="0" applyNumberFormat="1" applyFont="1"/>
    <xf numFmtId="3" fontId="29" fillId="0" borderId="0" xfId="0" applyNumberFormat="1" applyFont="1"/>
    <xf numFmtId="3" fontId="22" fillId="0" borderId="0" xfId="0" applyNumberFormat="1" applyFont="1"/>
    <xf numFmtId="3" fontId="28" fillId="0" borderId="0" xfId="0" applyNumberFormat="1" applyFont="1"/>
    <xf numFmtId="3" fontId="6" fillId="0" borderId="14" xfId="0" applyNumberFormat="1" applyFont="1" applyBorder="1"/>
    <xf numFmtId="3" fontId="32" fillId="0" borderId="0" xfId="0" applyNumberFormat="1" applyFont="1"/>
    <xf numFmtId="3" fontId="30" fillId="0" borderId="0" xfId="0" applyNumberFormat="1" applyFont="1"/>
    <xf numFmtId="3" fontId="47" fillId="0" borderId="0" xfId="0" applyNumberFormat="1" applyFont="1"/>
    <xf numFmtId="3" fontId="45" fillId="0" borderId="0" xfId="0" applyNumberFormat="1" applyFont="1"/>
    <xf numFmtId="3" fontId="43" fillId="0" borderId="0" xfId="0" applyNumberFormat="1" applyFont="1"/>
    <xf numFmtId="0" fontId="10" fillId="0" borderId="30" xfId="0" applyFont="1" applyBorder="1"/>
    <xf numFmtId="0" fontId="1" fillId="0" borderId="27" xfId="0" applyFont="1" applyBorder="1" applyAlignment="1">
      <alignment horizontal="right"/>
    </xf>
    <xf numFmtId="9" fontId="1" fillId="0" borderId="27" xfId="0" applyNumberFormat="1" applyFont="1" applyBorder="1" applyAlignment="1">
      <alignment horizontal="right"/>
    </xf>
    <xf numFmtId="1" fontId="1" fillId="0" borderId="0" xfId="1" applyNumberFormat="1" applyFont="1" applyFill="1" applyBorder="1" applyAlignment="1">
      <alignment horizontal="right"/>
    </xf>
    <xf numFmtId="0" fontId="9" fillId="0" borderId="0" xfId="0" applyFont="1"/>
    <xf numFmtId="1" fontId="42" fillId="0" borderId="35" xfId="1" applyNumberFormat="1" applyFont="1" applyFill="1" applyBorder="1" applyAlignment="1">
      <alignment horizontal="right"/>
    </xf>
    <xf numFmtId="1" fontId="42" fillId="0" borderId="0" xfId="1" applyNumberFormat="1" applyFont="1" applyFill="1" applyBorder="1" applyAlignment="1">
      <alignment horizontal="right"/>
    </xf>
    <xf numFmtId="41" fontId="1" fillId="0" borderId="0" xfId="0" applyNumberFormat="1" applyFont="1" applyAlignment="1">
      <alignment horizontal="center"/>
    </xf>
    <xf numFmtId="41" fontId="58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59" fillId="0" borderId="0" xfId="0" applyNumberFormat="1" applyFont="1"/>
    <xf numFmtId="168" fontId="3" fillId="0" borderId="0" xfId="0" applyNumberFormat="1" applyFont="1"/>
    <xf numFmtId="41" fontId="1" fillId="10" borderId="0" xfId="0" applyNumberFormat="1" applyFont="1" applyFill="1"/>
    <xf numFmtId="0" fontId="5" fillId="9" borderId="17" xfId="0" applyFont="1" applyFill="1" applyBorder="1"/>
    <xf numFmtId="0" fontId="5" fillId="9" borderId="19" xfId="0" applyFont="1" applyFill="1" applyBorder="1"/>
    <xf numFmtId="0" fontId="5" fillId="10" borderId="0" xfId="0" applyFont="1" applyFill="1"/>
    <xf numFmtId="0" fontId="3" fillId="10" borderId="0" xfId="0" applyFont="1" applyFill="1"/>
    <xf numFmtId="0" fontId="3" fillId="10" borderId="3" xfId="0" applyFont="1" applyFill="1" applyBorder="1"/>
    <xf numFmtId="0" fontId="1" fillId="10" borderId="0" xfId="0" applyFont="1" applyFill="1"/>
    <xf numFmtId="1" fontId="5" fillId="16" borderId="0" xfId="0" applyNumberFormat="1" applyFont="1" applyFill="1"/>
    <xf numFmtId="0" fontId="1" fillId="16" borderId="0" xfId="0" applyFont="1" applyFill="1"/>
    <xf numFmtId="0" fontId="1" fillId="16" borderId="0" xfId="0" applyFont="1" applyFill="1" applyAlignment="1">
      <alignment horizontal="center"/>
    </xf>
    <xf numFmtId="164" fontId="5" fillId="16" borderId="0" xfId="0" applyNumberFormat="1" applyFont="1" applyFill="1" applyAlignment="1">
      <alignment horizontal="center"/>
    </xf>
    <xf numFmtId="1" fontId="8" fillId="5" borderId="0" xfId="0" applyNumberFormat="1" applyFont="1" applyFill="1"/>
    <xf numFmtId="1" fontId="5" fillId="16" borderId="0" xfId="0" applyNumberFormat="1" applyFont="1" applyFill="1" applyAlignment="1">
      <alignment horizontal="center"/>
    </xf>
    <xf numFmtId="1" fontId="43" fillId="10" borderId="0" xfId="0" applyNumberFormat="1" applyFont="1" applyFill="1"/>
    <xf numFmtId="167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0" fontId="29" fillId="5" borderId="44" xfId="0" applyFont="1" applyFill="1" applyBorder="1"/>
    <xf numFmtId="0" fontId="3" fillId="0" borderId="27" xfId="0" applyFont="1" applyBorder="1" applyAlignment="1">
      <alignment horizontal="right"/>
    </xf>
    <xf numFmtId="41" fontId="3" fillId="0" borderId="0" xfId="0" applyNumberFormat="1" applyFont="1"/>
    <xf numFmtId="43" fontId="3" fillId="0" borderId="0" xfId="0" applyNumberFormat="1" applyFont="1"/>
    <xf numFmtId="0" fontId="31" fillId="0" borderId="49" xfId="0" applyFont="1" applyBorder="1" applyAlignment="1">
      <alignment horizontal="center"/>
    </xf>
    <xf numFmtId="0" fontId="1" fillId="9" borderId="36" xfId="0" applyFont="1" applyFill="1" applyBorder="1"/>
    <xf numFmtId="0" fontId="21" fillId="9" borderId="50" xfId="0" applyFont="1" applyFill="1" applyBorder="1" applyAlignment="1">
      <alignment horizontal="center" wrapText="1"/>
    </xf>
    <xf numFmtId="0" fontId="21" fillId="9" borderId="51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" fontId="44" fillId="5" borderId="0" xfId="0" applyNumberFormat="1" applyFont="1" applyFill="1"/>
    <xf numFmtId="169" fontId="43" fillId="5" borderId="0" xfId="0" applyNumberFormat="1" applyFont="1" applyFill="1" applyAlignment="1" applyProtection="1">
      <alignment horizontal="center"/>
      <protection locked="0"/>
    </xf>
    <xf numFmtId="164" fontId="43" fillId="10" borderId="0" xfId="0" applyNumberFormat="1" applyFont="1" applyFill="1"/>
    <xf numFmtId="2" fontId="1" fillId="10" borderId="0" xfId="0" applyNumberFormat="1" applyFont="1" applyFill="1"/>
    <xf numFmtId="3" fontId="1" fillId="14" borderId="0" xfId="0" applyNumberFormat="1" applyFont="1" applyFill="1" applyAlignment="1">
      <alignment horizontal="center"/>
    </xf>
    <xf numFmtId="1" fontId="1" fillId="14" borderId="0" xfId="0" applyNumberFormat="1" applyFont="1" applyFill="1"/>
    <xf numFmtId="0" fontId="5" fillId="5" borderId="0" xfId="0" applyFont="1" applyFill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right"/>
    </xf>
    <xf numFmtId="1" fontId="8" fillId="3" borderId="15" xfId="0" applyNumberFormat="1" applyFont="1" applyFill="1" applyBorder="1" applyProtection="1">
      <protection locked="0"/>
    </xf>
    <xf numFmtId="1" fontId="1" fillId="10" borderId="0" xfId="0" applyNumberFormat="1" applyFont="1" applyFill="1"/>
    <xf numFmtId="1" fontId="59" fillId="0" borderId="0" xfId="0" applyNumberFormat="1" applyFont="1"/>
    <xf numFmtId="0" fontId="11" fillId="10" borderId="0" xfId="0" applyFont="1" applyFill="1" applyAlignment="1" applyProtection="1">
      <alignment horizontal="right"/>
      <protection locked="0"/>
    </xf>
    <xf numFmtId="0" fontId="1" fillId="0" borderId="52" xfId="0" applyFont="1" applyBorder="1"/>
    <xf numFmtId="0" fontId="43" fillId="0" borderId="52" xfId="0" applyFont="1" applyBorder="1"/>
    <xf numFmtId="0" fontId="63" fillId="0" borderId="53" xfId="0" applyFont="1" applyBorder="1"/>
    <xf numFmtId="0" fontId="1" fillId="0" borderId="54" xfId="0" applyFont="1" applyBorder="1"/>
    <xf numFmtId="0" fontId="45" fillId="10" borderId="24" xfId="0" applyFont="1" applyFill="1" applyBorder="1"/>
    <xf numFmtId="0" fontId="63" fillId="0" borderId="0" xfId="0" applyFont="1"/>
    <xf numFmtId="3" fontId="1" fillId="0" borderId="0" xfId="0" applyNumberFormat="1" applyFont="1" applyAlignment="1">
      <alignment horizontal="right"/>
    </xf>
    <xf numFmtId="0" fontId="31" fillId="5" borderId="31" xfId="0" applyFont="1" applyFill="1" applyBorder="1" applyAlignment="1">
      <alignment horizontal="center"/>
    </xf>
    <xf numFmtId="0" fontId="60" fillId="9" borderId="0" xfId="0" applyFont="1" applyFill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1" fillId="0" borderId="0" xfId="0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font>
        <color rgb="FFFF0000"/>
      </font>
      <fill>
        <patternFill patternType="none">
          <bgColor auto="1"/>
        </patternFill>
      </fill>
    </dxf>
    <dxf>
      <font>
        <color rgb="FF0000FF"/>
      </font>
    </dxf>
    <dxf>
      <fill>
        <patternFill>
          <bgColor theme="0" tint="-0.24994659260841701"/>
        </patternFill>
      </fill>
    </dxf>
    <dxf>
      <font>
        <color rgb="FF0000FF"/>
      </font>
    </dxf>
    <dxf>
      <font>
        <color rgb="FFFF0000"/>
      </font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</dxf>
    <dxf>
      <fill>
        <patternFill>
          <bgColor theme="0" tint="-0.24994659260841701"/>
        </patternFill>
      </fill>
    </dxf>
    <dxf>
      <font>
        <color rgb="FF0000FF"/>
      </font>
    </dxf>
    <dxf>
      <font>
        <color rgb="FFFF0000"/>
      </font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Invisible" pivot="0" table="0" count="0" xr9:uid="{BDF25DC0-66FE-4F7B-82EA-CA77CAA3C1C8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F9EF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Morning or Evening Peaking
1970-2020 Monthly Peaks</a:t>
            </a:r>
          </a:p>
        </c:rich>
      </c:tx>
      <c:layout>
        <c:manualLayout>
          <c:xMode val="edge"/>
          <c:yMode val="edge"/>
          <c:x val="0.37678852625496717"/>
          <c:y val="3.5473265449148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766879955666441"/>
          <c:y val="0.17710601831003889"/>
          <c:w val="0.86007366712886424"/>
          <c:h val="0.68466594883271126"/>
        </c:manualLayout>
      </c:layout>
      <c:barChart>
        <c:barDir val="col"/>
        <c:grouping val="stacked"/>
        <c:varyColors val="0"/>
        <c:ser>
          <c:idx val="0"/>
          <c:order val="0"/>
          <c:tx>
            <c:v>Morning (cold) Peak</c:v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-3.05744271726774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16-4CF1-A7E6-09F7E0B91AC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6-4CF1-A7E6-09F7E0B91AC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16-4CF1-A7E6-09F7E0B91AC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16-4CF1-A7E6-09F7E0B91AC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16-4CF1-A7E6-09F7E0B91A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16-4CF1-A7E6-09F7E0B91A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16-4CF1-A7E6-09F7E0B91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Instant!$B$122:$M$122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Instant!$B$179:$M$179</c:f>
              <c:numCache>
                <c:formatCode>0%</c:formatCode>
                <c:ptCount val="12"/>
                <c:pt idx="0">
                  <c:v>0.88</c:v>
                </c:pt>
                <c:pt idx="1">
                  <c:v>0.7</c:v>
                </c:pt>
                <c:pt idx="2">
                  <c:v>0.32</c:v>
                </c:pt>
                <c:pt idx="3">
                  <c:v>1.9607843137254902E-2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16-4CF1-A7E6-09F7E0B91ACB}"/>
            </c:ext>
          </c:extLst>
        </c:ser>
        <c:ser>
          <c:idx val="1"/>
          <c:order val="1"/>
          <c:tx>
            <c:v>Evening (hot) Peak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Instant!$B$122:$M$122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Instant!$B$180:$M$180</c:f>
              <c:numCache>
                <c:formatCode>0%</c:formatCode>
                <c:ptCount val="12"/>
                <c:pt idx="0">
                  <c:v>0.12</c:v>
                </c:pt>
                <c:pt idx="1">
                  <c:v>0.30000000000000004</c:v>
                </c:pt>
                <c:pt idx="2">
                  <c:v>0.67999999999999994</c:v>
                </c:pt>
                <c:pt idx="3">
                  <c:v>0.98039215686274506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</c:v>
                </c:pt>
                <c:pt idx="11">
                  <c:v>0.45999999999999996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16-4CF1-A7E6-09F7E0B9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948928624"/>
        <c:axId val="1"/>
      </c:barChart>
      <c:catAx>
        <c:axId val="948928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time</a:t>
                </a:r>
              </a:p>
            </c:rich>
          </c:tx>
          <c:layout>
            <c:manualLayout>
              <c:xMode val="edge"/>
              <c:yMode val="edge"/>
              <c:x val="3.1205240619160833E-3"/>
              <c:y val="0.4557240314138858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928624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370952566897728"/>
          <c:y val="0.92329369301882136"/>
          <c:w val="0.60229487680109273"/>
          <c:h val="5.71828420147608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2020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Retail Peak (MW) vs Temp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'Total Retail'!$A$54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'Total Retail'!$B$54:$M$54</c:f>
              <c:numCache>
                <c:formatCode>0</c:formatCode>
                <c:ptCount val="12"/>
                <c:pt idx="0">
                  <c:v>3538.0184087995299</c:v>
                </c:pt>
                <c:pt idx="1">
                  <c:v>3012.7755155672548</c:v>
                </c:pt>
                <c:pt idx="2">
                  <c:v>3574.1286325658348</c:v>
                </c:pt>
                <c:pt idx="3">
                  <c:v>3590.9296067156533</c:v>
                </c:pt>
                <c:pt idx="4">
                  <c:v>3902.7085589393323</c:v>
                </c:pt>
                <c:pt idx="5">
                  <c:v>4254.1136826465599</c:v>
                </c:pt>
                <c:pt idx="6">
                  <c:v>4142.6258612332085</c:v>
                </c:pt>
                <c:pt idx="7">
                  <c:v>4239.0126832233136</c:v>
                </c:pt>
                <c:pt idx="8">
                  <c:v>4254.7406243046662</c:v>
                </c:pt>
                <c:pt idx="9">
                  <c:v>3871.6084211084626</c:v>
                </c:pt>
                <c:pt idx="10">
                  <c:v>3273.5241214207017</c:v>
                </c:pt>
                <c:pt idx="11" formatCode="General">
                  <c:v>3024.0386962181074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5-426B-9C7C-F1641B2DC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34880"/>
        <c:axId val="9047377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'Total Retail'!$A$53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'Total Retail'!$B$53:$M$53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3091.0792847788834</c:v>
                      </c:pt>
                      <c:pt idx="1">
                        <c:v>3094.289272364359</c:v>
                      </c:pt>
                      <c:pt idx="2">
                        <c:v>3128.5432423298507</c:v>
                      </c:pt>
                      <c:pt idx="3">
                        <c:v>3504.7003791594316</c:v>
                      </c:pt>
                      <c:pt idx="4">
                        <c:v>4152.7434235575183</c:v>
                      </c:pt>
                      <c:pt idx="5">
                        <c:v>4298.266042423721</c:v>
                      </c:pt>
                      <c:pt idx="6">
                        <c:v>4073.1594642884675</c:v>
                      </c:pt>
                      <c:pt idx="7">
                        <c:v>4111.3159319554825</c:v>
                      </c:pt>
                      <c:pt idx="8">
                        <c:v>4101.2321333380642</c:v>
                      </c:pt>
                      <c:pt idx="9">
                        <c:v>3671.9640558161395</c:v>
                      </c:pt>
                      <c:pt idx="10">
                        <c:v>3309.1858580752782</c:v>
                      </c:pt>
                      <c:pt idx="11">
                        <c:v>2764.8902606070042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DE5-426B-9C7C-F1641B2DC7C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Retail'!$A$55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Retail'!$B$55:$M$55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2904.8538121877332</c:v>
                      </c:pt>
                      <c:pt idx="1">
                        <c:v>3415.1890153510153</c:v>
                      </c:pt>
                      <c:pt idx="2">
                        <c:v>3466.5357216664092</c:v>
                      </c:pt>
                      <c:pt idx="3">
                        <c:v>3635.6010791250001</c:v>
                      </c:pt>
                      <c:pt idx="4">
                        <c:v>4069.0894343320524</c:v>
                      </c:pt>
                      <c:pt idx="5">
                        <c:v>4057.0154358448362</c:v>
                      </c:pt>
                      <c:pt idx="6">
                        <c:v>4210.585566003957</c:v>
                      </c:pt>
                      <c:pt idx="7">
                        <c:v>4393.4364634362446</c:v>
                      </c:pt>
                      <c:pt idx="8">
                        <c:v>3967.7984173092996</c:v>
                      </c:pt>
                      <c:pt idx="9">
                        <c:v>3961.375726206034</c:v>
                      </c:pt>
                      <c:pt idx="10">
                        <c:v>2924.3120710439798</c:v>
                      </c:pt>
                      <c:pt idx="11">
                        <c:v>2940.7055255787918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DE5-426B-9C7C-F1641B2DC7C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Retail'!$A$56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Retail'!$B$56:$M$56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3735</c:v>
                      </c:pt>
                      <c:pt idx="1">
                        <c:v>3042</c:v>
                      </c:pt>
                      <c:pt idx="2">
                        <c:v>3242</c:v>
                      </c:pt>
                      <c:pt idx="3">
                        <c:v>3571</c:v>
                      </c:pt>
                      <c:pt idx="4">
                        <c:v>4006</c:v>
                      </c:pt>
                      <c:pt idx="5">
                        <c:v>4385</c:v>
                      </c:pt>
                      <c:pt idx="6">
                        <c:v>4355</c:v>
                      </c:pt>
                      <c:pt idx="7">
                        <c:v>4378</c:v>
                      </c:pt>
                      <c:pt idx="8">
                        <c:v>4225</c:v>
                      </c:pt>
                      <c:pt idx="9">
                        <c:v>3624</c:v>
                      </c:pt>
                      <c:pt idx="10">
                        <c:v>3666</c:v>
                      </c:pt>
                      <c:pt idx="11">
                        <c:v>3526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DE5-426B-9C7C-F1641B2DC7C0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Retail'!$A$57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Retail'!$B$57:$M$57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3347</c:v>
                      </c:pt>
                      <c:pt idx="1">
                        <c:v>3273</c:v>
                      </c:pt>
                      <c:pt idx="2">
                        <c:v>3585</c:v>
                      </c:pt>
                      <c:pt idx="3">
                        <c:v>3678</c:v>
                      </c:pt>
                      <c:pt idx="4">
                        <c:v>3912</c:v>
                      </c:pt>
                      <c:pt idx="5">
                        <c:v>4318</c:v>
                      </c:pt>
                      <c:pt idx="6">
                        <c:v>4312</c:v>
                      </c:pt>
                      <c:pt idx="7">
                        <c:v>4669</c:v>
                      </c:pt>
                      <c:pt idx="8">
                        <c:v>4194</c:v>
                      </c:pt>
                      <c:pt idx="9">
                        <c:v>3801</c:v>
                      </c:pt>
                      <c:pt idx="10">
                        <c:v>3440</c:v>
                      </c:pt>
                      <c:pt idx="11">
                        <c:v>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DE5-426B-9C7C-F1641B2DC7C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6"/>
          <c:order val="6"/>
          <c:tx>
            <c:v>2020 Temp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'Total Retail'!$B$244:$M$244</c:f>
              <c:numCache>
                <c:formatCode>0</c:formatCode>
                <c:ptCount val="12"/>
                <c:pt idx="0" formatCode="General">
                  <c:v>37</c:v>
                </c:pt>
                <c:pt idx="1">
                  <c:v>81</c:v>
                </c:pt>
                <c:pt idx="2">
                  <c:v>81</c:v>
                </c:pt>
                <c:pt idx="3">
                  <c:v>87</c:v>
                </c:pt>
                <c:pt idx="4">
                  <c:v>89</c:v>
                </c:pt>
                <c:pt idx="5">
                  <c:v>93</c:v>
                </c:pt>
                <c:pt idx="6">
                  <c:v>89</c:v>
                </c:pt>
                <c:pt idx="7">
                  <c:v>95</c:v>
                </c:pt>
                <c:pt idx="8">
                  <c:v>94</c:v>
                </c:pt>
                <c:pt idx="9">
                  <c:v>92</c:v>
                </c:pt>
                <c:pt idx="10">
                  <c:v>84</c:v>
                </c:pt>
                <c:pt idx="11" formatCode="General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5-426B-9C7C-F1641B2DC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505512"/>
        <c:axId val="91150839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v>2019 Temp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'Total Retail'!$B$243:$M$243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 formatCode="General">
                        <c:v>46</c:v>
                      </c:pt>
                      <c:pt idx="1">
                        <c:v>84</c:v>
                      </c:pt>
                      <c:pt idx="2">
                        <c:v>78</c:v>
                      </c:pt>
                      <c:pt idx="3">
                        <c:v>88</c:v>
                      </c:pt>
                      <c:pt idx="4">
                        <c:v>90</c:v>
                      </c:pt>
                      <c:pt idx="5">
                        <c:v>94</c:v>
                      </c:pt>
                      <c:pt idx="6">
                        <c:v>89</c:v>
                      </c:pt>
                      <c:pt idx="7">
                        <c:v>91</c:v>
                      </c:pt>
                      <c:pt idx="8">
                        <c:v>91</c:v>
                      </c:pt>
                      <c:pt idx="9">
                        <c:v>88</c:v>
                      </c:pt>
                      <c:pt idx="10">
                        <c:v>86</c:v>
                      </c:pt>
                      <c:pt idx="11">
                        <c:v>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DE5-426B-9C7C-F1641B2DC7C0}"/>
                  </c:ext>
                </c:extLst>
              </c15:ser>
            </c15:filteredLineSeries>
          </c:ext>
        </c:extLst>
      </c:lineChart>
      <c:catAx>
        <c:axId val="90473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7760"/>
        <c:crosses val="autoZero"/>
        <c:auto val="1"/>
        <c:lblAlgn val="ctr"/>
        <c:lblOffset val="100"/>
        <c:noMultiLvlLbl val="0"/>
      </c:catAx>
      <c:valAx>
        <c:axId val="904737760"/>
        <c:scaling>
          <c:orientation val="minMax"/>
          <c:min val="2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4880"/>
        <c:crosses val="autoZero"/>
        <c:crossBetween val="between"/>
      </c:valAx>
      <c:valAx>
        <c:axId val="9115083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505512"/>
        <c:crosses val="max"/>
        <c:crossBetween val="between"/>
      </c:valAx>
      <c:catAx>
        <c:axId val="911505512"/>
        <c:scaling>
          <c:orientation val="minMax"/>
        </c:scaling>
        <c:delete val="1"/>
        <c:axPos val="b"/>
        <c:majorTickMark val="out"/>
        <c:minorTickMark val="none"/>
        <c:tickLblPos val="nextTo"/>
        <c:crossAx val="911508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2021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Retail Peak (MW) vs Temp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'Total Retail'!$A$55</c:f>
              <c:strCache>
                <c:ptCount val="1"/>
                <c:pt idx="0">
                  <c:v>2021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'Total Retail'!$B$55:$M$55</c:f>
              <c:numCache>
                <c:formatCode>0</c:formatCode>
                <c:ptCount val="12"/>
                <c:pt idx="0">
                  <c:v>2904.8538121877332</c:v>
                </c:pt>
                <c:pt idx="1">
                  <c:v>3415.1890153510153</c:v>
                </c:pt>
                <c:pt idx="2">
                  <c:v>3466.5357216664092</c:v>
                </c:pt>
                <c:pt idx="3">
                  <c:v>3635.6010791250001</c:v>
                </c:pt>
                <c:pt idx="4">
                  <c:v>4069.0894343320524</c:v>
                </c:pt>
                <c:pt idx="5">
                  <c:v>4057.0154358448362</c:v>
                </c:pt>
                <c:pt idx="6">
                  <c:v>4210.585566003957</c:v>
                </c:pt>
                <c:pt idx="7">
                  <c:v>4393.4364634362446</c:v>
                </c:pt>
                <c:pt idx="8">
                  <c:v>3967.7984173092996</c:v>
                </c:pt>
                <c:pt idx="9">
                  <c:v>3961.375726206034</c:v>
                </c:pt>
                <c:pt idx="10">
                  <c:v>2924.3120710439798</c:v>
                </c:pt>
                <c:pt idx="11">
                  <c:v>2940.7055255787918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CAA7-4379-B983-59009F64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34880"/>
        <c:axId val="9047377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'Total Retail'!$A$53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'Total Retail'!$B$53:$M$53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3091.0792847788834</c:v>
                      </c:pt>
                      <c:pt idx="1">
                        <c:v>3094.289272364359</c:v>
                      </c:pt>
                      <c:pt idx="2">
                        <c:v>3128.5432423298507</c:v>
                      </c:pt>
                      <c:pt idx="3">
                        <c:v>3504.7003791594316</c:v>
                      </c:pt>
                      <c:pt idx="4">
                        <c:v>4152.7434235575183</c:v>
                      </c:pt>
                      <c:pt idx="5">
                        <c:v>4298.266042423721</c:v>
                      </c:pt>
                      <c:pt idx="6">
                        <c:v>4073.1594642884675</c:v>
                      </c:pt>
                      <c:pt idx="7">
                        <c:v>4111.3159319554825</c:v>
                      </c:pt>
                      <c:pt idx="8">
                        <c:v>4101.2321333380642</c:v>
                      </c:pt>
                      <c:pt idx="9">
                        <c:v>3671.9640558161395</c:v>
                      </c:pt>
                      <c:pt idx="10">
                        <c:v>3309.1858580752782</c:v>
                      </c:pt>
                      <c:pt idx="11">
                        <c:v>2764.8902606070042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CAA7-4379-B983-59009F64FF9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Retail'!$B$54:$M$54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3538.0184087995299</c:v>
                      </c:pt>
                      <c:pt idx="1">
                        <c:v>3012.7755155672548</c:v>
                      </c:pt>
                      <c:pt idx="2">
                        <c:v>3574.1286325658348</c:v>
                      </c:pt>
                      <c:pt idx="3">
                        <c:v>3590.9296067156533</c:v>
                      </c:pt>
                      <c:pt idx="4">
                        <c:v>3902.7085589393323</c:v>
                      </c:pt>
                      <c:pt idx="5">
                        <c:v>4254.1136826465599</c:v>
                      </c:pt>
                      <c:pt idx="6">
                        <c:v>4142.6258612332085</c:v>
                      </c:pt>
                      <c:pt idx="7">
                        <c:v>4239.0126832233136</c:v>
                      </c:pt>
                      <c:pt idx="8">
                        <c:v>4254.7406243046662</c:v>
                      </c:pt>
                      <c:pt idx="9">
                        <c:v>3871.6084211084626</c:v>
                      </c:pt>
                      <c:pt idx="10">
                        <c:v>3273.5241214207017</c:v>
                      </c:pt>
                      <c:pt idx="11" formatCode="General">
                        <c:v>3024.0386962181074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A7-4379-B983-59009F64FF9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Retail'!$A$56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Retail'!$B$56:$M$56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3735</c:v>
                      </c:pt>
                      <c:pt idx="1">
                        <c:v>3042</c:v>
                      </c:pt>
                      <c:pt idx="2">
                        <c:v>3242</c:v>
                      </c:pt>
                      <c:pt idx="3">
                        <c:v>3571</c:v>
                      </c:pt>
                      <c:pt idx="4">
                        <c:v>4006</c:v>
                      </c:pt>
                      <c:pt idx="5">
                        <c:v>4385</c:v>
                      </c:pt>
                      <c:pt idx="6">
                        <c:v>4355</c:v>
                      </c:pt>
                      <c:pt idx="7">
                        <c:v>4378</c:v>
                      </c:pt>
                      <c:pt idx="8">
                        <c:v>4225</c:v>
                      </c:pt>
                      <c:pt idx="9">
                        <c:v>3624</c:v>
                      </c:pt>
                      <c:pt idx="10">
                        <c:v>3666</c:v>
                      </c:pt>
                      <c:pt idx="11">
                        <c:v>3526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A7-4379-B983-59009F64FF9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Retail'!$A$57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Retail'!$B$57:$M$57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3347</c:v>
                      </c:pt>
                      <c:pt idx="1">
                        <c:v>3273</c:v>
                      </c:pt>
                      <c:pt idx="2">
                        <c:v>3585</c:v>
                      </c:pt>
                      <c:pt idx="3">
                        <c:v>3678</c:v>
                      </c:pt>
                      <c:pt idx="4">
                        <c:v>3912</c:v>
                      </c:pt>
                      <c:pt idx="5">
                        <c:v>4318</c:v>
                      </c:pt>
                      <c:pt idx="6">
                        <c:v>4312</c:v>
                      </c:pt>
                      <c:pt idx="7">
                        <c:v>4669</c:v>
                      </c:pt>
                      <c:pt idx="8">
                        <c:v>4194</c:v>
                      </c:pt>
                      <c:pt idx="9">
                        <c:v>3801</c:v>
                      </c:pt>
                      <c:pt idx="10">
                        <c:v>3440</c:v>
                      </c:pt>
                      <c:pt idx="11">
                        <c:v>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A7-4379-B983-59009F64FF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7"/>
          <c:order val="7"/>
          <c:tx>
            <c:v>2021 Temp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'Total Retail'!$B$245:$M$245</c:f>
              <c:numCache>
                <c:formatCode>General</c:formatCode>
                <c:ptCount val="12"/>
                <c:pt idx="0">
                  <c:v>50</c:v>
                </c:pt>
                <c:pt idx="1">
                  <c:v>45</c:v>
                </c:pt>
                <c:pt idx="2" formatCode="0">
                  <c:v>81</c:v>
                </c:pt>
                <c:pt idx="3" formatCode="0">
                  <c:v>85</c:v>
                </c:pt>
                <c:pt idx="4" formatCode="0">
                  <c:v>88</c:v>
                </c:pt>
                <c:pt idx="5" formatCode="0">
                  <c:v>89</c:v>
                </c:pt>
                <c:pt idx="6" formatCode="0">
                  <c:v>91</c:v>
                </c:pt>
                <c:pt idx="7" formatCode="0">
                  <c:v>84</c:v>
                </c:pt>
                <c:pt idx="8" formatCode="0">
                  <c:v>94</c:v>
                </c:pt>
                <c:pt idx="9" formatCode="0">
                  <c:v>90</c:v>
                </c:pt>
                <c:pt idx="10" formatCode="0">
                  <c:v>82</c:v>
                </c:pt>
                <c:pt idx="11" formatCode="0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7-4379-B983-59009F64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505512"/>
        <c:axId val="91150839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v>2019 Temp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'Total Retail'!$B$243:$M$243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 formatCode="General">
                        <c:v>46</c:v>
                      </c:pt>
                      <c:pt idx="1">
                        <c:v>84</c:v>
                      </c:pt>
                      <c:pt idx="2">
                        <c:v>78</c:v>
                      </c:pt>
                      <c:pt idx="3">
                        <c:v>88</c:v>
                      </c:pt>
                      <c:pt idx="4">
                        <c:v>90</c:v>
                      </c:pt>
                      <c:pt idx="5">
                        <c:v>94</c:v>
                      </c:pt>
                      <c:pt idx="6">
                        <c:v>89</c:v>
                      </c:pt>
                      <c:pt idx="7">
                        <c:v>91</c:v>
                      </c:pt>
                      <c:pt idx="8">
                        <c:v>91</c:v>
                      </c:pt>
                      <c:pt idx="9">
                        <c:v>88</c:v>
                      </c:pt>
                      <c:pt idx="10">
                        <c:v>86</c:v>
                      </c:pt>
                      <c:pt idx="11">
                        <c:v>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AA7-4379-B983-59009F64FF9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2020 Temp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Retail'!$B$244:$M$244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 formatCode="General">
                        <c:v>37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87</c:v>
                      </c:pt>
                      <c:pt idx="4">
                        <c:v>89</c:v>
                      </c:pt>
                      <c:pt idx="5">
                        <c:v>93</c:v>
                      </c:pt>
                      <c:pt idx="6">
                        <c:v>89</c:v>
                      </c:pt>
                      <c:pt idx="7">
                        <c:v>95</c:v>
                      </c:pt>
                      <c:pt idx="8">
                        <c:v>94</c:v>
                      </c:pt>
                      <c:pt idx="9">
                        <c:v>92</c:v>
                      </c:pt>
                      <c:pt idx="10">
                        <c:v>84</c:v>
                      </c:pt>
                      <c:pt idx="11" formatCode="General">
                        <c:v>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A7-4379-B983-59009F64FF9F}"/>
                  </c:ext>
                </c:extLst>
              </c15:ser>
            </c15:filteredLineSeries>
          </c:ext>
        </c:extLst>
      </c:lineChart>
      <c:catAx>
        <c:axId val="90473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7760"/>
        <c:crosses val="autoZero"/>
        <c:auto val="1"/>
        <c:lblAlgn val="ctr"/>
        <c:lblOffset val="100"/>
        <c:noMultiLvlLbl val="0"/>
      </c:catAx>
      <c:valAx>
        <c:axId val="904737760"/>
        <c:scaling>
          <c:orientation val="minMax"/>
          <c:min val="2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4880"/>
        <c:crosses val="autoZero"/>
        <c:crossBetween val="between"/>
      </c:valAx>
      <c:valAx>
        <c:axId val="9115083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505512"/>
        <c:crosses val="max"/>
        <c:crossBetween val="between"/>
      </c:valAx>
      <c:catAx>
        <c:axId val="911505512"/>
        <c:scaling>
          <c:orientation val="minMax"/>
        </c:scaling>
        <c:delete val="1"/>
        <c:axPos val="b"/>
        <c:majorTickMark val="out"/>
        <c:minorTickMark val="none"/>
        <c:tickLblPos val="nextTo"/>
        <c:crossAx val="911508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2022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Retail Peak (MW) vs Temp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'Total Retail'!$A$56</c:f>
              <c:strCache>
                <c:ptCount val="1"/>
                <c:pt idx="0">
                  <c:v>2022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'Total Retail'!$B$56:$M$56</c:f>
              <c:numCache>
                <c:formatCode>0</c:formatCode>
                <c:ptCount val="12"/>
                <c:pt idx="0">
                  <c:v>3735</c:v>
                </c:pt>
                <c:pt idx="1">
                  <c:v>3042</c:v>
                </c:pt>
                <c:pt idx="2">
                  <c:v>3242</c:v>
                </c:pt>
                <c:pt idx="3">
                  <c:v>3571</c:v>
                </c:pt>
                <c:pt idx="4">
                  <c:v>4006</c:v>
                </c:pt>
                <c:pt idx="5">
                  <c:v>4385</c:v>
                </c:pt>
                <c:pt idx="6">
                  <c:v>4355</c:v>
                </c:pt>
                <c:pt idx="7">
                  <c:v>4378</c:v>
                </c:pt>
                <c:pt idx="8">
                  <c:v>4225</c:v>
                </c:pt>
                <c:pt idx="9">
                  <c:v>3624</c:v>
                </c:pt>
                <c:pt idx="10">
                  <c:v>3666</c:v>
                </c:pt>
                <c:pt idx="11">
                  <c:v>3526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7E9D-40BD-B212-8E5684EB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34880"/>
        <c:axId val="9047377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'Total Retail'!$A$53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'Total Retail'!$B$53:$M$53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3091.0792847788834</c:v>
                      </c:pt>
                      <c:pt idx="1">
                        <c:v>3094.289272364359</c:v>
                      </c:pt>
                      <c:pt idx="2">
                        <c:v>3128.5432423298507</c:v>
                      </c:pt>
                      <c:pt idx="3">
                        <c:v>3504.7003791594316</c:v>
                      </c:pt>
                      <c:pt idx="4">
                        <c:v>4152.7434235575183</c:v>
                      </c:pt>
                      <c:pt idx="5">
                        <c:v>4298.266042423721</c:v>
                      </c:pt>
                      <c:pt idx="6">
                        <c:v>4073.1594642884675</c:v>
                      </c:pt>
                      <c:pt idx="7">
                        <c:v>4111.3159319554825</c:v>
                      </c:pt>
                      <c:pt idx="8">
                        <c:v>4101.2321333380642</c:v>
                      </c:pt>
                      <c:pt idx="9">
                        <c:v>3671.9640558161395</c:v>
                      </c:pt>
                      <c:pt idx="10">
                        <c:v>3309.1858580752782</c:v>
                      </c:pt>
                      <c:pt idx="11">
                        <c:v>2764.8902606070042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7E9D-40BD-B212-8E5684EBE79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Retail'!$B$54:$M$54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3538.0184087995299</c:v>
                      </c:pt>
                      <c:pt idx="1">
                        <c:v>3012.7755155672548</c:v>
                      </c:pt>
                      <c:pt idx="2">
                        <c:v>3574.1286325658348</c:v>
                      </c:pt>
                      <c:pt idx="3">
                        <c:v>3590.9296067156533</c:v>
                      </c:pt>
                      <c:pt idx="4">
                        <c:v>3902.7085589393323</c:v>
                      </c:pt>
                      <c:pt idx="5">
                        <c:v>4254.1136826465599</c:v>
                      </c:pt>
                      <c:pt idx="6">
                        <c:v>4142.6258612332085</c:v>
                      </c:pt>
                      <c:pt idx="7">
                        <c:v>4239.0126832233136</c:v>
                      </c:pt>
                      <c:pt idx="8">
                        <c:v>4254.7406243046662</c:v>
                      </c:pt>
                      <c:pt idx="9">
                        <c:v>3871.6084211084626</c:v>
                      </c:pt>
                      <c:pt idx="10">
                        <c:v>3273.5241214207017</c:v>
                      </c:pt>
                      <c:pt idx="11" formatCode="General">
                        <c:v>3024.0386962181074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E9D-40BD-B212-8E5684EBE79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Retail'!$A$55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Retail'!$B$55:$M$55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2904.8538121877332</c:v>
                      </c:pt>
                      <c:pt idx="1">
                        <c:v>3415.1890153510153</c:v>
                      </c:pt>
                      <c:pt idx="2">
                        <c:v>3466.5357216664092</c:v>
                      </c:pt>
                      <c:pt idx="3">
                        <c:v>3635.6010791250001</c:v>
                      </c:pt>
                      <c:pt idx="4">
                        <c:v>4069.0894343320524</c:v>
                      </c:pt>
                      <c:pt idx="5">
                        <c:v>4057.0154358448362</c:v>
                      </c:pt>
                      <c:pt idx="6">
                        <c:v>4210.585566003957</c:v>
                      </c:pt>
                      <c:pt idx="7">
                        <c:v>4393.4364634362446</c:v>
                      </c:pt>
                      <c:pt idx="8">
                        <c:v>3967.7984173092996</c:v>
                      </c:pt>
                      <c:pt idx="9">
                        <c:v>3961.375726206034</c:v>
                      </c:pt>
                      <c:pt idx="10">
                        <c:v>2924.3120710439798</c:v>
                      </c:pt>
                      <c:pt idx="11">
                        <c:v>2940.7055255787918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E9D-40BD-B212-8E5684EBE79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Retail'!$A$57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Retail'!$B$57:$M$57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3347</c:v>
                      </c:pt>
                      <c:pt idx="1">
                        <c:v>3273</c:v>
                      </c:pt>
                      <c:pt idx="2">
                        <c:v>3585</c:v>
                      </c:pt>
                      <c:pt idx="3">
                        <c:v>3678</c:v>
                      </c:pt>
                      <c:pt idx="4">
                        <c:v>3912</c:v>
                      </c:pt>
                      <c:pt idx="5">
                        <c:v>4318</c:v>
                      </c:pt>
                      <c:pt idx="6">
                        <c:v>4312</c:v>
                      </c:pt>
                      <c:pt idx="7">
                        <c:v>4669</c:v>
                      </c:pt>
                      <c:pt idx="8">
                        <c:v>4194</c:v>
                      </c:pt>
                      <c:pt idx="9">
                        <c:v>3801</c:v>
                      </c:pt>
                      <c:pt idx="10">
                        <c:v>3440</c:v>
                      </c:pt>
                      <c:pt idx="11">
                        <c:v>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E9D-40BD-B212-8E5684EBE79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8"/>
          <c:order val="8"/>
          <c:tx>
            <c:v>2022 Temp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D-40BD-B212-8E5684EBE79B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D-40BD-B212-8E5684EBE79B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D-40BD-B212-8E5684EBE7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'Total Retail'!$B$246:$M$246</c:f>
              <c:numCache>
                <c:formatCode>General</c:formatCode>
                <c:ptCount val="12"/>
                <c:pt idx="0" formatCode="#,##0">
                  <c:v>49</c:v>
                </c:pt>
                <c:pt idx="1">
                  <c:v>80</c:v>
                </c:pt>
                <c:pt idx="2">
                  <c:v>82</c:v>
                </c:pt>
                <c:pt idx="3">
                  <c:v>86</c:v>
                </c:pt>
                <c:pt idx="4">
                  <c:v>90</c:v>
                </c:pt>
                <c:pt idx="5">
                  <c:v>93</c:v>
                </c:pt>
                <c:pt idx="6">
                  <c:v>93</c:v>
                </c:pt>
                <c:pt idx="7">
                  <c:v>93</c:v>
                </c:pt>
                <c:pt idx="8">
                  <c:v>90</c:v>
                </c:pt>
                <c:pt idx="9">
                  <c:v>88</c:v>
                </c:pt>
                <c:pt idx="10">
                  <c:v>86</c:v>
                </c:pt>
                <c:pt idx="1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9D-40BD-B212-8E5684EB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505512"/>
        <c:axId val="91150839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v>2019 Temp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'Total Retail'!$B$243:$M$243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 formatCode="General">
                        <c:v>46</c:v>
                      </c:pt>
                      <c:pt idx="1">
                        <c:v>84</c:v>
                      </c:pt>
                      <c:pt idx="2">
                        <c:v>78</c:v>
                      </c:pt>
                      <c:pt idx="3">
                        <c:v>88</c:v>
                      </c:pt>
                      <c:pt idx="4">
                        <c:v>90</c:v>
                      </c:pt>
                      <c:pt idx="5">
                        <c:v>94</c:v>
                      </c:pt>
                      <c:pt idx="6">
                        <c:v>89</c:v>
                      </c:pt>
                      <c:pt idx="7">
                        <c:v>91</c:v>
                      </c:pt>
                      <c:pt idx="8">
                        <c:v>91</c:v>
                      </c:pt>
                      <c:pt idx="9">
                        <c:v>88</c:v>
                      </c:pt>
                      <c:pt idx="10">
                        <c:v>86</c:v>
                      </c:pt>
                      <c:pt idx="11">
                        <c:v>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7E9D-40BD-B212-8E5684EBE79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2020 Temp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Retail'!$B$244:$M$244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 formatCode="General">
                        <c:v>37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87</c:v>
                      </c:pt>
                      <c:pt idx="4">
                        <c:v>89</c:v>
                      </c:pt>
                      <c:pt idx="5">
                        <c:v>93</c:v>
                      </c:pt>
                      <c:pt idx="6">
                        <c:v>89</c:v>
                      </c:pt>
                      <c:pt idx="7">
                        <c:v>95</c:v>
                      </c:pt>
                      <c:pt idx="8">
                        <c:v>94</c:v>
                      </c:pt>
                      <c:pt idx="9">
                        <c:v>92</c:v>
                      </c:pt>
                      <c:pt idx="10">
                        <c:v>84</c:v>
                      </c:pt>
                      <c:pt idx="11" formatCode="General">
                        <c:v>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E9D-40BD-B212-8E5684EBE79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2021 Temp</c:v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Retail'!$B$245:$M$245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50</c:v>
                      </c:pt>
                      <c:pt idx="1">
                        <c:v>45</c:v>
                      </c:pt>
                      <c:pt idx="2" formatCode="0">
                        <c:v>81</c:v>
                      </c:pt>
                      <c:pt idx="3" formatCode="0">
                        <c:v>85</c:v>
                      </c:pt>
                      <c:pt idx="4" formatCode="0">
                        <c:v>88</c:v>
                      </c:pt>
                      <c:pt idx="5" formatCode="0">
                        <c:v>89</c:v>
                      </c:pt>
                      <c:pt idx="6" formatCode="0">
                        <c:v>91</c:v>
                      </c:pt>
                      <c:pt idx="7" formatCode="0">
                        <c:v>84</c:v>
                      </c:pt>
                      <c:pt idx="8" formatCode="0">
                        <c:v>94</c:v>
                      </c:pt>
                      <c:pt idx="9" formatCode="0">
                        <c:v>90</c:v>
                      </c:pt>
                      <c:pt idx="10" formatCode="0">
                        <c:v>82</c:v>
                      </c:pt>
                      <c:pt idx="11" formatCode="0">
                        <c:v>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E9D-40BD-B212-8E5684EBE79B}"/>
                  </c:ext>
                </c:extLst>
              </c15:ser>
            </c15:filteredLineSeries>
          </c:ext>
        </c:extLst>
      </c:lineChart>
      <c:catAx>
        <c:axId val="90473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7760"/>
        <c:crosses val="autoZero"/>
        <c:auto val="1"/>
        <c:lblAlgn val="ctr"/>
        <c:lblOffset val="100"/>
        <c:noMultiLvlLbl val="0"/>
      </c:catAx>
      <c:valAx>
        <c:axId val="904737760"/>
        <c:scaling>
          <c:orientation val="minMax"/>
          <c:min val="2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4880"/>
        <c:crosses val="autoZero"/>
        <c:crossBetween val="between"/>
      </c:valAx>
      <c:valAx>
        <c:axId val="9115083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505512"/>
        <c:crosses val="max"/>
        <c:crossBetween val="between"/>
      </c:valAx>
      <c:catAx>
        <c:axId val="911505512"/>
        <c:scaling>
          <c:orientation val="minMax"/>
        </c:scaling>
        <c:delete val="1"/>
        <c:axPos val="b"/>
        <c:majorTickMark val="out"/>
        <c:minorTickMark val="none"/>
        <c:tickLblPos val="nextTo"/>
        <c:crossAx val="911508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2023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Retail Peak (MW) vs Temp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'Total Retail'!$A$57</c:f>
              <c:strCache>
                <c:ptCount val="1"/>
                <c:pt idx="0">
                  <c:v>2023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'Total Retail'!$B$57:$M$57</c:f>
              <c:numCache>
                <c:formatCode>0</c:formatCode>
                <c:ptCount val="12"/>
                <c:pt idx="0">
                  <c:v>3347</c:v>
                </c:pt>
                <c:pt idx="1">
                  <c:v>3273</c:v>
                </c:pt>
                <c:pt idx="2">
                  <c:v>3585</c:v>
                </c:pt>
                <c:pt idx="3">
                  <c:v>3678</c:v>
                </c:pt>
                <c:pt idx="4">
                  <c:v>3912</c:v>
                </c:pt>
                <c:pt idx="5">
                  <c:v>4318</c:v>
                </c:pt>
                <c:pt idx="6">
                  <c:v>4312</c:v>
                </c:pt>
                <c:pt idx="7">
                  <c:v>4669</c:v>
                </c:pt>
                <c:pt idx="8">
                  <c:v>4194</c:v>
                </c:pt>
                <c:pt idx="9">
                  <c:v>3801</c:v>
                </c:pt>
                <c:pt idx="10">
                  <c:v>3440</c:v>
                </c:pt>
                <c:pt idx="11">
                  <c:v>2982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2914-4910-87BB-A91E6E71A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34880"/>
        <c:axId val="9047377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'Total Retail'!$A$53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'Total Retail'!$B$53:$M$53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3091.0792847788834</c:v>
                      </c:pt>
                      <c:pt idx="1">
                        <c:v>3094.289272364359</c:v>
                      </c:pt>
                      <c:pt idx="2">
                        <c:v>3128.5432423298507</c:v>
                      </c:pt>
                      <c:pt idx="3">
                        <c:v>3504.7003791594316</c:v>
                      </c:pt>
                      <c:pt idx="4">
                        <c:v>4152.7434235575183</c:v>
                      </c:pt>
                      <c:pt idx="5">
                        <c:v>4298.266042423721</c:v>
                      </c:pt>
                      <c:pt idx="6">
                        <c:v>4073.1594642884675</c:v>
                      </c:pt>
                      <c:pt idx="7">
                        <c:v>4111.3159319554825</c:v>
                      </c:pt>
                      <c:pt idx="8">
                        <c:v>4101.2321333380642</c:v>
                      </c:pt>
                      <c:pt idx="9">
                        <c:v>3671.9640558161395</c:v>
                      </c:pt>
                      <c:pt idx="10">
                        <c:v>3309.1858580752782</c:v>
                      </c:pt>
                      <c:pt idx="11">
                        <c:v>2764.8902606070042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914-4910-87BB-A91E6E71A3D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Retail'!$B$54:$M$54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3538.0184087995299</c:v>
                      </c:pt>
                      <c:pt idx="1">
                        <c:v>3012.7755155672548</c:v>
                      </c:pt>
                      <c:pt idx="2">
                        <c:v>3574.1286325658348</c:v>
                      </c:pt>
                      <c:pt idx="3">
                        <c:v>3590.9296067156533</c:v>
                      </c:pt>
                      <c:pt idx="4">
                        <c:v>3902.7085589393323</c:v>
                      </c:pt>
                      <c:pt idx="5">
                        <c:v>4254.1136826465599</c:v>
                      </c:pt>
                      <c:pt idx="6">
                        <c:v>4142.6258612332085</c:v>
                      </c:pt>
                      <c:pt idx="7">
                        <c:v>4239.0126832233136</c:v>
                      </c:pt>
                      <c:pt idx="8">
                        <c:v>4254.7406243046662</c:v>
                      </c:pt>
                      <c:pt idx="9">
                        <c:v>3871.6084211084626</c:v>
                      </c:pt>
                      <c:pt idx="10">
                        <c:v>3273.5241214207017</c:v>
                      </c:pt>
                      <c:pt idx="11" formatCode="General">
                        <c:v>3024.0386962181074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914-4910-87BB-A91E6E71A3D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Retail'!$A$55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Retail'!$B$55:$M$55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2904.8538121877332</c:v>
                      </c:pt>
                      <c:pt idx="1">
                        <c:v>3415.1890153510153</c:v>
                      </c:pt>
                      <c:pt idx="2">
                        <c:v>3466.5357216664092</c:v>
                      </c:pt>
                      <c:pt idx="3">
                        <c:v>3635.6010791250001</c:v>
                      </c:pt>
                      <c:pt idx="4">
                        <c:v>4069.0894343320524</c:v>
                      </c:pt>
                      <c:pt idx="5">
                        <c:v>4057.0154358448362</c:v>
                      </c:pt>
                      <c:pt idx="6">
                        <c:v>4210.585566003957</c:v>
                      </c:pt>
                      <c:pt idx="7">
                        <c:v>4393.4364634362446</c:v>
                      </c:pt>
                      <c:pt idx="8">
                        <c:v>3967.7984173092996</c:v>
                      </c:pt>
                      <c:pt idx="9">
                        <c:v>3961.375726206034</c:v>
                      </c:pt>
                      <c:pt idx="10">
                        <c:v>2924.3120710439798</c:v>
                      </c:pt>
                      <c:pt idx="11">
                        <c:v>2940.7055255787918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914-4910-87BB-A91E6E71A3D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Retail'!$A$56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Retail'!$B$56:$M$56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3735</c:v>
                      </c:pt>
                      <c:pt idx="1">
                        <c:v>3042</c:v>
                      </c:pt>
                      <c:pt idx="2">
                        <c:v>3242</c:v>
                      </c:pt>
                      <c:pt idx="3">
                        <c:v>3571</c:v>
                      </c:pt>
                      <c:pt idx="4">
                        <c:v>4006</c:v>
                      </c:pt>
                      <c:pt idx="5">
                        <c:v>4385</c:v>
                      </c:pt>
                      <c:pt idx="6">
                        <c:v>4355</c:v>
                      </c:pt>
                      <c:pt idx="7">
                        <c:v>4378</c:v>
                      </c:pt>
                      <c:pt idx="8">
                        <c:v>4225</c:v>
                      </c:pt>
                      <c:pt idx="9">
                        <c:v>3624</c:v>
                      </c:pt>
                      <c:pt idx="10">
                        <c:v>3666</c:v>
                      </c:pt>
                      <c:pt idx="11">
                        <c:v>3526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914-4910-87BB-A91E6E71A3D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9"/>
          <c:order val="9"/>
          <c:tx>
            <c:v>2023 Temp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14-4910-87BB-A91E6E71A3DD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14-4910-87BB-A91E6E71A3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'Total Retail'!$B$247:$M$247</c:f>
              <c:numCache>
                <c:formatCode>General</c:formatCode>
                <c:ptCount val="12"/>
                <c:pt idx="0" formatCode="#,##0">
                  <c:v>48</c:v>
                </c:pt>
                <c:pt idx="1">
                  <c:v>82</c:v>
                </c:pt>
                <c:pt idx="2">
                  <c:v>80</c:v>
                </c:pt>
                <c:pt idx="3">
                  <c:v>83</c:v>
                </c:pt>
                <c:pt idx="4">
                  <c:v>87</c:v>
                </c:pt>
                <c:pt idx="5">
                  <c:v>92</c:v>
                </c:pt>
                <c:pt idx="6">
                  <c:v>85</c:v>
                </c:pt>
                <c:pt idx="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14-4910-87BB-A91E6E71A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505512"/>
        <c:axId val="91150839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v>2019 Temp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'Total Retail'!$B$243:$M$243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 formatCode="General">
                        <c:v>46</c:v>
                      </c:pt>
                      <c:pt idx="1">
                        <c:v>84</c:v>
                      </c:pt>
                      <c:pt idx="2">
                        <c:v>78</c:v>
                      </c:pt>
                      <c:pt idx="3">
                        <c:v>88</c:v>
                      </c:pt>
                      <c:pt idx="4">
                        <c:v>90</c:v>
                      </c:pt>
                      <c:pt idx="5">
                        <c:v>94</c:v>
                      </c:pt>
                      <c:pt idx="6">
                        <c:v>89</c:v>
                      </c:pt>
                      <c:pt idx="7">
                        <c:v>91</c:v>
                      </c:pt>
                      <c:pt idx="8">
                        <c:v>91</c:v>
                      </c:pt>
                      <c:pt idx="9">
                        <c:v>88</c:v>
                      </c:pt>
                      <c:pt idx="10">
                        <c:v>86</c:v>
                      </c:pt>
                      <c:pt idx="11">
                        <c:v>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2914-4910-87BB-A91E6E71A3D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2020 Temp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Retail'!$B$244:$M$244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 formatCode="General">
                        <c:v>37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87</c:v>
                      </c:pt>
                      <c:pt idx="4">
                        <c:v>89</c:v>
                      </c:pt>
                      <c:pt idx="5">
                        <c:v>93</c:v>
                      </c:pt>
                      <c:pt idx="6">
                        <c:v>89</c:v>
                      </c:pt>
                      <c:pt idx="7">
                        <c:v>95</c:v>
                      </c:pt>
                      <c:pt idx="8">
                        <c:v>94</c:v>
                      </c:pt>
                      <c:pt idx="9">
                        <c:v>92</c:v>
                      </c:pt>
                      <c:pt idx="10">
                        <c:v>84</c:v>
                      </c:pt>
                      <c:pt idx="11" formatCode="General">
                        <c:v>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914-4910-87BB-A91E6E71A3D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2021 Temp</c:v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Retail'!$B$245:$M$245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50</c:v>
                      </c:pt>
                      <c:pt idx="1">
                        <c:v>45</c:v>
                      </c:pt>
                      <c:pt idx="2" formatCode="0">
                        <c:v>81</c:v>
                      </c:pt>
                      <c:pt idx="3" formatCode="0">
                        <c:v>85</c:v>
                      </c:pt>
                      <c:pt idx="4" formatCode="0">
                        <c:v>88</c:v>
                      </c:pt>
                      <c:pt idx="5" formatCode="0">
                        <c:v>89</c:v>
                      </c:pt>
                      <c:pt idx="6" formatCode="0">
                        <c:v>91</c:v>
                      </c:pt>
                      <c:pt idx="7" formatCode="0">
                        <c:v>84</c:v>
                      </c:pt>
                      <c:pt idx="8" formatCode="0">
                        <c:v>94</c:v>
                      </c:pt>
                      <c:pt idx="9" formatCode="0">
                        <c:v>90</c:v>
                      </c:pt>
                      <c:pt idx="10" formatCode="0">
                        <c:v>82</c:v>
                      </c:pt>
                      <c:pt idx="11" formatCode="0">
                        <c:v>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914-4910-87BB-A91E6E71A3D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2022 Temp</c:v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Retail'!$B$246:$M$246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formatCode="#,##0">
                        <c:v>49</c:v>
                      </c:pt>
                      <c:pt idx="1">
                        <c:v>80</c:v>
                      </c:pt>
                      <c:pt idx="2">
                        <c:v>82</c:v>
                      </c:pt>
                      <c:pt idx="3">
                        <c:v>86</c:v>
                      </c:pt>
                      <c:pt idx="4">
                        <c:v>90</c:v>
                      </c:pt>
                      <c:pt idx="5">
                        <c:v>93</c:v>
                      </c:pt>
                      <c:pt idx="6">
                        <c:v>93</c:v>
                      </c:pt>
                      <c:pt idx="7">
                        <c:v>93</c:v>
                      </c:pt>
                      <c:pt idx="8">
                        <c:v>90</c:v>
                      </c:pt>
                      <c:pt idx="9">
                        <c:v>88</c:v>
                      </c:pt>
                      <c:pt idx="10">
                        <c:v>86</c:v>
                      </c:pt>
                      <c:pt idx="11">
                        <c:v>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914-4910-87BB-A91E6E71A3DD}"/>
                  </c:ext>
                </c:extLst>
              </c15:ser>
            </c15:filteredLineSeries>
          </c:ext>
        </c:extLst>
      </c:lineChart>
      <c:catAx>
        <c:axId val="90473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7760"/>
        <c:crosses val="autoZero"/>
        <c:auto val="1"/>
        <c:lblAlgn val="ctr"/>
        <c:lblOffset val="100"/>
        <c:noMultiLvlLbl val="0"/>
      </c:catAx>
      <c:valAx>
        <c:axId val="904737760"/>
        <c:scaling>
          <c:orientation val="minMax"/>
          <c:min val="2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4880"/>
        <c:crosses val="autoZero"/>
        <c:crossBetween val="between"/>
      </c:valAx>
      <c:valAx>
        <c:axId val="9115083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505512"/>
        <c:crosses val="max"/>
        <c:crossBetween val="between"/>
      </c:valAx>
      <c:catAx>
        <c:axId val="911505512"/>
        <c:scaling>
          <c:orientation val="minMax"/>
        </c:scaling>
        <c:delete val="1"/>
        <c:axPos val="b"/>
        <c:majorTickMark val="out"/>
        <c:minorTickMark val="none"/>
        <c:tickLblPos val="nextTo"/>
        <c:crossAx val="911508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NormalTemps!$C$1</c:f>
              <c:strCache>
                <c:ptCount val="1"/>
                <c:pt idx="0">
                  <c:v>NTempAtPeak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NormalTemps!$C$2:$C$13</c:f>
              <c:numCache>
                <c:formatCode>0.00</c:formatCode>
                <c:ptCount val="12"/>
                <c:pt idx="0">
                  <c:v>31</c:v>
                </c:pt>
                <c:pt idx="1">
                  <c:v>43</c:v>
                </c:pt>
                <c:pt idx="2">
                  <c:v>45</c:v>
                </c:pt>
                <c:pt idx="3">
                  <c:v>86</c:v>
                </c:pt>
                <c:pt idx="4">
                  <c:v>89</c:v>
                </c:pt>
                <c:pt idx="5">
                  <c:v>91</c:v>
                </c:pt>
                <c:pt idx="6">
                  <c:v>91</c:v>
                </c:pt>
                <c:pt idx="7">
                  <c:v>93</c:v>
                </c:pt>
                <c:pt idx="8">
                  <c:v>91</c:v>
                </c:pt>
                <c:pt idx="9">
                  <c:v>89</c:v>
                </c:pt>
                <c:pt idx="10">
                  <c:v>84</c:v>
                </c:pt>
                <c:pt idx="11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9-48F4-92F2-631C6892797F}"/>
            </c:ext>
          </c:extLst>
        </c:ser>
        <c:ser>
          <c:idx val="1"/>
          <c:order val="1"/>
          <c:tx>
            <c:strRef>
              <c:f>NormalTemps!$D$1</c:f>
              <c:strCache>
                <c:ptCount val="1"/>
                <c:pt idx="0">
                  <c:v>NTemp24HrAvg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NormalTemps!$D$2:$D$13</c:f>
              <c:numCache>
                <c:formatCode>0.00</c:formatCode>
                <c:ptCount val="12"/>
                <c:pt idx="0">
                  <c:v>42</c:v>
                </c:pt>
                <c:pt idx="1">
                  <c:v>52</c:v>
                </c:pt>
                <c:pt idx="2">
                  <c:v>52</c:v>
                </c:pt>
                <c:pt idx="3">
                  <c:v>80</c:v>
                </c:pt>
                <c:pt idx="4">
                  <c:v>83</c:v>
                </c:pt>
                <c:pt idx="5">
                  <c:v>85</c:v>
                </c:pt>
                <c:pt idx="6">
                  <c:v>85</c:v>
                </c:pt>
                <c:pt idx="7">
                  <c:v>86</c:v>
                </c:pt>
                <c:pt idx="8">
                  <c:v>85</c:v>
                </c:pt>
                <c:pt idx="9">
                  <c:v>82</c:v>
                </c:pt>
                <c:pt idx="10">
                  <c:v>78</c:v>
                </c:pt>
                <c:pt idx="11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9-48F4-92F2-631C6892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008776"/>
        <c:axId val="1249014352"/>
      </c:lineChart>
      <c:catAx>
        <c:axId val="1249008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014352"/>
        <c:crosses val="autoZero"/>
        <c:auto val="1"/>
        <c:lblAlgn val="ctr"/>
        <c:lblOffset val="100"/>
        <c:noMultiLvlLbl val="0"/>
      </c:catAx>
      <c:valAx>
        <c:axId val="124901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008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Morning or Evening Peak?
1970-2001 Monthly Peaks</a:t>
            </a:r>
          </a:p>
        </c:rich>
      </c:tx>
      <c:layout>
        <c:manualLayout>
          <c:xMode val="edge"/>
          <c:yMode val="edge"/>
          <c:x val="0.37678852344413888"/>
          <c:y val="3.0237570276921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260731319554846E-2"/>
          <c:y val="0.17710601831003889"/>
          <c:w val="0.89348171701112877"/>
          <c:h val="0.68466594883271126"/>
        </c:manualLayout>
      </c:layout>
      <c:barChart>
        <c:barDir val="col"/>
        <c:grouping val="stacked"/>
        <c:varyColors val="0"/>
        <c:ser>
          <c:idx val="0"/>
          <c:order val="0"/>
          <c:tx>
            <c:v>Morning Peak (8:00a.m.)</c:v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'Total Retail'!$B$122:$M$122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Retail'!$B$178:$M$178</c:f>
              <c:numCache>
                <c:formatCode>0%</c:formatCode>
                <c:ptCount val="12"/>
                <c:pt idx="0">
                  <c:v>0.92</c:v>
                </c:pt>
                <c:pt idx="1">
                  <c:v>0.8</c:v>
                </c:pt>
                <c:pt idx="2">
                  <c:v>0.38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0.15686274509803921</c:v>
                </c:pt>
                <c:pt idx="11">
                  <c:v>0.5490196078431373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2B2-92F4-C5E1565286CB}"/>
            </c:ext>
          </c:extLst>
        </c:ser>
        <c:ser>
          <c:idx val="1"/>
          <c:order val="1"/>
          <c:tx>
            <c:v>Evening Peak (5:00p.m.)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'Total Retail'!$B$122:$M$122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Retail'!$B$179:$M$179</c:f>
              <c:numCache>
                <c:formatCode>0%</c:formatCode>
                <c:ptCount val="12"/>
                <c:pt idx="0">
                  <c:v>7.999999999999996E-2</c:v>
                </c:pt>
                <c:pt idx="1">
                  <c:v>0.19999999999999996</c:v>
                </c:pt>
                <c:pt idx="2">
                  <c:v>0.62</c:v>
                </c:pt>
                <c:pt idx="3">
                  <c:v>0.98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0.84313725490196079</c:v>
                </c:pt>
                <c:pt idx="11">
                  <c:v>0.4509803921568627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C-42B2-92F4-C5E15652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132179352"/>
        <c:axId val="1"/>
      </c:barChart>
      <c:catAx>
        <c:axId val="1132179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time</a:t>
                </a:r>
              </a:p>
            </c:rich>
          </c:tx>
          <c:layout>
            <c:manualLayout>
              <c:xMode val="edge"/>
              <c:yMode val="edge"/>
              <c:x val="2.5437298806548703E-2"/>
              <c:y val="0.455723960551100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2179352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17591528739558"/>
          <c:y val="0.91922255620690119"/>
          <c:w val="0.17105281474096973"/>
          <c:h val="5.71032194007317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Temperatures at Time of Monthly Peak</a:t>
            </a:r>
          </a:p>
        </c:rich>
      </c:tx>
      <c:layout>
        <c:manualLayout>
          <c:xMode val="edge"/>
          <c:yMode val="edge"/>
          <c:x val="0.28190908508941925"/>
          <c:y val="3.14605976266389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69309311978286E-2"/>
          <c:y val="0.18651705859052251"/>
          <c:w val="0.80133228776418552"/>
          <c:h val="0.61573101269642372"/>
        </c:manualLayout>
      </c:layout>
      <c:lineChart>
        <c:grouping val="standard"/>
        <c:varyColors val="0"/>
        <c:ser>
          <c:idx val="0"/>
          <c:order val="0"/>
          <c:tx>
            <c:v>JAN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'30yrs'!$B$4:$B$33</c:f>
              <c:numCache>
                <c:formatCode>0</c:formatCode>
                <c:ptCount val="30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27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37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43</c:v>
                </c:pt>
                <c:pt idx="23">
                  <c:v>43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47</c:v>
                </c:pt>
                <c:pt idx="28">
                  <c:v>50</c:v>
                </c:pt>
                <c:pt idx="29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2-4E01-817C-0BEAE83387BF}"/>
            </c:ext>
          </c:extLst>
        </c:ser>
        <c:ser>
          <c:idx val="1"/>
          <c:order val="1"/>
          <c:tx>
            <c:v>FEB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'30yrs'!$C$4:$C$33</c:f>
              <c:numCache>
                <c:formatCode>0</c:formatCode>
                <c:ptCount val="30"/>
                <c:pt idx="0">
                  <c:v>26</c:v>
                </c:pt>
                <c:pt idx="1">
                  <c:v>29</c:v>
                </c:pt>
                <c:pt idx="2">
                  <c:v>32</c:v>
                </c:pt>
                <c:pt idx="3">
                  <c:v>36</c:v>
                </c:pt>
                <c:pt idx="4">
                  <c:v>36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39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42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47</c:v>
                </c:pt>
                <c:pt idx="26">
                  <c:v>47</c:v>
                </c:pt>
                <c:pt idx="27">
                  <c:v>51</c:v>
                </c:pt>
                <c:pt idx="28">
                  <c:v>56</c:v>
                </c:pt>
                <c:pt idx="29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2-4E01-817C-0BEAE83387BF}"/>
            </c:ext>
          </c:extLst>
        </c:ser>
        <c:ser>
          <c:idx val="2"/>
          <c:order val="2"/>
          <c:tx>
            <c:v>MAR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'30yrs'!$D$4:$D$33</c:f>
              <c:numCache>
                <c:formatCode>0</c:formatCode>
                <c:ptCount val="30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44</c:v>
                </c:pt>
                <c:pt idx="10">
                  <c:v>45</c:v>
                </c:pt>
                <c:pt idx="11">
                  <c:v>48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53</c:v>
                </c:pt>
                <c:pt idx="20">
                  <c:v>54</c:v>
                </c:pt>
                <c:pt idx="21">
                  <c:v>74</c:v>
                </c:pt>
                <c:pt idx="22">
                  <c:v>74</c:v>
                </c:pt>
                <c:pt idx="23">
                  <c:v>75</c:v>
                </c:pt>
                <c:pt idx="24">
                  <c:v>77</c:v>
                </c:pt>
                <c:pt idx="25">
                  <c:v>77</c:v>
                </c:pt>
                <c:pt idx="26">
                  <c:v>82</c:v>
                </c:pt>
                <c:pt idx="27">
                  <c:v>82</c:v>
                </c:pt>
                <c:pt idx="28">
                  <c:v>82</c:v>
                </c:pt>
                <c:pt idx="2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2-4E01-817C-0BEAE83387BF}"/>
            </c:ext>
          </c:extLst>
        </c:ser>
        <c:ser>
          <c:idx val="3"/>
          <c:order val="3"/>
          <c:tx>
            <c:v>APR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'30yrs'!$E$4:$E$33</c:f>
              <c:numCache>
                <c:formatCode>0</c:formatCode>
                <c:ptCount val="30"/>
                <c:pt idx="0">
                  <c:v>51</c:v>
                </c:pt>
                <c:pt idx="1">
                  <c:v>74</c:v>
                </c:pt>
                <c:pt idx="2">
                  <c:v>74</c:v>
                </c:pt>
                <c:pt idx="3">
                  <c:v>75</c:v>
                </c:pt>
                <c:pt idx="4">
                  <c:v>75</c:v>
                </c:pt>
                <c:pt idx="5">
                  <c:v>77</c:v>
                </c:pt>
                <c:pt idx="6">
                  <c:v>77</c:v>
                </c:pt>
                <c:pt idx="7">
                  <c:v>78</c:v>
                </c:pt>
                <c:pt idx="8">
                  <c:v>79</c:v>
                </c:pt>
                <c:pt idx="9">
                  <c:v>80</c:v>
                </c:pt>
                <c:pt idx="10">
                  <c:v>80</c:v>
                </c:pt>
                <c:pt idx="11">
                  <c:v>81</c:v>
                </c:pt>
                <c:pt idx="12">
                  <c:v>81</c:v>
                </c:pt>
                <c:pt idx="13">
                  <c:v>81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83</c:v>
                </c:pt>
                <c:pt idx="18">
                  <c:v>83</c:v>
                </c:pt>
                <c:pt idx="19">
                  <c:v>83</c:v>
                </c:pt>
                <c:pt idx="20">
                  <c:v>85</c:v>
                </c:pt>
                <c:pt idx="21">
                  <c:v>86</c:v>
                </c:pt>
                <c:pt idx="22">
                  <c:v>86</c:v>
                </c:pt>
                <c:pt idx="23">
                  <c:v>86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89</c:v>
                </c:pt>
                <c:pt idx="29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52-4E01-817C-0BEAE83387BF}"/>
            </c:ext>
          </c:extLst>
        </c:ser>
        <c:ser>
          <c:idx val="4"/>
          <c:order val="4"/>
          <c:tx>
            <c:v>MAY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'30yrs'!$F$4:$F$33</c:f>
              <c:numCache>
                <c:formatCode>0</c:formatCode>
                <c:ptCount val="30"/>
                <c:pt idx="0">
                  <c:v>80</c:v>
                </c:pt>
                <c:pt idx="1">
                  <c:v>81</c:v>
                </c:pt>
                <c:pt idx="2">
                  <c:v>83</c:v>
                </c:pt>
                <c:pt idx="3">
                  <c:v>85</c:v>
                </c:pt>
                <c:pt idx="4">
                  <c:v>85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87</c:v>
                </c:pt>
                <c:pt idx="10">
                  <c:v>88</c:v>
                </c:pt>
                <c:pt idx="11">
                  <c:v>88</c:v>
                </c:pt>
                <c:pt idx="12">
                  <c:v>88</c:v>
                </c:pt>
                <c:pt idx="13">
                  <c:v>88</c:v>
                </c:pt>
                <c:pt idx="14">
                  <c:v>88</c:v>
                </c:pt>
                <c:pt idx="15">
                  <c:v>88</c:v>
                </c:pt>
                <c:pt idx="16">
                  <c:v>88</c:v>
                </c:pt>
                <c:pt idx="17">
                  <c:v>89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91</c:v>
                </c:pt>
                <c:pt idx="26">
                  <c:v>92</c:v>
                </c:pt>
                <c:pt idx="27">
                  <c:v>93</c:v>
                </c:pt>
                <c:pt idx="28">
                  <c:v>93</c:v>
                </c:pt>
                <c:pt idx="2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52-4E01-817C-0BEAE83387BF}"/>
            </c:ext>
          </c:extLst>
        </c:ser>
        <c:ser>
          <c:idx val="5"/>
          <c:order val="5"/>
          <c:tx>
            <c:v>JUN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'30yrs'!$G$4:$G$33</c:f>
              <c:numCache>
                <c:formatCode>0</c:formatCode>
                <c:ptCount val="30"/>
                <c:pt idx="0">
                  <c:v>86</c:v>
                </c:pt>
                <c:pt idx="1">
                  <c:v>87</c:v>
                </c:pt>
                <c:pt idx="2">
                  <c:v>87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91</c:v>
                </c:pt>
                <c:pt idx="22">
                  <c:v>91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93</c:v>
                </c:pt>
                <c:pt idx="27">
                  <c:v>94</c:v>
                </c:pt>
                <c:pt idx="28">
                  <c:v>94</c:v>
                </c:pt>
                <c:pt idx="29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52-4E01-817C-0BEAE83387BF}"/>
            </c:ext>
          </c:extLst>
        </c:ser>
        <c:ser>
          <c:idx val="6"/>
          <c:order val="6"/>
          <c:tx>
            <c:v>JUL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'30yrs'!$H$4:$H$33</c:f>
              <c:numCache>
                <c:formatCode>0</c:formatCode>
                <c:ptCount val="30"/>
                <c:pt idx="0">
                  <c:v>84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89</c:v>
                </c:pt>
                <c:pt idx="9">
                  <c:v>89</c:v>
                </c:pt>
                <c:pt idx="10">
                  <c:v>90</c:v>
                </c:pt>
                <c:pt idx="11">
                  <c:v>90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92</c:v>
                </c:pt>
                <c:pt idx="19">
                  <c:v>92</c:v>
                </c:pt>
                <c:pt idx="20">
                  <c:v>92</c:v>
                </c:pt>
                <c:pt idx="21">
                  <c:v>92</c:v>
                </c:pt>
                <c:pt idx="22">
                  <c:v>92</c:v>
                </c:pt>
                <c:pt idx="23">
                  <c:v>93</c:v>
                </c:pt>
                <c:pt idx="24">
                  <c:v>93</c:v>
                </c:pt>
                <c:pt idx="25">
                  <c:v>93</c:v>
                </c:pt>
                <c:pt idx="26">
                  <c:v>93</c:v>
                </c:pt>
                <c:pt idx="27">
                  <c:v>94</c:v>
                </c:pt>
                <c:pt idx="28">
                  <c:v>94</c:v>
                </c:pt>
                <c:pt idx="2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52-4E01-817C-0BEAE83387BF}"/>
            </c:ext>
          </c:extLst>
        </c:ser>
        <c:ser>
          <c:idx val="7"/>
          <c:order val="7"/>
          <c:tx>
            <c:v>AUG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'30yrs'!$I$4:$I$33</c:f>
              <c:numCache>
                <c:formatCode>0</c:formatCode>
                <c:ptCount val="30"/>
                <c:pt idx="0">
                  <c:v>87</c:v>
                </c:pt>
                <c:pt idx="1">
                  <c:v>87</c:v>
                </c:pt>
                <c:pt idx="2">
                  <c:v>88</c:v>
                </c:pt>
                <c:pt idx="3">
                  <c:v>88</c:v>
                </c:pt>
                <c:pt idx="4">
                  <c:v>89</c:v>
                </c:pt>
                <c:pt idx="5">
                  <c:v>89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92</c:v>
                </c:pt>
                <c:pt idx="21">
                  <c:v>92</c:v>
                </c:pt>
                <c:pt idx="22">
                  <c:v>92</c:v>
                </c:pt>
                <c:pt idx="23">
                  <c:v>92</c:v>
                </c:pt>
                <c:pt idx="24">
                  <c:v>92</c:v>
                </c:pt>
                <c:pt idx="25">
                  <c:v>92</c:v>
                </c:pt>
                <c:pt idx="26">
                  <c:v>93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52-4E01-817C-0BEAE83387BF}"/>
            </c:ext>
          </c:extLst>
        </c:ser>
        <c:ser>
          <c:idx val="8"/>
          <c:order val="8"/>
          <c:tx>
            <c:v>SEP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'30yrs'!$J$4:$J$33</c:f>
              <c:numCache>
                <c:formatCode>0</c:formatCode>
                <c:ptCount val="30"/>
                <c:pt idx="0">
                  <c:v>84</c:v>
                </c:pt>
                <c:pt idx="1">
                  <c:v>85</c:v>
                </c:pt>
                <c:pt idx="2">
                  <c:v>86</c:v>
                </c:pt>
                <c:pt idx="3">
                  <c:v>87</c:v>
                </c:pt>
                <c:pt idx="4">
                  <c:v>87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89</c:v>
                </c:pt>
                <c:pt idx="15">
                  <c:v>89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91</c:v>
                </c:pt>
                <c:pt idx="21">
                  <c:v>91</c:v>
                </c:pt>
                <c:pt idx="22">
                  <c:v>91</c:v>
                </c:pt>
                <c:pt idx="23">
                  <c:v>91</c:v>
                </c:pt>
                <c:pt idx="24">
                  <c:v>91</c:v>
                </c:pt>
                <c:pt idx="25">
                  <c:v>91</c:v>
                </c:pt>
                <c:pt idx="26">
                  <c:v>92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52-4E01-817C-0BEAE83387BF}"/>
            </c:ext>
          </c:extLst>
        </c:ser>
        <c:ser>
          <c:idx val="9"/>
          <c:order val="9"/>
          <c:tx>
            <c:v>OCT</c:v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val>
            <c:numRef>
              <c:f>'30yrs'!$K$4:$K$33</c:f>
              <c:numCache>
                <c:formatCode>0</c:formatCode>
                <c:ptCount val="30"/>
                <c:pt idx="0">
                  <c:v>76</c:v>
                </c:pt>
                <c:pt idx="1">
                  <c:v>77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84</c:v>
                </c:pt>
                <c:pt idx="11">
                  <c:v>84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87</c:v>
                </c:pt>
                <c:pt idx="18">
                  <c:v>87</c:v>
                </c:pt>
                <c:pt idx="19">
                  <c:v>87</c:v>
                </c:pt>
                <c:pt idx="20">
                  <c:v>87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89</c:v>
                </c:pt>
                <c:pt idx="25">
                  <c:v>89</c:v>
                </c:pt>
                <c:pt idx="26">
                  <c:v>89</c:v>
                </c:pt>
                <c:pt idx="27">
                  <c:v>90</c:v>
                </c:pt>
                <c:pt idx="28">
                  <c:v>90</c:v>
                </c:pt>
                <c:pt idx="29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E52-4E01-817C-0BEAE83387BF}"/>
            </c:ext>
          </c:extLst>
        </c:ser>
        <c:ser>
          <c:idx val="10"/>
          <c:order val="10"/>
          <c:tx>
            <c:v>NOV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'30yrs'!$L$4:$L$33</c:f>
              <c:numCache>
                <c:formatCode>0</c:formatCode>
                <c:ptCount val="30"/>
                <c:pt idx="0">
                  <c:v>40</c:v>
                </c:pt>
                <c:pt idx="1">
                  <c:v>40</c:v>
                </c:pt>
                <c:pt idx="2">
                  <c:v>41</c:v>
                </c:pt>
                <c:pt idx="3">
                  <c:v>41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74</c:v>
                </c:pt>
                <c:pt idx="12">
                  <c:v>74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78</c:v>
                </c:pt>
                <c:pt idx="19">
                  <c:v>78</c:v>
                </c:pt>
                <c:pt idx="20">
                  <c:v>78</c:v>
                </c:pt>
                <c:pt idx="21">
                  <c:v>78</c:v>
                </c:pt>
                <c:pt idx="22">
                  <c:v>78</c:v>
                </c:pt>
                <c:pt idx="23">
                  <c:v>79</c:v>
                </c:pt>
                <c:pt idx="24">
                  <c:v>79</c:v>
                </c:pt>
                <c:pt idx="25">
                  <c:v>81</c:v>
                </c:pt>
                <c:pt idx="26">
                  <c:v>82</c:v>
                </c:pt>
                <c:pt idx="27">
                  <c:v>82</c:v>
                </c:pt>
                <c:pt idx="28">
                  <c:v>83</c:v>
                </c:pt>
                <c:pt idx="2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52-4E01-817C-0BEAE83387BF}"/>
            </c:ext>
          </c:extLst>
        </c:ser>
        <c:ser>
          <c:idx val="11"/>
          <c:order val="11"/>
          <c:tx>
            <c:v>DEC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'30yrs'!$M$4:$M$33</c:f>
              <c:numCache>
                <c:formatCode>0</c:formatCode>
                <c:ptCount val="30"/>
                <c:pt idx="0">
                  <c:v>27</c:v>
                </c:pt>
                <c:pt idx="1">
                  <c:v>32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42</c:v>
                </c:pt>
                <c:pt idx="15">
                  <c:v>42</c:v>
                </c:pt>
                <c:pt idx="16">
                  <c:v>43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52</c:v>
                </c:pt>
                <c:pt idx="25">
                  <c:v>54</c:v>
                </c:pt>
                <c:pt idx="26">
                  <c:v>67</c:v>
                </c:pt>
                <c:pt idx="27">
                  <c:v>71</c:v>
                </c:pt>
                <c:pt idx="28">
                  <c:v>75</c:v>
                </c:pt>
                <c:pt idx="29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E52-4E01-817C-0BEAE8338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571008"/>
        <c:axId val="1"/>
      </c:lineChart>
      <c:catAx>
        <c:axId val="94957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#observations</a:t>
                </a:r>
              </a:p>
            </c:rich>
          </c:tx>
          <c:layout>
            <c:manualLayout>
              <c:xMode val="edge"/>
              <c:yMode val="edge"/>
              <c:x val="0.43507236761701906"/>
              <c:y val="0.901124439981915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2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</a:t>
                </a:r>
              </a:p>
            </c:rich>
          </c:tx>
          <c:layout>
            <c:manualLayout>
              <c:xMode val="edge"/>
              <c:yMode val="edge"/>
              <c:x val="1.7758029691964779E-2"/>
              <c:y val="0.379775581743557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57100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42208463334706"/>
          <c:y val="0.20464484727536358"/>
          <c:w val="8.2632027943002936E-2"/>
          <c:h val="0.5558792660032925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Temperatures at Time of Monthly Peak (1973-2002)</a:t>
            </a:r>
          </a:p>
        </c:rich>
      </c:tx>
      <c:layout>
        <c:manualLayout>
          <c:xMode val="edge"/>
          <c:yMode val="edge"/>
          <c:x val="0.21420663326175135"/>
          <c:y val="3.1460633562294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69309311978286E-2"/>
          <c:y val="0.18651705859052251"/>
          <c:w val="0.80133228776418552"/>
          <c:h val="0.61573101269642372"/>
        </c:manualLayout>
      </c:layout>
      <c:lineChart>
        <c:grouping val="standard"/>
        <c:varyColors val="0"/>
        <c:ser>
          <c:idx val="0"/>
          <c:order val="0"/>
          <c:tx>
            <c:v>JAN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'30yrs'!$B$4:$B$33</c:f>
              <c:numCache>
                <c:formatCode>0</c:formatCode>
                <c:ptCount val="30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27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37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43</c:v>
                </c:pt>
                <c:pt idx="23">
                  <c:v>43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47</c:v>
                </c:pt>
                <c:pt idx="28">
                  <c:v>50</c:v>
                </c:pt>
                <c:pt idx="29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7-41B5-8EED-D532EB7234FA}"/>
            </c:ext>
          </c:extLst>
        </c:ser>
        <c:ser>
          <c:idx val="1"/>
          <c:order val="1"/>
          <c:tx>
            <c:v>FEB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'30yrs'!$C$4:$C$33</c:f>
              <c:numCache>
                <c:formatCode>0</c:formatCode>
                <c:ptCount val="30"/>
                <c:pt idx="0">
                  <c:v>26</c:v>
                </c:pt>
                <c:pt idx="1">
                  <c:v>29</c:v>
                </c:pt>
                <c:pt idx="2">
                  <c:v>32</c:v>
                </c:pt>
                <c:pt idx="3">
                  <c:v>36</c:v>
                </c:pt>
                <c:pt idx="4">
                  <c:v>36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39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42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47</c:v>
                </c:pt>
                <c:pt idx="26">
                  <c:v>47</c:v>
                </c:pt>
                <c:pt idx="27">
                  <c:v>51</c:v>
                </c:pt>
                <c:pt idx="28">
                  <c:v>56</c:v>
                </c:pt>
                <c:pt idx="29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7-41B5-8EED-D532EB7234FA}"/>
            </c:ext>
          </c:extLst>
        </c:ser>
        <c:ser>
          <c:idx val="2"/>
          <c:order val="2"/>
          <c:tx>
            <c:v>MAR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'30yrs'!$D$4:$D$33</c:f>
              <c:numCache>
                <c:formatCode>0</c:formatCode>
                <c:ptCount val="30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44</c:v>
                </c:pt>
                <c:pt idx="10">
                  <c:v>45</c:v>
                </c:pt>
                <c:pt idx="11">
                  <c:v>48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53</c:v>
                </c:pt>
                <c:pt idx="20">
                  <c:v>54</c:v>
                </c:pt>
                <c:pt idx="21">
                  <c:v>74</c:v>
                </c:pt>
                <c:pt idx="22">
                  <c:v>74</c:v>
                </c:pt>
                <c:pt idx="23">
                  <c:v>75</c:v>
                </c:pt>
                <c:pt idx="24">
                  <c:v>77</c:v>
                </c:pt>
                <c:pt idx="25">
                  <c:v>77</c:v>
                </c:pt>
                <c:pt idx="26">
                  <c:v>82</c:v>
                </c:pt>
                <c:pt idx="27">
                  <c:v>82</c:v>
                </c:pt>
                <c:pt idx="28">
                  <c:v>82</c:v>
                </c:pt>
                <c:pt idx="2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7-41B5-8EED-D532EB7234FA}"/>
            </c:ext>
          </c:extLst>
        </c:ser>
        <c:ser>
          <c:idx val="3"/>
          <c:order val="3"/>
          <c:tx>
            <c:v>APR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'30yrs'!$E$4:$E$33</c:f>
              <c:numCache>
                <c:formatCode>0</c:formatCode>
                <c:ptCount val="30"/>
                <c:pt idx="0">
                  <c:v>51</c:v>
                </c:pt>
                <c:pt idx="1">
                  <c:v>74</c:v>
                </c:pt>
                <c:pt idx="2">
                  <c:v>74</c:v>
                </c:pt>
                <c:pt idx="3">
                  <c:v>75</c:v>
                </c:pt>
                <c:pt idx="4">
                  <c:v>75</c:v>
                </c:pt>
                <c:pt idx="5">
                  <c:v>77</c:v>
                </c:pt>
                <c:pt idx="6">
                  <c:v>77</c:v>
                </c:pt>
                <c:pt idx="7">
                  <c:v>78</c:v>
                </c:pt>
                <c:pt idx="8">
                  <c:v>79</c:v>
                </c:pt>
                <c:pt idx="9">
                  <c:v>80</c:v>
                </c:pt>
                <c:pt idx="10">
                  <c:v>80</c:v>
                </c:pt>
                <c:pt idx="11">
                  <c:v>81</c:v>
                </c:pt>
                <c:pt idx="12">
                  <c:v>81</c:v>
                </c:pt>
                <c:pt idx="13">
                  <c:v>81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83</c:v>
                </c:pt>
                <c:pt idx="18">
                  <c:v>83</c:v>
                </c:pt>
                <c:pt idx="19">
                  <c:v>83</c:v>
                </c:pt>
                <c:pt idx="20">
                  <c:v>85</c:v>
                </c:pt>
                <c:pt idx="21">
                  <c:v>86</c:v>
                </c:pt>
                <c:pt idx="22">
                  <c:v>86</c:v>
                </c:pt>
                <c:pt idx="23">
                  <c:v>86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89</c:v>
                </c:pt>
                <c:pt idx="29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37-41B5-8EED-D532EB7234FA}"/>
            </c:ext>
          </c:extLst>
        </c:ser>
        <c:ser>
          <c:idx val="4"/>
          <c:order val="4"/>
          <c:tx>
            <c:v>MAY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'30yrs'!$F$4:$F$33</c:f>
              <c:numCache>
                <c:formatCode>0</c:formatCode>
                <c:ptCount val="30"/>
                <c:pt idx="0">
                  <c:v>80</c:v>
                </c:pt>
                <c:pt idx="1">
                  <c:v>81</c:v>
                </c:pt>
                <c:pt idx="2">
                  <c:v>83</c:v>
                </c:pt>
                <c:pt idx="3">
                  <c:v>85</c:v>
                </c:pt>
                <c:pt idx="4">
                  <c:v>85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87</c:v>
                </c:pt>
                <c:pt idx="10">
                  <c:v>88</c:v>
                </c:pt>
                <c:pt idx="11">
                  <c:v>88</c:v>
                </c:pt>
                <c:pt idx="12">
                  <c:v>88</c:v>
                </c:pt>
                <c:pt idx="13">
                  <c:v>88</c:v>
                </c:pt>
                <c:pt idx="14">
                  <c:v>88</c:v>
                </c:pt>
                <c:pt idx="15">
                  <c:v>88</c:v>
                </c:pt>
                <c:pt idx="16">
                  <c:v>88</c:v>
                </c:pt>
                <c:pt idx="17">
                  <c:v>89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91</c:v>
                </c:pt>
                <c:pt idx="26">
                  <c:v>92</c:v>
                </c:pt>
                <c:pt idx="27">
                  <c:v>93</c:v>
                </c:pt>
                <c:pt idx="28">
                  <c:v>93</c:v>
                </c:pt>
                <c:pt idx="2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37-41B5-8EED-D532EB7234FA}"/>
            </c:ext>
          </c:extLst>
        </c:ser>
        <c:ser>
          <c:idx val="5"/>
          <c:order val="5"/>
          <c:tx>
            <c:v>JUN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'30yrs'!$G$4:$G$33</c:f>
              <c:numCache>
                <c:formatCode>0</c:formatCode>
                <c:ptCount val="30"/>
                <c:pt idx="0">
                  <c:v>86</c:v>
                </c:pt>
                <c:pt idx="1">
                  <c:v>87</c:v>
                </c:pt>
                <c:pt idx="2">
                  <c:v>87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91</c:v>
                </c:pt>
                <c:pt idx="22">
                  <c:v>91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93</c:v>
                </c:pt>
                <c:pt idx="27">
                  <c:v>94</c:v>
                </c:pt>
                <c:pt idx="28">
                  <c:v>94</c:v>
                </c:pt>
                <c:pt idx="29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37-41B5-8EED-D532EB7234FA}"/>
            </c:ext>
          </c:extLst>
        </c:ser>
        <c:ser>
          <c:idx val="6"/>
          <c:order val="6"/>
          <c:tx>
            <c:v>JUL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8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'30yrs'!$H$4:$H$33</c:f>
              <c:numCache>
                <c:formatCode>0</c:formatCode>
                <c:ptCount val="30"/>
                <c:pt idx="0">
                  <c:v>84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89</c:v>
                </c:pt>
                <c:pt idx="9">
                  <c:v>89</c:v>
                </c:pt>
                <c:pt idx="10">
                  <c:v>90</c:v>
                </c:pt>
                <c:pt idx="11">
                  <c:v>90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92</c:v>
                </c:pt>
                <c:pt idx="19">
                  <c:v>92</c:v>
                </c:pt>
                <c:pt idx="20">
                  <c:v>92</c:v>
                </c:pt>
                <c:pt idx="21">
                  <c:v>92</c:v>
                </c:pt>
                <c:pt idx="22">
                  <c:v>92</c:v>
                </c:pt>
                <c:pt idx="23">
                  <c:v>93</c:v>
                </c:pt>
                <c:pt idx="24">
                  <c:v>93</c:v>
                </c:pt>
                <c:pt idx="25">
                  <c:v>93</c:v>
                </c:pt>
                <c:pt idx="26">
                  <c:v>93</c:v>
                </c:pt>
                <c:pt idx="27">
                  <c:v>94</c:v>
                </c:pt>
                <c:pt idx="28">
                  <c:v>94</c:v>
                </c:pt>
                <c:pt idx="2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37-41B5-8EED-D532EB7234FA}"/>
            </c:ext>
          </c:extLst>
        </c:ser>
        <c:ser>
          <c:idx val="7"/>
          <c:order val="7"/>
          <c:tx>
            <c:v>AUG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'30yrs'!$I$4:$I$33</c:f>
              <c:numCache>
                <c:formatCode>0</c:formatCode>
                <c:ptCount val="30"/>
                <c:pt idx="0">
                  <c:v>87</c:v>
                </c:pt>
                <c:pt idx="1">
                  <c:v>87</c:v>
                </c:pt>
                <c:pt idx="2">
                  <c:v>88</c:v>
                </c:pt>
                <c:pt idx="3">
                  <c:v>88</c:v>
                </c:pt>
                <c:pt idx="4">
                  <c:v>89</c:v>
                </c:pt>
                <c:pt idx="5">
                  <c:v>89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92</c:v>
                </c:pt>
                <c:pt idx="21">
                  <c:v>92</c:v>
                </c:pt>
                <c:pt idx="22">
                  <c:v>92</c:v>
                </c:pt>
                <c:pt idx="23">
                  <c:v>92</c:v>
                </c:pt>
                <c:pt idx="24">
                  <c:v>92</c:v>
                </c:pt>
                <c:pt idx="25">
                  <c:v>92</c:v>
                </c:pt>
                <c:pt idx="26">
                  <c:v>93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37-41B5-8EED-D532EB7234FA}"/>
            </c:ext>
          </c:extLst>
        </c:ser>
        <c:ser>
          <c:idx val="8"/>
          <c:order val="8"/>
          <c:tx>
            <c:v>SEP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'30yrs'!$J$4:$J$33</c:f>
              <c:numCache>
                <c:formatCode>0</c:formatCode>
                <c:ptCount val="30"/>
                <c:pt idx="0">
                  <c:v>84</c:v>
                </c:pt>
                <c:pt idx="1">
                  <c:v>85</c:v>
                </c:pt>
                <c:pt idx="2">
                  <c:v>86</c:v>
                </c:pt>
                <c:pt idx="3">
                  <c:v>87</c:v>
                </c:pt>
                <c:pt idx="4">
                  <c:v>87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89</c:v>
                </c:pt>
                <c:pt idx="15">
                  <c:v>89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91</c:v>
                </c:pt>
                <c:pt idx="21">
                  <c:v>91</c:v>
                </c:pt>
                <c:pt idx="22">
                  <c:v>91</c:v>
                </c:pt>
                <c:pt idx="23">
                  <c:v>91</c:v>
                </c:pt>
                <c:pt idx="24">
                  <c:v>91</c:v>
                </c:pt>
                <c:pt idx="25">
                  <c:v>91</c:v>
                </c:pt>
                <c:pt idx="26">
                  <c:v>92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D37-41B5-8EED-D532EB7234FA}"/>
            </c:ext>
          </c:extLst>
        </c:ser>
        <c:ser>
          <c:idx val="9"/>
          <c:order val="9"/>
          <c:tx>
            <c:v>OCT</c:v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8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'30yrs'!$K$4:$K$33</c:f>
              <c:numCache>
                <c:formatCode>0</c:formatCode>
                <c:ptCount val="30"/>
                <c:pt idx="0">
                  <c:v>76</c:v>
                </c:pt>
                <c:pt idx="1">
                  <c:v>77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84</c:v>
                </c:pt>
                <c:pt idx="11">
                  <c:v>84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87</c:v>
                </c:pt>
                <c:pt idx="18">
                  <c:v>87</c:v>
                </c:pt>
                <c:pt idx="19">
                  <c:v>87</c:v>
                </c:pt>
                <c:pt idx="20">
                  <c:v>87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89</c:v>
                </c:pt>
                <c:pt idx="25">
                  <c:v>89</c:v>
                </c:pt>
                <c:pt idx="26">
                  <c:v>89</c:v>
                </c:pt>
                <c:pt idx="27">
                  <c:v>90</c:v>
                </c:pt>
                <c:pt idx="28">
                  <c:v>90</c:v>
                </c:pt>
                <c:pt idx="29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D37-41B5-8EED-D532EB7234FA}"/>
            </c:ext>
          </c:extLst>
        </c:ser>
        <c:ser>
          <c:idx val="10"/>
          <c:order val="10"/>
          <c:tx>
            <c:v>NOV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'30yrs'!$L$4:$L$33</c:f>
              <c:numCache>
                <c:formatCode>0</c:formatCode>
                <c:ptCount val="30"/>
                <c:pt idx="0">
                  <c:v>40</c:v>
                </c:pt>
                <c:pt idx="1">
                  <c:v>40</c:v>
                </c:pt>
                <c:pt idx="2">
                  <c:v>41</c:v>
                </c:pt>
                <c:pt idx="3">
                  <c:v>41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74</c:v>
                </c:pt>
                <c:pt idx="12">
                  <c:v>74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78</c:v>
                </c:pt>
                <c:pt idx="19">
                  <c:v>78</c:v>
                </c:pt>
                <c:pt idx="20">
                  <c:v>78</c:v>
                </c:pt>
                <c:pt idx="21">
                  <c:v>78</c:v>
                </c:pt>
                <c:pt idx="22">
                  <c:v>78</c:v>
                </c:pt>
                <c:pt idx="23">
                  <c:v>79</c:v>
                </c:pt>
                <c:pt idx="24">
                  <c:v>79</c:v>
                </c:pt>
                <c:pt idx="25">
                  <c:v>81</c:v>
                </c:pt>
                <c:pt idx="26">
                  <c:v>82</c:v>
                </c:pt>
                <c:pt idx="27">
                  <c:v>82</c:v>
                </c:pt>
                <c:pt idx="28">
                  <c:v>83</c:v>
                </c:pt>
                <c:pt idx="2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37-41B5-8EED-D532EB7234FA}"/>
            </c:ext>
          </c:extLst>
        </c:ser>
        <c:ser>
          <c:idx val="11"/>
          <c:order val="11"/>
          <c:tx>
            <c:v>DEC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'30yrs'!$M$4:$M$33</c:f>
              <c:numCache>
                <c:formatCode>0</c:formatCode>
                <c:ptCount val="30"/>
                <c:pt idx="0">
                  <c:v>27</c:v>
                </c:pt>
                <c:pt idx="1">
                  <c:v>32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42</c:v>
                </c:pt>
                <c:pt idx="15">
                  <c:v>42</c:v>
                </c:pt>
                <c:pt idx="16">
                  <c:v>43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52</c:v>
                </c:pt>
                <c:pt idx="25">
                  <c:v>54</c:v>
                </c:pt>
                <c:pt idx="26">
                  <c:v>67</c:v>
                </c:pt>
                <c:pt idx="27">
                  <c:v>71</c:v>
                </c:pt>
                <c:pt idx="28">
                  <c:v>75</c:v>
                </c:pt>
                <c:pt idx="29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37-41B5-8EED-D532EB723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80664"/>
        <c:axId val="1"/>
      </c:lineChart>
      <c:catAx>
        <c:axId val="1132180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#observations</a:t>
                </a:r>
              </a:p>
            </c:rich>
          </c:tx>
          <c:layout>
            <c:manualLayout>
              <c:xMode val="edge"/>
              <c:yMode val="edge"/>
              <c:x val="0.43507236761701906"/>
              <c:y val="0.90112442691248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</a:t>
                </a:r>
              </a:p>
            </c:rich>
          </c:tx>
          <c:layout>
            <c:manualLayout>
              <c:xMode val="edge"/>
              <c:yMode val="edge"/>
              <c:x val="1.7758029691964779E-2"/>
              <c:y val="0.37977561198544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21806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42208463334706"/>
          <c:y val="0.20724689011840142"/>
          <c:w val="8.2632027943002936E-2"/>
          <c:h val="0.55507383856886539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Temperatures at Time of Monthly Peak</a:t>
            </a:r>
          </a:p>
        </c:rich>
      </c:tx>
      <c:layout>
        <c:manualLayout>
          <c:xMode val="edge"/>
          <c:yMode val="edge"/>
          <c:x val="0.28190911615247138"/>
          <c:y val="3.1460633562294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69309311978286E-2"/>
          <c:y val="0.18651705859052251"/>
          <c:w val="0.72697042726529293"/>
          <c:h val="0.61573101269642372"/>
        </c:manualLayout>
      </c:layout>
      <c:lineChart>
        <c:grouping val="standard"/>
        <c:varyColors val="0"/>
        <c:ser>
          <c:idx val="0"/>
          <c:order val="0"/>
          <c:tx>
            <c:v>JAN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'30yrs'!$B$4:$B$33</c:f>
              <c:numCache>
                <c:formatCode>0</c:formatCode>
                <c:ptCount val="30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27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37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43</c:v>
                </c:pt>
                <c:pt idx="23">
                  <c:v>43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47</c:v>
                </c:pt>
                <c:pt idx="28">
                  <c:v>50</c:v>
                </c:pt>
                <c:pt idx="29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E-4306-ACBC-D5B0DCD3B1A6}"/>
            </c:ext>
          </c:extLst>
        </c:ser>
        <c:ser>
          <c:idx val="1"/>
          <c:order val="1"/>
          <c:tx>
            <c:v>MAR (COLD)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'30yrs'!$W$13:$W$33</c:f>
              <c:numCache>
                <c:formatCode>General</c:formatCode>
                <c:ptCount val="21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44</c:v>
                </c:pt>
                <c:pt idx="10">
                  <c:v>45</c:v>
                </c:pt>
                <c:pt idx="11">
                  <c:v>48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53</c:v>
                </c:pt>
                <c:pt idx="20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E-4306-ACBC-D5B0DCD3B1A6}"/>
            </c:ext>
          </c:extLst>
        </c:ser>
        <c:ser>
          <c:idx val="2"/>
          <c:order val="2"/>
          <c:tx>
            <c:v>MAR p.m. (cold)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'30yrs'!$U$20:$U$24</c:f>
              <c:numCache>
                <c:formatCode>General</c:formatCode>
                <c:ptCount val="5"/>
                <c:pt idx="0">
                  <c:v>39</c:v>
                </c:pt>
                <c:pt idx="1">
                  <c:v>48</c:v>
                </c:pt>
                <c:pt idx="2">
                  <c:v>51</c:v>
                </c:pt>
                <c:pt idx="3">
                  <c:v>53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E-4306-ACBC-D5B0DCD3B1A6}"/>
            </c:ext>
          </c:extLst>
        </c:ser>
        <c:ser>
          <c:idx val="3"/>
          <c:order val="3"/>
          <c:tx>
            <c:v>MAR (hot)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'30yrs'!$U$25:$U$33</c:f>
              <c:numCache>
                <c:formatCode>General</c:formatCode>
                <c:ptCount val="9"/>
                <c:pt idx="0">
                  <c:v>74</c:v>
                </c:pt>
                <c:pt idx="1">
                  <c:v>74</c:v>
                </c:pt>
                <c:pt idx="2">
                  <c:v>75</c:v>
                </c:pt>
                <c:pt idx="3">
                  <c:v>77</c:v>
                </c:pt>
                <c:pt idx="4">
                  <c:v>77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E-4306-ACBC-D5B0DCD3B1A6}"/>
            </c:ext>
          </c:extLst>
        </c:ser>
        <c:ser>
          <c:idx val="4"/>
          <c:order val="4"/>
          <c:tx>
            <c:v>NOV (cold)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'30yrs'!$R$26:$R$33</c:f>
              <c:numCache>
                <c:formatCode>General</c:formatCode>
                <c:ptCount val="8"/>
                <c:pt idx="0">
                  <c:v>40</c:v>
                </c:pt>
                <c:pt idx="1">
                  <c:v>40</c:v>
                </c:pt>
                <c:pt idx="2">
                  <c:v>41</c:v>
                </c:pt>
                <c:pt idx="3">
                  <c:v>41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E-4306-ACBC-D5B0DCD3B1A6}"/>
            </c:ext>
          </c:extLst>
        </c:ser>
        <c:ser>
          <c:idx val="5"/>
          <c:order val="5"/>
          <c:tx>
            <c:v>NOV p.m. (cold)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'30yrs'!$P$11:$P$12</c:f>
              <c:numCache>
                <c:formatCode>General</c:formatCode>
                <c:ptCount val="2"/>
                <c:pt idx="0">
                  <c:v>40</c:v>
                </c:pt>
                <c:pt idx="1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E-4306-ACBC-D5B0DCD3B1A6}"/>
            </c:ext>
          </c:extLst>
        </c:ser>
        <c:ser>
          <c:idx val="6"/>
          <c:order val="6"/>
          <c:tx>
            <c:v>NOV (hot)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'30yrs'!$P$13:$P$33</c:f>
              <c:numCache>
                <c:formatCode>General</c:formatCode>
                <c:ptCount val="21"/>
                <c:pt idx="0">
                  <c:v>72</c:v>
                </c:pt>
                <c:pt idx="1">
                  <c:v>73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77</c:v>
                </c:pt>
                <c:pt idx="9">
                  <c:v>77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79</c:v>
                </c:pt>
                <c:pt idx="16">
                  <c:v>79</c:v>
                </c:pt>
                <c:pt idx="17">
                  <c:v>82</c:v>
                </c:pt>
                <c:pt idx="18">
                  <c:v>82</c:v>
                </c:pt>
                <c:pt idx="19">
                  <c:v>83</c:v>
                </c:pt>
                <c:pt idx="20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DE-4306-ACBC-D5B0DCD3B1A6}"/>
            </c:ext>
          </c:extLst>
        </c:ser>
        <c:ser>
          <c:idx val="7"/>
          <c:order val="7"/>
          <c:tx>
            <c:v>DEC (cold)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'30yrs'!$AB$8:$AB$33</c:f>
              <c:numCache>
                <c:formatCode>0</c:formatCode>
                <c:ptCount val="26"/>
                <c:pt idx="0">
                  <c:v>27</c:v>
                </c:pt>
                <c:pt idx="1">
                  <c:v>32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42</c:v>
                </c:pt>
                <c:pt idx="15">
                  <c:v>42</c:v>
                </c:pt>
                <c:pt idx="16">
                  <c:v>43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52</c:v>
                </c:pt>
                <c:pt idx="2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DE-4306-ACBC-D5B0DCD3B1A6}"/>
            </c:ext>
          </c:extLst>
        </c:ser>
        <c:ser>
          <c:idx val="8"/>
          <c:order val="8"/>
          <c:tx>
            <c:v>DEC (hot)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'30yrs'!$AA$30:$AA$33</c:f>
              <c:numCache>
                <c:formatCode>0</c:formatCode>
                <c:ptCount val="4"/>
                <c:pt idx="0">
                  <c:v>67</c:v>
                </c:pt>
                <c:pt idx="1">
                  <c:v>71</c:v>
                </c:pt>
                <c:pt idx="2">
                  <c:v>75</c:v>
                </c:pt>
                <c:pt idx="3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DE-4306-ACBC-D5B0DCD3B1A6}"/>
            </c:ext>
          </c:extLst>
        </c:ser>
        <c:ser>
          <c:idx val="9"/>
          <c:order val="9"/>
          <c:tx>
            <c:v>OCT</c:v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val>
            <c:numRef>
              <c:f>'30yrs'!$K$4:$K$33</c:f>
              <c:numCache>
                <c:formatCode>0</c:formatCode>
                <c:ptCount val="30"/>
                <c:pt idx="0">
                  <c:v>76</c:v>
                </c:pt>
                <c:pt idx="1">
                  <c:v>77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84</c:v>
                </c:pt>
                <c:pt idx="11">
                  <c:v>84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87</c:v>
                </c:pt>
                <c:pt idx="18">
                  <c:v>87</c:v>
                </c:pt>
                <c:pt idx="19">
                  <c:v>87</c:v>
                </c:pt>
                <c:pt idx="20">
                  <c:v>87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89</c:v>
                </c:pt>
                <c:pt idx="25">
                  <c:v>89</c:v>
                </c:pt>
                <c:pt idx="26">
                  <c:v>89</c:v>
                </c:pt>
                <c:pt idx="27">
                  <c:v>90</c:v>
                </c:pt>
                <c:pt idx="28">
                  <c:v>90</c:v>
                </c:pt>
                <c:pt idx="29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DE-4306-ACBC-D5B0DCD3B1A6}"/>
            </c:ext>
          </c:extLst>
        </c:ser>
        <c:ser>
          <c:idx val="10"/>
          <c:order val="10"/>
          <c:tx>
            <c:v>NOV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'30yrs'!$L$4:$L$33</c:f>
              <c:numCache>
                <c:formatCode>0</c:formatCode>
                <c:ptCount val="30"/>
                <c:pt idx="0">
                  <c:v>40</c:v>
                </c:pt>
                <c:pt idx="1">
                  <c:v>40</c:v>
                </c:pt>
                <c:pt idx="2">
                  <c:v>41</c:v>
                </c:pt>
                <c:pt idx="3">
                  <c:v>41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74</c:v>
                </c:pt>
                <c:pt idx="12">
                  <c:v>74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78</c:v>
                </c:pt>
                <c:pt idx="19">
                  <c:v>78</c:v>
                </c:pt>
                <c:pt idx="20">
                  <c:v>78</c:v>
                </c:pt>
                <c:pt idx="21">
                  <c:v>78</c:v>
                </c:pt>
                <c:pt idx="22">
                  <c:v>78</c:v>
                </c:pt>
                <c:pt idx="23">
                  <c:v>79</c:v>
                </c:pt>
                <c:pt idx="24">
                  <c:v>79</c:v>
                </c:pt>
                <c:pt idx="25">
                  <c:v>81</c:v>
                </c:pt>
                <c:pt idx="26">
                  <c:v>82</c:v>
                </c:pt>
                <c:pt idx="27">
                  <c:v>82</c:v>
                </c:pt>
                <c:pt idx="28">
                  <c:v>83</c:v>
                </c:pt>
                <c:pt idx="2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DE-4306-ACBC-D5B0DCD3B1A6}"/>
            </c:ext>
          </c:extLst>
        </c:ser>
        <c:ser>
          <c:idx val="11"/>
          <c:order val="11"/>
          <c:tx>
            <c:v>DEC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'30yrs'!$M$4:$M$33</c:f>
              <c:numCache>
                <c:formatCode>0</c:formatCode>
                <c:ptCount val="30"/>
                <c:pt idx="0">
                  <c:v>27</c:v>
                </c:pt>
                <c:pt idx="1">
                  <c:v>32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42</c:v>
                </c:pt>
                <c:pt idx="15">
                  <c:v>42</c:v>
                </c:pt>
                <c:pt idx="16">
                  <c:v>43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52</c:v>
                </c:pt>
                <c:pt idx="25">
                  <c:v>54</c:v>
                </c:pt>
                <c:pt idx="26">
                  <c:v>67</c:v>
                </c:pt>
                <c:pt idx="27">
                  <c:v>71</c:v>
                </c:pt>
                <c:pt idx="28">
                  <c:v>75</c:v>
                </c:pt>
                <c:pt idx="29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DE-4306-ACBC-D5B0DCD3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73776"/>
        <c:axId val="1"/>
      </c:lineChart>
      <c:catAx>
        <c:axId val="1132173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#observations</a:t>
                </a:r>
              </a:p>
            </c:rich>
          </c:tx>
          <c:layout>
            <c:manualLayout>
              <c:xMode val="edge"/>
              <c:yMode val="edge"/>
              <c:x val="0.39733650926856662"/>
              <c:y val="0.90112442691248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</a:t>
                </a:r>
              </a:p>
            </c:rich>
          </c:tx>
          <c:layout>
            <c:manualLayout>
              <c:xMode val="edge"/>
              <c:yMode val="edge"/>
              <c:x val="1.7758078376159638E-2"/>
              <c:y val="0.37977584659295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217377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3206281758613"/>
          <c:y val="0.20434833221464754"/>
          <c:w val="0.15914316492726491"/>
          <c:h val="0.55507383856886539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Temperatures at Time of Monthly Peak</a:t>
            </a:r>
          </a:p>
        </c:rich>
      </c:tx>
      <c:layout>
        <c:manualLayout>
          <c:xMode val="edge"/>
          <c:yMode val="edge"/>
          <c:x val="0.19838082810401106"/>
          <c:y val="3.14605976266389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60341494208489"/>
          <c:y val="0.20449460640647649"/>
          <c:w val="0.72874589968409942"/>
          <c:h val="0.58202311054151001"/>
        </c:manualLayout>
      </c:layout>
      <c:lineChart>
        <c:grouping val="standard"/>
        <c:varyColors val="0"/>
        <c:ser>
          <c:idx val="0"/>
          <c:order val="0"/>
          <c:tx>
            <c:v>JAN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'20yrs'!$B$4:$B$23</c:f>
              <c:numCache>
                <c:formatCode>0</c:formatCode>
                <c:ptCount val="20"/>
                <c:pt idx="0">
                  <c:v>26</c:v>
                </c:pt>
                <c:pt idx="1">
                  <c:v>27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39</c:v>
                </c:pt>
                <c:pt idx="11">
                  <c:v>41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47</c:v>
                </c:pt>
                <c:pt idx="1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2-4772-8286-39DBC3BBB323}"/>
            </c:ext>
          </c:extLst>
        </c:ser>
        <c:ser>
          <c:idx val="1"/>
          <c:order val="1"/>
          <c:tx>
            <c:v>FEB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'20yrs'!$C$4:$C$23</c:f>
              <c:numCache>
                <c:formatCode>0</c:formatCode>
                <c:ptCount val="20"/>
                <c:pt idx="0">
                  <c:v>26</c:v>
                </c:pt>
                <c:pt idx="1">
                  <c:v>29</c:v>
                </c:pt>
                <c:pt idx="2">
                  <c:v>36</c:v>
                </c:pt>
                <c:pt idx="3">
                  <c:v>37</c:v>
                </c:pt>
                <c:pt idx="4">
                  <c:v>37</c:v>
                </c:pt>
                <c:pt idx="5">
                  <c:v>38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42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45</c:v>
                </c:pt>
                <c:pt idx="16">
                  <c:v>47</c:v>
                </c:pt>
                <c:pt idx="17">
                  <c:v>47</c:v>
                </c:pt>
                <c:pt idx="18">
                  <c:v>51</c:v>
                </c:pt>
                <c:pt idx="19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2-4772-8286-39DBC3BBB323}"/>
            </c:ext>
          </c:extLst>
        </c:ser>
        <c:ser>
          <c:idx val="2"/>
          <c:order val="2"/>
          <c:tx>
            <c:v>MAR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'20yrs'!$D$4:$D$23</c:f>
              <c:numCache>
                <c:formatCode>0</c:formatCode>
                <c:ptCount val="20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42</c:v>
                </c:pt>
                <c:pt idx="4">
                  <c:v>44</c:v>
                </c:pt>
                <c:pt idx="5">
                  <c:v>44</c:v>
                </c:pt>
                <c:pt idx="6">
                  <c:v>45</c:v>
                </c:pt>
                <c:pt idx="7">
                  <c:v>48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53</c:v>
                </c:pt>
                <c:pt idx="15">
                  <c:v>74</c:v>
                </c:pt>
                <c:pt idx="16">
                  <c:v>77</c:v>
                </c:pt>
                <c:pt idx="17">
                  <c:v>82</c:v>
                </c:pt>
                <c:pt idx="18">
                  <c:v>82</c:v>
                </c:pt>
                <c:pt idx="1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2-4772-8286-39DBC3BBB323}"/>
            </c:ext>
          </c:extLst>
        </c:ser>
        <c:ser>
          <c:idx val="3"/>
          <c:order val="3"/>
          <c:tx>
            <c:v>APR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'20yrs'!$E$4:$E$23</c:f>
              <c:numCache>
                <c:formatCode>0</c:formatCode>
                <c:ptCount val="20"/>
                <c:pt idx="0">
                  <c:v>51</c:v>
                </c:pt>
                <c:pt idx="1">
                  <c:v>79</c:v>
                </c:pt>
                <c:pt idx="2">
                  <c:v>80</c:v>
                </c:pt>
                <c:pt idx="3">
                  <c:v>80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82</c:v>
                </c:pt>
                <c:pt idx="8">
                  <c:v>82</c:v>
                </c:pt>
                <c:pt idx="9">
                  <c:v>83</c:v>
                </c:pt>
                <c:pt idx="10">
                  <c:v>83</c:v>
                </c:pt>
                <c:pt idx="11">
                  <c:v>85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87</c:v>
                </c:pt>
                <c:pt idx="17">
                  <c:v>88</c:v>
                </c:pt>
                <c:pt idx="18">
                  <c:v>89</c:v>
                </c:pt>
                <c:pt idx="19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2-4772-8286-39DBC3BBB323}"/>
            </c:ext>
          </c:extLst>
        </c:ser>
        <c:ser>
          <c:idx val="4"/>
          <c:order val="4"/>
          <c:tx>
            <c:v>MAY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'20yrs'!$F$4:$F$23</c:f>
              <c:numCache>
                <c:formatCode>0</c:formatCode>
                <c:ptCount val="20"/>
                <c:pt idx="0">
                  <c:v>81</c:v>
                </c:pt>
                <c:pt idx="1">
                  <c:v>85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91</c:v>
                </c:pt>
                <c:pt idx="17">
                  <c:v>93</c:v>
                </c:pt>
                <c:pt idx="18">
                  <c:v>93</c:v>
                </c:pt>
                <c:pt idx="1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2-4772-8286-39DBC3BBB323}"/>
            </c:ext>
          </c:extLst>
        </c:ser>
        <c:ser>
          <c:idx val="5"/>
          <c:order val="5"/>
          <c:tx>
            <c:v>JUN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'20yrs'!$G$4:$G$23</c:f>
              <c:numCache>
                <c:formatCode>0</c:formatCode>
                <c:ptCount val="20"/>
                <c:pt idx="0">
                  <c:v>86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89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92</c:v>
                </c:pt>
                <c:pt idx="16">
                  <c:v>93</c:v>
                </c:pt>
                <c:pt idx="17">
                  <c:v>94</c:v>
                </c:pt>
                <c:pt idx="18">
                  <c:v>94</c:v>
                </c:pt>
                <c:pt idx="19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F2-4772-8286-39DBC3BBB323}"/>
            </c:ext>
          </c:extLst>
        </c:ser>
        <c:ser>
          <c:idx val="6"/>
          <c:order val="6"/>
          <c:tx>
            <c:v>JUL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'20yrs'!$H$4:$H$23</c:f>
              <c:numCache>
                <c:formatCode>0</c:formatCode>
                <c:ptCount val="20"/>
                <c:pt idx="0">
                  <c:v>87</c:v>
                </c:pt>
                <c:pt idx="1">
                  <c:v>87</c:v>
                </c:pt>
                <c:pt idx="2">
                  <c:v>89</c:v>
                </c:pt>
                <c:pt idx="3">
                  <c:v>90</c:v>
                </c:pt>
                <c:pt idx="4">
                  <c:v>90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92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  <c:pt idx="12">
                  <c:v>92</c:v>
                </c:pt>
                <c:pt idx="13">
                  <c:v>93</c:v>
                </c:pt>
                <c:pt idx="14">
                  <c:v>93</c:v>
                </c:pt>
                <c:pt idx="15">
                  <c:v>93</c:v>
                </c:pt>
                <c:pt idx="16">
                  <c:v>93</c:v>
                </c:pt>
                <c:pt idx="17">
                  <c:v>94</c:v>
                </c:pt>
                <c:pt idx="18">
                  <c:v>94</c:v>
                </c:pt>
                <c:pt idx="1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F2-4772-8286-39DBC3BBB323}"/>
            </c:ext>
          </c:extLst>
        </c:ser>
        <c:ser>
          <c:idx val="7"/>
          <c:order val="7"/>
          <c:tx>
            <c:v>AUG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'20yrs'!$I$4:$I$23</c:f>
              <c:numCache>
                <c:formatCode>0</c:formatCode>
                <c:ptCount val="20"/>
                <c:pt idx="0">
                  <c:v>87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92</c:v>
                </c:pt>
                <c:pt idx="12">
                  <c:v>92</c:v>
                </c:pt>
                <c:pt idx="13">
                  <c:v>92</c:v>
                </c:pt>
                <c:pt idx="14">
                  <c:v>92</c:v>
                </c:pt>
                <c:pt idx="15">
                  <c:v>92</c:v>
                </c:pt>
                <c:pt idx="16">
                  <c:v>92</c:v>
                </c:pt>
                <c:pt idx="17">
                  <c:v>93</c:v>
                </c:pt>
                <c:pt idx="18">
                  <c:v>95</c:v>
                </c:pt>
                <c:pt idx="1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F2-4772-8286-39DBC3BBB323}"/>
            </c:ext>
          </c:extLst>
        </c:ser>
        <c:ser>
          <c:idx val="8"/>
          <c:order val="8"/>
          <c:tx>
            <c:v>SEP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'20yrs'!$J$4:$J$23</c:f>
              <c:numCache>
                <c:formatCode>0</c:formatCode>
                <c:ptCount val="20"/>
                <c:pt idx="0">
                  <c:v>84</c:v>
                </c:pt>
                <c:pt idx="1">
                  <c:v>86</c:v>
                </c:pt>
                <c:pt idx="2">
                  <c:v>87</c:v>
                </c:pt>
                <c:pt idx="3">
                  <c:v>88</c:v>
                </c:pt>
                <c:pt idx="4">
                  <c:v>88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F2-4772-8286-39DBC3BBB323}"/>
            </c:ext>
          </c:extLst>
        </c:ser>
        <c:ser>
          <c:idx val="9"/>
          <c:order val="9"/>
          <c:tx>
            <c:v>OCT</c:v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val>
            <c:numRef>
              <c:f>'20yrs'!$K$4:$K$23</c:f>
              <c:numCache>
                <c:formatCode>0</c:formatCode>
                <c:ptCount val="20"/>
                <c:pt idx="0">
                  <c:v>79</c:v>
                </c:pt>
                <c:pt idx="1">
                  <c:v>83</c:v>
                </c:pt>
                <c:pt idx="2">
                  <c:v>83</c:v>
                </c:pt>
                <c:pt idx="3">
                  <c:v>83</c:v>
                </c:pt>
                <c:pt idx="4">
                  <c:v>83</c:v>
                </c:pt>
                <c:pt idx="5">
                  <c:v>83</c:v>
                </c:pt>
                <c:pt idx="6">
                  <c:v>84</c:v>
                </c:pt>
                <c:pt idx="7">
                  <c:v>84</c:v>
                </c:pt>
                <c:pt idx="8">
                  <c:v>85</c:v>
                </c:pt>
                <c:pt idx="9">
                  <c:v>86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89</c:v>
                </c:pt>
                <c:pt idx="14">
                  <c:v>89</c:v>
                </c:pt>
                <c:pt idx="15">
                  <c:v>89</c:v>
                </c:pt>
                <c:pt idx="16">
                  <c:v>89</c:v>
                </c:pt>
                <c:pt idx="17">
                  <c:v>90</c:v>
                </c:pt>
                <c:pt idx="18">
                  <c:v>90</c:v>
                </c:pt>
                <c:pt idx="19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F2-4772-8286-39DBC3BBB323}"/>
            </c:ext>
          </c:extLst>
        </c:ser>
        <c:ser>
          <c:idx val="10"/>
          <c:order val="10"/>
          <c:tx>
            <c:v>NOV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'20yrs'!$L$4:$L$23</c:f>
              <c:numCache>
                <c:formatCode>0</c:formatCode>
                <c:ptCount val="20"/>
                <c:pt idx="0">
                  <c:v>40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73</c:v>
                </c:pt>
                <c:pt idx="5">
                  <c:v>74</c:v>
                </c:pt>
                <c:pt idx="6">
                  <c:v>74</c:v>
                </c:pt>
                <c:pt idx="7">
                  <c:v>76</c:v>
                </c:pt>
                <c:pt idx="8">
                  <c:v>77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79</c:v>
                </c:pt>
                <c:pt idx="14">
                  <c:v>79</c:v>
                </c:pt>
                <c:pt idx="15">
                  <c:v>81</c:v>
                </c:pt>
                <c:pt idx="16">
                  <c:v>82</c:v>
                </c:pt>
                <c:pt idx="17">
                  <c:v>82</c:v>
                </c:pt>
                <c:pt idx="18">
                  <c:v>83</c:v>
                </c:pt>
                <c:pt idx="1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F2-4772-8286-39DBC3BBB323}"/>
            </c:ext>
          </c:extLst>
        </c:ser>
        <c:ser>
          <c:idx val="11"/>
          <c:order val="11"/>
          <c:tx>
            <c:v>DEC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'20yrs'!$M$4:$M$23</c:f>
              <c:numCache>
                <c:formatCode>0</c:formatCode>
                <c:ptCount val="20"/>
                <c:pt idx="0">
                  <c:v>27</c:v>
                </c:pt>
                <c:pt idx="1">
                  <c:v>32</c:v>
                </c:pt>
                <c:pt idx="2">
                  <c:v>34</c:v>
                </c:pt>
                <c:pt idx="3">
                  <c:v>35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40</c:v>
                </c:pt>
                <c:pt idx="8">
                  <c:v>41</c:v>
                </c:pt>
                <c:pt idx="9">
                  <c:v>41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54</c:v>
                </c:pt>
                <c:pt idx="16">
                  <c:v>67</c:v>
                </c:pt>
                <c:pt idx="17">
                  <c:v>71</c:v>
                </c:pt>
                <c:pt idx="18">
                  <c:v>75</c:v>
                </c:pt>
                <c:pt idx="19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F2-4772-8286-39DBC3BBB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756808"/>
        <c:axId val="1"/>
      </c:lineChart>
      <c:catAx>
        <c:axId val="943756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#observations</a:t>
                </a:r>
              </a:p>
            </c:rich>
          </c:tx>
          <c:layout>
            <c:manualLayout>
              <c:xMode val="edge"/>
              <c:yMode val="edge"/>
              <c:x val="0.4048587951487963"/>
              <c:y val="0.89438296722976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2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</a:t>
                </a:r>
              </a:p>
            </c:rich>
          </c:tx>
          <c:layout>
            <c:manualLayout>
              <c:xMode val="edge"/>
              <c:yMode val="edge"/>
              <c:x val="2.159246528360742E-2"/>
              <c:y val="0.352809455864996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75680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244027187379236"/>
          <c:y val="0.2452835403513223"/>
          <c:w val="0.11545634334295651"/>
          <c:h val="0.63425388836407004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Morning or Evening Peaking
2001-2010 Monthly Peaks</a:t>
            </a:r>
          </a:p>
        </c:rich>
      </c:tx>
      <c:layout>
        <c:manualLayout>
          <c:xMode val="edge"/>
          <c:yMode val="edge"/>
          <c:x val="0.37678852625496717"/>
          <c:y val="3.5473265449148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766879955666441"/>
          <c:y val="0.17710601831003889"/>
          <c:w val="0.86007366712886424"/>
          <c:h val="0.68466594883271126"/>
        </c:manualLayout>
      </c:layout>
      <c:barChart>
        <c:barDir val="col"/>
        <c:grouping val="stacked"/>
        <c:varyColors val="0"/>
        <c:ser>
          <c:idx val="0"/>
          <c:order val="0"/>
          <c:tx>
            <c:v>Morning (cold) Peak</c:v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-3.05744271726774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73-48C9-B873-7FDC6CD8338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3-48C9-B873-7FDC6CD8338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3-48C9-B873-7FDC6CD8338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3-48C9-B873-7FDC6CD8338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3-48C9-B873-7FDC6CD8338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3-48C9-B873-7FDC6CD8338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3-48C9-B873-7FDC6CD8338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Instant!$B$122:$M$122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Instant!$P$183:$AA$183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73-48C9-B873-7FDC6CD83383}"/>
            </c:ext>
          </c:extLst>
        </c:ser>
        <c:ser>
          <c:idx val="1"/>
          <c:order val="1"/>
          <c:tx>
            <c:v>Evening (hot) Peak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Instant!$B$122:$M$122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Instant!$P$184:$AA$184</c:f>
              <c:numCache>
                <c:formatCode>0%</c:formatCode>
                <c:ptCount val="12"/>
                <c:pt idx="0">
                  <c:v>0.19999999999999996</c:v>
                </c:pt>
                <c:pt idx="1">
                  <c:v>0.19999999999999996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73-48C9-B873-7FDC6CD83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948928624"/>
        <c:axId val="1"/>
      </c:barChart>
      <c:catAx>
        <c:axId val="948928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time</a:t>
                </a:r>
              </a:p>
            </c:rich>
          </c:tx>
          <c:layout>
            <c:manualLayout>
              <c:xMode val="edge"/>
              <c:yMode val="edge"/>
              <c:x val="3.1205240619160833E-3"/>
              <c:y val="0.4557240314138858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928624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370952566897728"/>
          <c:y val="0.92329369301882136"/>
          <c:w val="0.60229487680109273"/>
          <c:h val="5.71828420147608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Temperatures at Time of Monthly Peak (1973-2002)</a:t>
            </a:r>
          </a:p>
        </c:rich>
      </c:tx>
      <c:layout>
        <c:manualLayout>
          <c:xMode val="edge"/>
          <c:yMode val="edge"/>
          <c:x val="0.10661292172983673"/>
          <c:y val="3.1460633562294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60341494208489"/>
          <c:y val="0.20449460640647649"/>
          <c:w val="0.72874589968409942"/>
          <c:h val="0.58202311054151001"/>
        </c:manualLayout>
      </c:layout>
      <c:lineChart>
        <c:grouping val="standard"/>
        <c:varyColors val="0"/>
        <c:ser>
          <c:idx val="0"/>
          <c:order val="0"/>
          <c:tx>
            <c:v>JAN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'20yrs'!$B$4:$B$23</c:f>
              <c:numCache>
                <c:formatCode>0</c:formatCode>
                <c:ptCount val="20"/>
                <c:pt idx="0">
                  <c:v>26</c:v>
                </c:pt>
                <c:pt idx="1">
                  <c:v>27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39</c:v>
                </c:pt>
                <c:pt idx="11">
                  <c:v>41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47</c:v>
                </c:pt>
                <c:pt idx="1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0-44AE-92E0-42C32FB96DE2}"/>
            </c:ext>
          </c:extLst>
        </c:ser>
        <c:ser>
          <c:idx val="1"/>
          <c:order val="1"/>
          <c:tx>
            <c:v>FEB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'20yrs'!$C$4:$C$23</c:f>
              <c:numCache>
                <c:formatCode>0</c:formatCode>
                <c:ptCount val="20"/>
                <c:pt idx="0">
                  <c:v>26</c:v>
                </c:pt>
                <c:pt idx="1">
                  <c:v>29</c:v>
                </c:pt>
                <c:pt idx="2">
                  <c:v>36</c:v>
                </c:pt>
                <c:pt idx="3">
                  <c:v>37</c:v>
                </c:pt>
                <c:pt idx="4">
                  <c:v>37</c:v>
                </c:pt>
                <c:pt idx="5">
                  <c:v>38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42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45</c:v>
                </c:pt>
                <c:pt idx="16">
                  <c:v>47</c:v>
                </c:pt>
                <c:pt idx="17">
                  <c:v>47</c:v>
                </c:pt>
                <c:pt idx="18">
                  <c:v>51</c:v>
                </c:pt>
                <c:pt idx="19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0-44AE-92E0-42C32FB96DE2}"/>
            </c:ext>
          </c:extLst>
        </c:ser>
        <c:ser>
          <c:idx val="2"/>
          <c:order val="2"/>
          <c:tx>
            <c:v>MAR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'20yrs'!$D$4:$D$23</c:f>
              <c:numCache>
                <c:formatCode>0</c:formatCode>
                <c:ptCount val="20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42</c:v>
                </c:pt>
                <c:pt idx="4">
                  <c:v>44</c:v>
                </c:pt>
                <c:pt idx="5">
                  <c:v>44</c:v>
                </c:pt>
                <c:pt idx="6">
                  <c:v>45</c:v>
                </c:pt>
                <c:pt idx="7">
                  <c:v>48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53</c:v>
                </c:pt>
                <c:pt idx="15">
                  <c:v>74</c:v>
                </c:pt>
                <c:pt idx="16">
                  <c:v>77</c:v>
                </c:pt>
                <c:pt idx="17">
                  <c:v>82</c:v>
                </c:pt>
                <c:pt idx="18">
                  <c:v>82</c:v>
                </c:pt>
                <c:pt idx="1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60-44AE-92E0-42C32FB96DE2}"/>
            </c:ext>
          </c:extLst>
        </c:ser>
        <c:ser>
          <c:idx val="3"/>
          <c:order val="3"/>
          <c:tx>
            <c:v>APR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'20yrs'!$E$4:$E$23</c:f>
              <c:numCache>
                <c:formatCode>0</c:formatCode>
                <c:ptCount val="20"/>
                <c:pt idx="0">
                  <c:v>51</c:v>
                </c:pt>
                <c:pt idx="1">
                  <c:v>79</c:v>
                </c:pt>
                <c:pt idx="2">
                  <c:v>80</c:v>
                </c:pt>
                <c:pt idx="3">
                  <c:v>80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82</c:v>
                </c:pt>
                <c:pt idx="8">
                  <c:v>82</c:v>
                </c:pt>
                <c:pt idx="9">
                  <c:v>83</c:v>
                </c:pt>
                <c:pt idx="10">
                  <c:v>83</c:v>
                </c:pt>
                <c:pt idx="11">
                  <c:v>85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87</c:v>
                </c:pt>
                <c:pt idx="17">
                  <c:v>88</c:v>
                </c:pt>
                <c:pt idx="18">
                  <c:v>89</c:v>
                </c:pt>
                <c:pt idx="19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60-44AE-92E0-42C32FB96DE2}"/>
            </c:ext>
          </c:extLst>
        </c:ser>
        <c:ser>
          <c:idx val="4"/>
          <c:order val="4"/>
          <c:tx>
            <c:v>MAY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'20yrs'!$F$4:$F$23</c:f>
              <c:numCache>
                <c:formatCode>0</c:formatCode>
                <c:ptCount val="20"/>
                <c:pt idx="0">
                  <c:v>81</c:v>
                </c:pt>
                <c:pt idx="1">
                  <c:v>85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91</c:v>
                </c:pt>
                <c:pt idx="17">
                  <c:v>93</c:v>
                </c:pt>
                <c:pt idx="18">
                  <c:v>93</c:v>
                </c:pt>
                <c:pt idx="1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60-44AE-92E0-42C32FB96DE2}"/>
            </c:ext>
          </c:extLst>
        </c:ser>
        <c:ser>
          <c:idx val="5"/>
          <c:order val="5"/>
          <c:tx>
            <c:v>JUN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'20yrs'!$G$4:$G$23</c:f>
              <c:numCache>
                <c:formatCode>0</c:formatCode>
                <c:ptCount val="20"/>
                <c:pt idx="0">
                  <c:v>86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89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92</c:v>
                </c:pt>
                <c:pt idx="16">
                  <c:v>93</c:v>
                </c:pt>
                <c:pt idx="17">
                  <c:v>94</c:v>
                </c:pt>
                <c:pt idx="18">
                  <c:v>94</c:v>
                </c:pt>
                <c:pt idx="19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60-44AE-92E0-42C32FB96DE2}"/>
            </c:ext>
          </c:extLst>
        </c:ser>
        <c:ser>
          <c:idx val="6"/>
          <c:order val="6"/>
          <c:tx>
            <c:v>JUL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8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'20yrs'!$H$4:$H$23</c:f>
              <c:numCache>
                <c:formatCode>0</c:formatCode>
                <c:ptCount val="20"/>
                <c:pt idx="0">
                  <c:v>87</c:v>
                </c:pt>
                <c:pt idx="1">
                  <c:v>87</c:v>
                </c:pt>
                <c:pt idx="2">
                  <c:v>89</c:v>
                </c:pt>
                <c:pt idx="3">
                  <c:v>90</c:v>
                </c:pt>
                <c:pt idx="4">
                  <c:v>90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92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  <c:pt idx="12">
                  <c:v>92</c:v>
                </c:pt>
                <c:pt idx="13">
                  <c:v>93</c:v>
                </c:pt>
                <c:pt idx="14">
                  <c:v>93</c:v>
                </c:pt>
                <c:pt idx="15">
                  <c:v>93</c:v>
                </c:pt>
                <c:pt idx="16">
                  <c:v>93</c:v>
                </c:pt>
                <c:pt idx="17">
                  <c:v>94</c:v>
                </c:pt>
                <c:pt idx="18">
                  <c:v>94</c:v>
                </c:pt>
                <c:pt idx="1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60-44AE-92E0-42C32FB96DE2}"/>
            </c:ext>
          </c:extLst>
        </c:ser>
        <c:ser>
          <c:idx val="7"/>
          <c:order val="7"/>
          <c:tx>
            <c:v>AUG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'20yrs'!$I$4:$I$23</c:f>
              <c:numCache>
                <c:formatCode>0</c:formatCode>
                <c:ptCount val="20"/>
                <c:pt idx="0">
                  <c:v>87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92</c:v>
                </c:pt>
                <c:pt idx="12">
                  <c:v>92</c:v>
                </c:pt>
                <c:pt idx="13">
                  <c:v>92</c:v>
                </c:pt>
                <c:pt idx="14">
                  <c:v>92</c:v>
                </c:pt>
                <c:pt idx="15">
                  <c:v>92</c:v>
                </c:pt>
                <c:pt idx="16">
                  <c:v>92</c:v>
                </c:pt>
                <c:pt idx="17">
                  <c:v>93</c:v>
                </c:pt>
                <c:pt idx="18">
                  <c:v>95</c:v>
                </c:pt>
                <c:pt idx="1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60-44AE-92E0-42C32FB96DE2}"/>
            </c:ext>
          </c:extLst>
        </c:ser>
        <c:ser>
          <c:idx val="8"/>
          <c:order val="8"/>
          <c:tx>
            <c:v>SEP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'20yrs'!$J$4:$J$23</c:f>
              <c:numCache>
                <c:formatCode>0</c:formatCode>
                <c:ptCount val="20"/>
                <c:pt idx="0">
                  <c:v>84</c:v>
                </c:pt>
                <c:pt idx="1">
                  <c:v>86</c:v>
                </c:pt>
                <c:pt idx="2">
                  <c:v>87</c:v>
                </c:pt>
                <c:pt idx="3">
                  <c:v>88</c:v>
                </c:pt>
                <c:pt idx="4">
                  <c:v>88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60-44AE-92E0-42C32FB96DE2}"/>
            </c:ext>
          </c:extLst>
        </c:ser>
        <c:ser>
          <c:idx val="9"/>
          <c:order val="9"/>
          <c:tx>
            <c:v>OCT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'20yrs'!$K$4:$K$23</c:f>
              <c:numCache>
                <c:formatCode>0</c:formatCode>
                <c:ptCount val="20"/>
                <c:pt idx="0">
                  <c:v>79</c:v>
                </c:pt>
                <c:pt idx="1">
                  <c:v>83</c:v>
                </c:pt>
                <c:pt idx="2">
                  <c:v>83</c:v>
                </c:pt>
                <c:pt idx="3">
                  <c:v>83</c:v>
                </c:pt>
                <c:pt idx="4">
                  <c:v>83</c:v>
                </c:pt>
                <c:pt idx="5">
                  <c:v>83</c:v>
                </c:pt>
                <c:pt idx="6">
                  <c:v>84</c:v>
                </c:pt>
                <c:pt idx="7">
                  <c:v>84</c:v>
                </c:pt>
                <c:pt idx="8">
                  <c:v>85</c:v>
                </c:pt>
                <c:pt idx="9">
                  <c:v>86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89</c:v>
                </c:pt>
                <c:pt idx="14">
                  <c:v>89</c:v>
                </c:pt>
                <c:pt idx="15">
                  <c:v>89</c:v>
                </c:pt>
                <c:pt idx="16">
                  <c:v>89</c:v>
                </c:pt>
                <c:pt idx="17">
                  <c:v>90</c:v>
                </c:pt>
                <c:pt idx="18">
                  <c:v>90</c:v>
                </c:pt>
                <c:pt idx="19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60-44AE-92E0-42C32FB96DE2}"/>
            </c:ext>
          </c:extLst>
        </c:ser>
        <c:ser>
          <c:idx val="10"/>
          <c:order val="10"/>
          <c:tx>
            <c:v>NOV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'20yrs'!$L$4:$L$23</c:f>
              <c:numCache>
                <c:formatCode>0</c:formatCode>
                <c:ptCount val="20"/>
                <c:pt idx="0">
                  <c:v>40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73</c:v>
                </c:pt>
                <c:pt idx="5">
                  <c:v>74</c:v>
                </c:pt>
                <c:pt idx="6">
                  <c:v>74</c:v>
                </c:pt>
                <c:pt idx="7">
                  <c:v>76</c:v>
                </c:pt>
                <c:pt idx="8">
                  <c:v>77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79</c:v>
                </c:pt>
                <c:pt idx="14">
                  <c:v>79</c:v>
                </c:pt>
                <c:pt idx="15">
                  <c:v>81</c:v>
                </c:pt>
                <c:pt idx="16">
                  <c:v>82</c:v>
                </c:pt>
                <c:pt idx="17">
                  <c:v>82</c:v>
                </c:pt>
                <c:pt idx="18">
                  <c:v>83</c:v>
                </c:pt>
                <c:pt idx="1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60-44AE-92E0-42C32FB96DE2}"/>
            </c:ext>
          </c:extLst>
        </c:ser>
        <c:ser>
          <c:idx val="11"/>
          <c:order val="11"/>
          <c:tx>
            <c:v>DEC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'20yrs'!$M$4:$M$23</c:f>
              <c:numCache>
                <c:formatCode>0</c:formatCode>
                <c:ptCount val="20"/>
                <c:pt idx="0">
                  <c:v>27</c:v>
                </c:pt>
                <c:pt idx="1">
                  <c:v>32</c:v>
                </c:pt>
                <c:pt idx="2">
                  <c:v>34</c:v>
                </c:pt>
                <c:pt idx="3">
                  <c:v>35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40</c:v>
                </c:pt>
                <c:pt idx="8">
                  <c:v>41</c:v>
                </c:pt>
                <c:pt idx="9">
                  <c:v>41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54</c:v>
                </c:pt>
                <c:pt idx="16">
                  <c:v>67</c:v>
                </c:pt>
                <c:pt idx="17">
                  <c:v>71</c:v>
                </c:pt>
                <c:pt idx="18">
                  <c:v>75</c:v>
                </c:pt>
                <c:pt idx="19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E60-44AE-92E0-42C32FB96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561824"/>
        <c:axId val="1"/>
      </c:lineChart>
      <c:catAx>
        <c:axId val="94956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#observations</a:t>
                </a:r>
              </a:p>
            </c:rich>
          </c:tx>
          <c:layout>
            <c:manualLayout>
              <c:xMode val="edge"/>
              <c:yMode val="edge"/>
              <c:x val="0.4048587951487963"/>
              <c:y val="0.894382979881466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</a:t>
                </a:r>
              </a:p>
            </c:rich>
          </c:tx>
          <c:layout>
            <c:manualLayout>
              <c:xMode val="edge"/>
              <c:yMode val="edge"/>
              <c:x val="2.159246528360742E-2"/>
              <c:y val="0.352809354646331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5618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244027187379236"/>
          <c:y val="0.2623194902897249"/>
          <c:w val="0.11545634334295651"/>
          <c:h val="0.63333490197021969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Temperatures at Time of Monthly Peak</a:t>
            </a:r>
          </a:p>
        </c:rich>
      </c:tx>
      <c:layout>
        <c:manualLayout>
          <c:xMode val="edge"/>
          <c:yMode val="edge"/>
          <c:x val="0.19838082810401106"/>
          <c:y val="3.1460633562294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60341494208489"/>
          <c:y val="0.20449460640647649"/>
          <c:w val="0.62213307361920334"/>
          <c:h val="0.58202311054151001"/>
        </c:manualLayout>
      </c:layout>
      <c:lineChart>
        <c:grouping val="standard"/>
        <c:varyColors val="0"/>
        <c:ser>
          <c:idx val="0"/>
          <c:order val="0"/>
          <c:tx>
            <c:v>JAN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'30yrs'!$B$4:$B$33</c:f>
              <c:numCache>
                <c:formatCode>0</c:formatCode>
                <c:ptCount val="30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27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37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43</c:v>
                </c:pt>
                <c:pt idx="23">
                  <c:v>43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47</c:v>
                </c:pt>
                <c:pt idx="28">
                  <c:v>50</c:v>
                </c:pt>
                <c:pt idx="29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3-407A-BB47-EA0140B4C6A8}"/>
            </c:ext>
          </c:extLst>
        </c:ser>
        <c:ser>
          <c:idx val="1"/>
          <c:order val="1"/>
          <c:tx>
            <c:v>MAR (COLD)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'20yrs'!$W$9:$W$23</c:f>
              <c:numCache>
                <c:formatCode>General</c:formatCode>
                <c:ptCount val="15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42</c:v>
                </c:pt>
                <c:pt idx="4">
                  <c:v>44</c:v>
                </c:pt>
                <c:pt idx="5">
                  <c:v>44</c:v>
                </c:pt>
                <c:pt idx="6">
                  <c:v>45</c:v>
                </c:pt>
                <c:pt idx="7">
                  <c:v>48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3-407A-BB47-EA0140B4C6A8}"/>
            </c:ext>
          </c:extLst>
        </c:ser>
        <c:ser>
          <c:idx val="2"/>
          <c:order val="2"/>
          <c:tx>
            <c:v>MAR p.m. (cold)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'30yrs'!$U$20:$U$24</c:f>
              <c:numCache>
                <c:formatCode>General</c:formatCode>
                <c:ptCount val="5"/>
                <c:pt idx="0">
                  <c:v>39</c:v>
                </c:pt>
                <c:pt idx="1">
                  <c:v>48</c:v>
                </c:pt>
                <c:pt idx="2">
                  <c:v>51</c:v>
                </c:pt>
                <c:pt idx="3">
                  <c:v>53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83-407A-BB47-EA0140B4C6A8}"/>
            </c:ext>
          </c:extLst>
        </c:ser>
        <c:ser>
          <c:idx val="3"/>
          <c:order val="3"/>
          <c:tx>
            <c:v>MAR (hot)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'20yrs'!$U$19:$U$23</c:f>
              <c:numCache>
                <c:formatCode>General</c:formatCode>
                <c:ptCount val="5"/>
                <c:pt idx="0">
                  <c:v>74</c:v>
                </c:pt>
                <c:pt idx="1">
                  <c:v>77</c:v>
                </c:pt>
                <c:pt idx="2">
                  <c:v>82</c:v>
                </c:pt>
                <c:pt idx="3">
                  <c:v>82</c:v>
                </c:pt>
                <c:pt idx="4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83-407A-BB47-EA0140B4C6A8}"/>
            </c:ext>
          </c:extLst>
        </c:ser>
        <c:ser>
          <c:idx val="4"/>
          <c:order val="4"/>
          <c:tx>
            <c:v>NOV (cold)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'20yrs'!$R$20:$R$23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83-407A-BB47-EA0140B4C6A8}"/>
            </c:ext>
          </c:extLst>
        </c:ser>
        <c:ser>
          <c:idx val="5"/>
          <c:order val="5"/>
          <c:tx>
            <c:v>NOV p.m. (cold)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'30yrs'!$P$11:$P$12</c:f>
              <c:numCache>
                <c:formatCode>General</c:formatCode>
                <c:ptCount val="2"/>
                <c:pt idx="0">
                  <c:v>40</c:v>
                </c:pt>
                <c:pt idx="1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83-407A-BB47-EA0140B4C6A8}"/>
            </c:ext>
          </c:extLst>
        </c:ser>
        <c:ser>
          <c:idx val="6"/>
          <c:order val="6"/>
          <c:tx>
            <c:v>NOV (hot)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'20yrs'!$P$9:$P$23</c:f>
              <c:numCache>
                <c:formatCode>General</c:formatCode>
                <c:ptCount val="15"/>
                <c:pt idx="0">
                  <c:v>73</c:v>
                </c:pt>
                <c:pt idx="1">
                  <c:v>74</c:v>
                </c:pt>
                <c:pt idx="2">
                  <c:v>74</c:v>
                </c:pt>
                <c:pt idx="3">
                  <c:v>76</c:v>
                </c:pt>
                <c:pt idx="4">
                  <c:v>77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79</c:v>
                </c:pt>
                <c:pt idx="10">
                  <c:v>79</c:v>
                </c:pt>
                <c:pt idx="11">
                  <c:v>82</c:v>
                </c:pt>
                <c:pt idx="12">
                  <c:v>82</c:v>
                </c:pt>
                <c:pt idx="13">
                  <c:v>83</c:v>
                </c:pt>
                <c:pt idx="14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83-407A-BB47-EA0140B4C6A8}"/>
            </c:ext>
          </c:extLst>
        </c:ser>
        <c:ser>
          <c:idx val="7"/>
          <c:order val="7"/>
          <c:tx>
            <c:v>DEC (cold)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'20yrs'!$AB$8:$AB$23</c:f>
              <c:numCache>
                <c:formatCode>General</c:formatCode>
                <c:ptCount val="16"/>
                <c:pt idx="0">
                  <c:v>27</c:v>
                </c:pt>
                <c:pt idx="1">
                  <c:v>32</c:v>
                </c:pt>
                <c:pt idx="2">
                  <c:v>34</c:v>
                </c:pt>
                <c:pt idx="3">
                  <c:v>35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40</c:v>
                </c:pt>
                <c:pt idx="8">
                  <c:v>41</c:v>
                </c:pt>
                <c:pt idx="9">
                  <c:v>41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83-407A-BB47-EA0140B4C6A8}"/>
            </c:ext>
          </c:extLst>
        </c:ser>
        <c:ser>
          <c:idx val="8"/>
          <c:order val="8"/>
          <c:tx>
            <c:v>DEC (hot)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'20yrs'!$AA$20:$AA$23</c:f>
              <c:numCache>
                <c:formatCode>General</c:formatCode>
                <c:ptCount val="4"/>
                <c:pt idx="0">
                  <c:v>67</c:v>
                </c:pt>
                <c:pt idx="1">
                  <c:v>71</c:v>
                </c:pt>
                <c:pt idx="2">
                  <c:v>75</c:v>
                </c:pt>
                <c:pt idx="3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83-407A-BB47-EA0140B4C6A8}"/>
            </c:ext>
          </c:extLst>
        </c:ser>
        <c:ser>
          <c:idx val="9"/>
          <c:order val="9"/>
          <c:tx>
            <c:v>OCT</c:v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val>
            <c:numRef>
              <c:f>'30yrs'!$K$4:$K$33</c:f>
              <c:numCache>
                <c:formatCode>0</c:formatCode>
                <c:ptCount val="30"/>
                <c:pt idx="0">
                  <c:v>76</c:v>
                </c:pt>
                <c:pt idx="1">
                  <c:v>77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84</c:v>
                </c:pt>
                <c:pt idx="11">
                  <c:v>84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87</c:v>
                </c:pt>
                <c:pt idx="18">
                  <c:v>87</c:v>
                </c:pt>
                <c:pt idx="19">
                  <c:v>87</c:v>
                </c:pt>
                <c:pt idx="20">
                  <c:v>87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89</c:v>
                </c:pt>
                <c:pt idx="25">
                  <c:v>89</c:v>
                </c:pt>
                <c:pt idx="26">
                  <c:v>89</c:v>
                </c:pt>
                <c:pt idx="27">
                  <c:v>90</c:v>
                </c:pt>
                <c:pt idx="28">
                  <c:v>90</c:v>
                </c:pt>
                <c:pt idx="29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B83-407A-BB47-EA0140B4C6A8}"/>
            </c:ext>
          </c:extLst>
        </c:ser>
        <c:ser>
          <c:idx val="10"/>
          <c:order val="10"/>
          <c:tx>
            <c:v>NOV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'30yrs'!$L$4:$L$33</c:f>
              <c:numCache>
                <c:formatCode>0</c:formatCode>
                <c:ptCount val="30"/>
                <c:pt idx="0">
                  <c:v>40</c:v>
                </c:pt>
                <c:pt idx="1">
                  <c:v>40</c:v>
                </c:pt>
                <c:pt idx="2">
                  <c:v>41</c:v>
                </c:pt>
                <c:pt idx="3">
                  <c:v>41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74</c:v>
                </c:pt>
                <c:pt idx="12">
                  <c:v>74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78</c:v>
                </c:pt>
                <c:pt idx="19">
                  <c:v>78</c:v>
                </c:pt>
                <c:pt idx="20">
                  <c:v>78</c:v>
                </c:pt>
                <c:pt idx="21">
                  <c:v>78</c:v>
                </c:pt>
                <c:pt idx="22">
                  <c:v>78</c:v>
                </c:pt>
                <c:pt idx="23">
                  <c:v>79</c:v>
                </c:pt>
                <c:pt idx="24">
                  <c:v>79</c:v>
                </c:pt>
                <c:pt idx="25">
                  <c:v>81</c:v>
                </c:pt>
                <c:pt idx="26">
                  <c:v>82</c:v>
                </c:pt>
                <c:pt idx="27">
                  <c:v>82</c:v>
                </c:pt>
                <c:pt idx="28">
                  <c:v>83</c:v>
                </c:pt>
                <c:pt idx="2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B83-407A-BB47-EA0140B4C6A8}"/>
            </c:ext>
          </c:extLst>
        </c:ser>
        <c:ser>
          <c:idx val="11"/>
          <c:order val="11"/>
          <c:tx>
            <c:v>DEC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'30yrs'!$M$4:$M$33</c:f>
              <c:numCache>
                <c:formatCode>0</c:formatCode>
                <c:ptCount val="30"/>
                <c:pt idx="0">
                  <c:v>27</c:v>
                </c:pt>
                <c:pt idx="1">
                  <c:v>32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42</c:v>
                </c:pt>
                <c:pt idx="15">
                  <c:v>42</c:v>
                </c:pt>
                <c:pt idx="16">
                  <c:v>43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52</c:v>
                </c:pt>
                <c:pt idx="25">
                  <c:v>54</c:v>
                </c:pt>
                <c:pt idx="26">
                  <c:v>67</c:v>
                </c:pt>
                <c:pt idx="27">
                  <c:v>71</c:v>
                </c:pt>
                <c:pt idx="28">
                  <c:v>75</c:v>
                </c:pt>
                <c:pt idx="29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B83-407A-BB47-EA0140B4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574288"/>
        <c:axId val="1"/>
      </c:lineChart>
      <c:catAx>
        <c:axId val="949574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#observations</a:t>
                </a:r>
              </a:p>
            </c:rich>
          </c:tx>
          <c:layout>
            <c:manualLayout>
              <c:xMode val="edge"/>
              <c:yMode val="edge"/>
              <c:x val="0.35087763193977772"/>
              <c:y val="0.894382979881466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</a:t>
                </a:r>
              </a:p>
            </c:rich>
          </c:tx>
          <c:layout>
            <c:manualLayout>
              <c:xMode val="edge"/>
              <c:yMode val="edge"/>
              <c:x val="2.159246528360742E-2"/>
              <c:y val="0.352809354646331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5742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4327248755427"/>
          <c:y val="0.24347886391532475"/>
          <c:w val="0.22346389034120615"/>
          <c:h val="0.63333490197021969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Load Factors
(Based on OTL)</a:t>
            </a:r>
          </a:p>
        </c:rich>
      </c:tx>
      <c:layout>
        <c:manualLayout>
          <c:xMode val="edge"/>
          <c:yMode val="edge"/>
          <c:x val="0.37431201788228086"/>
          <c:y val="2.91437841219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321100917431193E-2"/>
          <c:y val="0.16575621470182772"/>
          <c:w val="0.92110091743119271"/>
          <c:h val="0.65027438075332411"/>
        </c:manualLayout>
      </c:layout>
      <c:lineChart>
        <c:grouping val="standard"/>
        <c:varyColors val="0"/>
        <c:ser>
          <c:idx val="0"/>
          <c:order val="0"/>
          <c:tx>
            <c:v>Period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LoadFactors!$B$73:$M$73</c:f>
              <c:numCache>
                <c:formatCode>0.0%</c:formatCode>
                <c:ptCount val="12"/>
                <c:pt idx="0">
                  <c:v>0.60774050944763891</c:v>
                </c:pt>
                <c:pt idx="1">
                  <c:v>0.62847332866489714</c:v>
                </c:pt>
                <c:pt idx="2">
                  <c:v>0.72388548686896625</c:v>
                </c:pt>
                <c:pt idx="3">
                  <c:v>0.68093092146867606</c:v>
                </c:pt>
                <c:pt idx="4">
                  <c:v>0.68461574729052976</c:v>
                </c:pt>
                <c:pt idx="5">
                  <c:v>0.71292811402726786</c:v>
                </c:pt>
                <c:pt idx="6">
                  <c:v>0.71713765299409571</c:v>
                </c:pt>
                <c:pt idx="7">
                  <c:v>0.72299897285631753</c:v>
                </c:pt>
                <c:pt idx="8">
                  <c:v>0.71038853655359568</c:v>
                </c:pt>
                <c:pt idx="9">
                  <c:v>0.67717336975835607</c:v>
                </c:pt>
                <c:pt idx="10">
                  <c:v>0.67513594212564065</c:v>
                </c:pt>
                <c:pt idx="11">
                  <c:v>0.62496882191904479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D05-B665-9FEAF9F15785}"/>
            </c:ext>
          </c:extLst>
        </c:ser>
        <c:ser>
          <c:idx val="1"/>
          <c:order val="1"/>
          <c:tx>
            <c:v>80s</c:v>
          </c:tx>
          <c:spPr>
            <a:ln w="3175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LoadFactors!$B$74:$M$74</c:f>
              <c:numCache>
                <c:formatCode>0.0%</c:formatCode>
                <c:ptCount val="12"/>
                <c:pt idx="0">
                  <c:v>0.59363641265959977</c:v>
                </c:pt>
                <c:pt idx="1">
                  <c:v>0.58740917471272613</c:v>
                </c:pt>
                <c:pt idx="2">
                  <c:v>0</c:v>
                </c:pt>
                <c:pt idx="3">
                  <c:v>0.69652113025556928</c:v>
                </c:pt>
                <c:pt idx="4">
                  <c:v>0.67334129005179111</c:v>
                </c:pt>
                <c:pt idx="5">
                  <c:v>0.7116933938975083</c:v>
                </c:pt>
                <c:pt idx="6">
                  <c:v>0.70326867582610153</c:v>
                </c:pt>
                <c:pt idx="7">
                  <c:v>0.71745480002499684</c:v>
                </c:pt>
                <c:pt idx="8">
                  <c:v>0.70530207558024327</c:v>
                </c:pt>
                <c:pt idx="9">
                  <c:v>0.67606729848248603</c:v>
                </c:pt>
                <c:pt idx="10">
                  <c:v>0.67607070414072401</c:v>
                </c:pt>
                <c:pt idx="11">
                  <c:v>0.58064410064987371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D05-B665-9FEAF9F15785}"/>
            </c:ext>
          </c:extLst>
        </c:ser>
        <c:ser>
          <c:idx val="2"/>
          <c:order val="2"/>
          <c:tx>
            <c:v>90s</c:v>
          </c:tx>
          <c:spPr>
            <a:ln w="3175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LoadFactors!$B$75:$M$75</c:f>
              <c:numCache>
                <c:formatCode>0.0%</c:formatCode>
                <c:ptCount val="12"/>
                <c:pt idx="0">
                  <c:v>0.58486456297276179</c:v>
                </c:pt>
                <c:pt idx="1">
                  <c:v>0.60892443571697297</c:v>
                </c:pt>
                <c:pt idx="2">
                  <c:v>0.67781053551370207</c:v>
                </c:pt>
                <c:pt idx="3">
                  <c:v>0.65607324759823082</c:v>
                </c:pt>
                <c:pt idx="4">
                  <c:v>0.67201488363162598</c:v>
                </c:pt>
                <c:pt idx="5">
                  <c:v>0.7043298569626455</c:v>
                </c:pt>
                <c:pt idx="6">
                  <c:v>0.69349510131065573</c:v>
                </c:pt>
                <c:pt idx="7">
                  <c:v>0.70324511220444597</c:v>
                </c:pt>
                <c:pt idx="8">
                  <c:v>0.69796828474963979</c:v>
                </c:pt>
                <c:pt idx="9">
                  <c:v>0.6623218171527413</c:v>
                </c:pt>
                <c:pt idx="10">
                  <c:v>0.67252398178180495</c:v>
                </c:pt>
                <c:pt idx="11">
                  <c:v>0.63621227817874693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F1-4D05-B665-9FEAF9F15785}"/>
            </c:ext>
          </c:extLst>
        </c:ser>
        <c:ser>
          <c:idx val="3"/>
          <c:order val="3"/>
          <c:tx>
            <c:v>2001 Forecast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LoadFactors!$B$76:$M$76</c:f>
              <c:numCache>
                <c:formatCode>0.0%</c:formatCode>
                <c:ptCount val="12"/>
                <c:pt idx="0">
                  <c:v>0.52</c:v>
                </c:pt>
                <c:pt idx="1">
                  <c:v>0.52</c:v>
                </c:pt>
                <c:pt idx="2">
                  <c:v>0.59</c:v>
                </c:pt>
                <c:pt idx="3">
                  <c:v>0.66</c:v>
                </c:pt>
                <c:pt idx="4">
                  <c:v>0.63</c:v>
                </c:pt>
                <c:pt idx="5">
                  <c:v>0.68</c:v>
                </c:pt>
                <c:pt idx="6">
                  <c:v>0.69</c:v>
                </c:pt>
                <c:pt idx="7">
                  <c:v>0.68</c:v>
                </c:pt>
                <c:pt idx="8">
                  <c:v>0.75</c:v>
                </c:pt>
                <c:pt idx="9">
                  <c:v>0.7</c:v>
                </c:pt>
                <c:pt idx="10">
                  <c:v>0.65</c:v>
                </c:pt>
                <c:pt idx="11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F1-4D05-B665-9FEAF9F15785}"/>
            </c:ext>
          </c:extLst>
        </c:ser>
        <c:ser>
          <c:idx val="4"/>
          <c:order val="4"/>
          <c:tx>
            <c:v>2000 Forecast</c:v>
          </c:tx>
          <c:spPr>
            <a:ln w="3175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LoadFactors!$B$77:$M$77</c:f>
              <c:numCache>
                <c:formatCode>0.0%</c:formatCode>
                <c:ptCount val="12"/>
                <c:pt idx="0">
                  <c:v>0.5</c:v>
                </c:pt>
                <c:pt idx="1">
                  <c:v>0.49</c:v>
                </c:pt>
                <c:pt idx="2">
                  <c:v>0.62</c:v>
                </c:pt>
                <c:pt idx="3">
                  <c:v>0.66</c:v>
                </c:pt>
                <c:pt idx="4">
                  <c:v>0.66</c:v>
                </c:pt>
                <c:pt idx="5">
                  <c:v>0.68</c:v>
                </c:pt>
                <c:pt idx="6">
                  <c:v>0.7</c:v>
                </c:pt>
                <c:pt idx="7">
                  <c:v>0.7</c:v>
                </c:pt>
                <c:pt idx="8">
                  <c:v>0.68</c:v>
                </c:pt>
                <c:pt idx="9">
                  <c:v>0.65</c:v>
                </c:pt>
                <c:pt idx="10">
                  <c:v>0.6</c:v>
                </c:pt>
                <c:pt idx="11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F1-4D05-B665-9FEAF9F15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81648"/>
        <c:axId val="1"/>
      </c:lineChart>
      <c:catAx>
        <c:axId val="1132181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21816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911498495595568"/>
          <c:y val="0.86604144373137026"/>
          <c:w val="0.15443076154757107"/>
          <c:h val="0.116333925277348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Firm Load Factors
(Based on OTL)</a:t>
            </a:r>
          </a:p>
        </c:rich>
      </c:tx>
      <c:layout>
        <c:manualLayout>
          <c:xMode val="edge"/>
          <c:yMode val="edge"/>
          <c:x val="0.35714339329403549"/>
          <c:y val="2.929684274902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4511328227179488E-2"/>
          <c:y val="0.162109375"/>
          <c:w val="0.91917377596864713"/>
          <c:h val="0.640625"/>
        </c:manualLayout>
      </c:layout>
      <c:lineChart>
        <c:grouping val="standard"/>
        <c:varyColors val="0"/>
        <c:ser>
          <c:idx val="0"/>
          <c:order val="0"/>
          <c:tx>
            <c:v>Period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LoadFactors!$B$111:$M$111</c:f>
              <c:numCache>
                <c:formatCode>0.0%</c:formatCode>
                <c:ptCount val="12"/>
                <c:pt idx="0">
                  <c:v>0.66726619469645865</c:v>
                </c:pt>
                <c:pt idx="1">
                  <c:v>0.6873403432875318</c:v>
                </c:pt>
                <c:pt idx="2">
                  <c:v>0.78299124022192168</c:v>
                </c:pt>
                <c:pt idx="3">
                  <c:v>0.78046235165383204</c:v>
                </c:pt>
                <c:pt idx="4">
                  <c:v>0.76426025510771689</c:v>
                </c:pt>
                <c:pt idx="5">
                  <c:v>0.79317291788666855</c:v>
                </c:pt>
                <c:pt idx="6">
                  <c:v>0.77589120921200005</c:v>
                </c:pt>
                <c:pt idx="7">
                  <c:v>0.79769499757695284</c:v>
                </c:pt>
                <c:pt idx="8">
                  <c:v>0.7864211298870134</c:v>
                </c:pt>
                <c:pt idx="9">
                  <c:v>0.75677414846447322</c:v>
                </c:pt>
                <c:pt idx="10">
                  <c:v>0.76797193608104397</c:v>
                </c:pt>
                <c:pt idx="11">
                  <c:v>0.70575160465011344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E-477F-82CF-A9CF7DB531D5}"/>
            </c:ext>
          </c:extLst>
        </c:ser>
        <c:ser>
          <c:idx val="1"/>
          <c:order val="1"/>
          <c:tx>
            <c:v>80s</c:v>
          </c:tx>
          <c:spPr>
            <a:ln w="3175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LoadFactors!$B$112:$M$112</c:f>
              <c:numCache>
                <c:formatCode>0.0%</c:formatCode>
                <c:ptCount val="12"/>
                <c:pt idx="0">
                  <c:v>0.6634258813784637</c:v>
                </c:pt>
                <c:pt idx="1">
                  <c:v>0.66144608890213463</c:v>
                </c:pt>
                <c:pt idx="2">
                  <c:v>0</c:v>
                </c:pt>
                <c:pt idx="3">
                  <c:v>0.80666863412616219</c:v>
                </c:pt>
                <c:pt idx="4">
                  <c:v>0.76184202019226721</c:v>
                </c:pt>
                <c:pt idx="5">
                  <c:v>0.7994809316042949</c:v>
                </c:pt>
                <c:pt idx="6">
                  <c:v>0.78433144877556304</c:v>
                </c:pt>
                <c:pt idx="7">
                  <c:v>0.80760047395205581</c:v>
                </c:pt>
                <c:pt idx="8">
                  <c:v>0.78509276190635513</c:v>
                </c:pt>
                <c:pt idx="9">
                  <c:v>0.7652007436659507</c:v>
                </c:pt>
                <c:pt idx="10">
                  <c:v>0.75494747203527035</c:v>
                </c:pt>
                <c:pt idx="11">
                  <c:v>0.65441684713784753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E-477F-82CF-A9CF7DB531D5}"/>
            </c:ext>
          </c:extLst>
        </c:ser>
        <c:ser>
          <c:idx val="2"/>
          <c:order val="2"/>
          <c:tx>
            <c:v>90s</c:v>
          </c:tx>
          <c:spPr>
            <a:ln w="3175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LoadFactors!$B$113:$M$113</c:f>
              <c:numCache>
                <c:formatCode>0.0%</c:formatCode>
                <c:ptCount val="12"/>
                <c:pt idx="0">
                  <c:v>0.6800441418536497</c:v>
                </c:pt>
                <c:pt idx="1">
                  <c:v>0.70953541847501478</c:v>
                </c:pt>
                <c:pt idx="2">
                  <c:v>0.78299124022192168</c:v>
                </c:pt>
                <c:pt idx="3">
                  <c:v>0.76343872259768963</c:v>
                </c:pt>
                <c:pt idx="4">
                  <c:v>0.76561616367981455</c:v>
                </c:pt>
                <c:pt idx="5">
                  <c:v>0.78462295756048817</c:v>
                </c:pt>
                <c:pt idx="6">
                  <c:v>0.77802968897817482</c:v>
                </c:pt>
                <c:pt idx="7">
                  <c:v>0.79368300630078004</c:v>
                </c:pt>
                <c:pt idx="8">
                  <c:v>0.78617864876538424</c:v>
                </c:pt>
                <c:pt idx="9">
                  <c:v>0.75150752646354957</c:v>
                </c:pt>
                <c:pt idx="10">
                  <c:v>0.78533189001592629</c:v>
                </c:pt>
                <c:pt idx="11">
                  <c:v>0.74184730657768883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E-477F-82CF-A9CF7DB531D5}"/>
            </c:ext>
          </c:extLst>
        </c:ser>
        <c:ser>
          <c:idx val="3"/>
          <c:order val="3"/>
          <c:tx>
            <c:v>2001 Forecast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LoadFactors!$B$114:$M$114</c:f>
              <c:numCache>
                <c:formatCode>0.0%</c:formatCode>
                <c:ptCount val="12"/>
                <c:pt idx="0">
                  <c:v>0.59</c:v>
                </c:pt>
                <c:pt idx="1">
                  <c:v>0.67</c:v>
                </c:pt>
                <c:pt idx="2">
                  <c:v>0.67</c:v>
                </c:pt>
                <c:pt idx="3">
                  <c:v>0.74</c:v>
                </c:pt>
                <c:pt idx="4">
                  <c:v>0.69</c:v>
                </c:pt>
                <c:pt idx="5">
                  <c:v>0.74</c:v>
                </c:pt>
                <c:pt idx="6">
                  <c:v>0.75</c:v>
                </c:pt>
                <c:pt idx="7">
                  <c:v>0.75</c:v>
                </c:pt>
                <c:pt idx="8">
                  <c:v>0.83</c:v>
                </c:pt>
                <c:pt idx="9">
                  <c:v>0.78</c:v>
                </c:pt>
                <c:pt idx="10">
                  <c:v>0.72</c:v>
                </c:pt>
                <c:pt idx="11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2E-477F-82CF-A9CF7DB531D5}"/>
            </c:ext>
          </c:extLst>
        </c:ser>
        <c:ser>
          <c:idx val="4"/>
          <c:order val="4"/>
          <c:tx>
            <c:v>2000 Forecast</c:v>
          </c:tx>
          <c:spPr>
            <a:ln w="3175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LoadFactors!$B$43:$M$43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LoadFactors!$B$115:$M$115</c:f>
              <c:numCache>
                <c:formatCode>0.0%</c:formatCode>
                <c:ptCount val="12"/>
                <c:pt idx="0">
                  <c:v>0.56999999999999995</c:v>
                </c:pt>
                <c:pt idx="1">
                  <c:v>0.63</c:v>
                </c:pt>
                <c:pt idx="2">
                  <c:v>0.71</c:v>
                </c:pt>
                <c:pt idx="3">
                  <c:v>0.73</c:v>
                </c:pt>
                <c:pt idx="4">
                  <c:v>0.73</c:v>
                </c:pt>
                <c:pt idx="5">
                  <c:v>0.75</c:v>
                </c:pt>
                <c:pt idx="6">
                  <c:v>0.77</c:v>
                </c:pt>
                <c:pt idx="7">
                  <c:v>0.77</c:v>
                </c:pt>
                <c:pt idx="8">
                  <c:v>0.75</c:v>
                </c:pt>
                <c:pt idx="9">
                  <c:v>0.71</c:v>
                </c:pt>
                <c:pt idx="10">
                  <c:v>0.69</c:v>
                </c:pt>
                <c:pt idx="11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2E-477F-82CF-A9CF7DB5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927640"/>
        <c:axId val="1"/>
      </c:lineChart>
      <c:catAx>
        <c:axId val="948927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92764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320459188051713"/>
          <c:y val="0.85372057611065577"/>
          <c:w val="0.15823640781264398"/>
          <c:h val="0.124842447614409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Morning or Evening Peaking
2011-2020 Monthly Peaks</a:t>
            </a:r>
          </a:p>
        </c:rich>
      </c:tx>
      <c:layout>
        <c:manualLayout>
          <c:xMode val="edge"/>
          <c:yMode val="edge"/>
          <c:x val="0.37678852625496717"/>
          <c:y val="3.5473265449148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766879955666441"/>
          <c:y val="0.17710601831003889"/>
          <c:w val="0.86007366712886424"/>
          <c:h val="0.68466594883271126"/>
        </c:manualLayout>
      </c:layout>
      <c:barChart>
        <c:barDir val="col"/>
        <c:grouping val="stacked"/>
        <c:varyColors val="0"/>
        <c:ser>
          <c:idx val="0"/>
          <c:order val="0"/>
          <c:tx>
            <c:v>Morning (cold) Peak</c:v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-3.05744271726774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67-4E9D-B55C-B8BA920221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7-4E9D-B55C-B8BA920221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67-4E9D-B55C-B8BA920221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7-4E9D-B55C-B8BA920221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67-4E9D-B55C-B8BA920221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67-4E9D-B55C-B8BA920221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67-4E9D-B55C-B8BA920221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Instant!$B$122:$M$122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Instant!$P$187:$AA$187</c:f>
              <c:numCache>
                <c:formatCode>0%</c:formatCode>
                <c:ptCount val="12"/>
                <c:pt idx="0">
                  <c:v>0.8</c:v>
                </c:pt>
                <c:pt idx="1">
                  <c:v>0.4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67-4E9D-B55C-B8BA920221FA}"/>
            </c:ext>
          </c:extLst>
        </c:ser>
        <c:ser>
          <c:idx val="1"/>
          <c:order val="1"/>
          <c:tx>
            <c:v>Evening (hot) Peak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Instant!$B$122:$M$122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Instant!$P$188:$AA$188</c:f>
              <c:numCache>
                <c:formatCode>0%</c:formatCode>
                <c:ptCount val="12"/>
                <c:pt idx="0">
                  <c:v>0.19999999999999996</c:v>
                </c:pt>
                <c:pt idx="1">
                  <c:v>0.6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67-4E9D-B55C-B8BA92022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948928624"/>
        <c:axId val="1"/>
      </c:barChart>
      <c:catAx>
        <c:axId val="948928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time</a:t>
                </a:r>
              </a:p>
            </c:rich>
          </c:tx>
          <c:layout>
            <c:manualLayout>
              <c:xMode val="edge"/>
              <c:yMode val="edge"/>
              <c:x val="3.1205240619160833E-3"/>
              <c:y val="0.4557240314138858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928624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370952566897728"/>
          <c:y val="0.92329369301882136"/>
          <c:w val="0.60229487680109273"/>
          <c:h val="5.71828420147608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Diff Model Input &amp;'Total Retail'!$248:$248 History Avg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Instant!$B$197:$M$197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Instant!$B$262:$M$262</c:f>
              <c:numCache>
                <c:formatCode>0</c:formatCode>
                <c:ptCount val="12"/>
                <c:pt idx="0">
                  <c:v>6.1000000000000014</c:v>
                </c:pt>
                <c:pt idx="1">
                  <c:v>0.35000000000000142</c:v>
                </c:pt>
                <c:pt idx="2">
                  <c:v>-0.3333333333333357</c:v>
                </c:pt>
                <c:pt idx="3">
                  <c:v>-0.15000000000000568</c:v>
                </c:pt>
                <c:pt idx="4">
                  <c:v>-0.40000000000000568</c:v>
                </c:pt>
                <c:pt idx="5">
                  <c:v>-0.45000000000000284</c:v>
                </c:pt>
                <c:pt idx="6">
                  <c:v>0.29999999999999716</c:v>
                </c:pt>
                <c:pt idx="7">
                  <c:v>-1.0499999999999972</c:v>
                </c:pt>
                <c:pt idx="8">
                  <c:v>-0.34999999999999432</c:v>
                </c:pt>
                <c:pt idx="9">
                  <c:v>-4.9999999999997158E-2</c:v>
                </c:pt>
                <c:pt idx="10">
                  <c:v>-0.42105263157894512</c:v>
                </c:pt>
                <c:pt idx="11">
                  <c:v>3.8999999999999986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8-46A3-BEC2-D3944DDE1D53}"/>
            </c:ext>
          </c:extLst>
        </c:ser>
        <c:ser>
          <c:idx val="1"/>
          <c:order val="1"/>
          <c:tx>
            <c:v>Diff Model Input &amp; 24hr Avg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Instant!$B$197:$M$197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Instant!$B$263:$M$263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0.26315789473684248</c:v>
                </c:pt>
                <c:pt idx="11">
                  <c:v>-9.6000000000000014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8-46A3-BEC2-D3944DDE1D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24227560"/>
        <c:axId val="324227232"/>
      </c:barChart>
      <c:catAx>
        <c:axId val="32422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227232"/>
        <c:crosses val="autoZero"/>
        <c:auto val="1"/>
        <c:lblAlgn val="ctr"/>
        <c:lblOffset val="100"/>
        <c:noMultiLvlLbl val="0"/>
      </c:catAx>
      <c:valAx>
        <c:axId val="32422723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22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Morning or Evening Peaking
1970-2020 Monthly Peaks</a:t>
            </a:r>
          </a:p>
        </c:rich>
      </c:tx>
      <c:layout>
        <c:manualLayout>
          <c:xMode val="edge"/>
          <c:yMode val="edge"/>
          <c:x val="0.37678852625496717"/>
          <c:y val="3.5473265449148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766879955666441"/>
          <c:y val="0.17710601831003889"/>
          <c:w val="0.86007366712886424"/>
          <c:h val="0.68466594883271126"/>
        </c:manualLayout>
      </c:layout>
      <c:barChart>
        <c:barDir val="col"/>
        <c:grouping val="stacked"/>
        <c:varyColors val="0"/>
        <c:ser>
          <c:idx val="0"/>
          <c:order val="0"/>
          <c:tx>
            <c:v>Morning (cold) Peak</c:v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-3.05744271726774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20-4E62-AC84-DB42615182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0-4E62-AC84-DB426151826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0-4E62-AC84-DB426151826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0-4E62-AC84-DB426151826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0-4E62-AC84-DB426151826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0-4E62-AC84-DB426151826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0-4E62-AC84-DB42615182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Retail'!$B$122:$M$122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Retail'!$B$178:$M$178</c:f>
              <c:numCache>
                <c:formatCode>0%</c:formatCode>
                <c:ptCount val="12"/>
                <c:pt idx="0">
                  <c:v>0.92</c:v>
                </c:pt>
                <c:pt idx="1">
                  <c:v>0.8</c:v>
                </c:pt>
                <c:pt idx="2">
                  <c:v>0.38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0.15686274509803921</c:v>
                </c:pt>
                <c:pt idx="11">
                  <c:v>0.5490196078431373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20-4E62-AC84-DB426151826A}"/>
            </c:ext>
          </c:extLst>
        </c:ser>
        <c:ser>
          <c:idx val="1"/>
          <c:order val="1"/>
          <c:tx>
            <c:v>Evening (hot) Peak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Retail'!$B$122:$M$122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Retail'!$B$179:$M$179</c:f>
              <c:numCache>
                <c:formatCode>0%</c:formatCode>
                <c:ptCount val="12"/>
                <c:pt idx="0">
                  <c:v>7.999999999999996E-2</c:v>
                </c:pt>
                <c:pt idx="1">
                  <c:v>0.19999999999999996</c:v>
                </c:pt>
                <c:pt idx="2">
                  <c:v>0.62</c:v>
                </c:pt>
                <c:pt idx="3">
                  <c:v>0.98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0.84313725490196079</c:v>
                </c:pt>
                <c:pt idx="11">
                  <c:v>0.4509803921568627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20-4E62-AC84-DB426151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948928624"/>
        <c:axId val="1"/>
      </c:barChart>
      <c:catAx>
        <c:axId val="948928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time</a:t>
                </a:r>
              </a:p>
            </c:rich>
          </c:tx>
          <c:layout>
            <c:manualLayout>
              <c:xMode val="edge"/>
              <c:yMode val="edge"/>
              <c:x val="3.1205240619160833E-3"/>
              <c:y val="0.4557240314138858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928624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370952566897728"/>
          <c:y val="0.92329369301882136"/>
          <c:w val="0.60229487680109273"/>
          <c:h val="5.71828420147608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Morning or Evening Peaking
2001-2010 Monthly Peaks</a:t>
            </a:r>
          </a:p>
        </c:rich>
      </c:tx>
      <c:layout>
        <c:manualLayout>
          <c:xMode val="edge"/>
          <c:yMode val="edge"/>
          <c:x val="0.37678852625496717"/>
          <c:y val="3.5473265449148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766879955666441"/>
          <c:y val="0.17710601831003889"/>
          <c:w val="0.86007366712886424"/>
          <c:h val="0.68466594883271126"/>
        </c:manualLayout>
      </c:layout>
      <c:barChart>
        <c:barDir val="col"/>
        <c:grouping val="stacked"/>
        <c:varyColors val="0"/>
        <c:ser>
          <c:idx val="0"/>
          <c:order val="0"/>
          <c:tx>
            <c:v>Morning (cold) Peak</c:v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-3.05744271726774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B-47E0-839E-0265E04D47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B-47E0-839E-0265E04D477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EB-47E0-839E-0265E04D477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B-47E0-839E-0265E04D477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EB-47E0-839E-0265E04D477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EB-47E0-839E-0265E04D477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EB-47E0-839E-0265E04D47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Retail'!$B$122:$M$122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Retail'!$P$182:$AA$182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EB-47E0-839E-0265E04D4778}"/>
            </c:ext>
          </c:extLst>
        </c:ser>
        <c:ser>
          <c:idx val="1"/>
          <c:order val="1"/>
          <c:tx>
            <c:v>Evening (hot) Peak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Retail'!$B$122:$M$122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Retail'!$P$183:$AA$183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EB-47E0-839E-0265E04D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948928624"/>
        <c:axId val="1"/>
      </c:barChart>
      <c:catAx>
        <c:axId val="948928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time</a:t>
                </a:r>
              </a:p>
            </c:rich>
          </c:tx>
          <c:layout>
            <c:manualLayout>
              <c:xMode val="edge"/>
              <c:yMode val="edge"/>
              <c:x val="3.1205240619160833E-3"/>
              <c:y val="0.4557240314138858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928624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370952566897728"/>
          <c:y val="0.92329369301882136"/>
          <c:w val="0.60229487680109273"/>
          <c:h val="5.71828420147608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Morning or Evening Peaking
2011-2020 Monthly Peaks</a:t>
            </a:r>
          </a:p>
        </c:rich>
      </c:tx>
      <c:layout>
        <c:manualLayout>
          <c:xMode val="edge"/>
          <c:yMode val="edge"/>
          <c:x val="0.37678852625496717"/>
          <c:y val="3.5473265449148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766879955666441"/>
          <c:y val="0.17710601831003889"/>
          <c:w val="0.86007366712886424"/>
          <c:h val="0.68466594883271126"/>
        </c:manualLayout>
      </c:layout>
      <c:barChart>
        <c:barDir val="col"/>
        <c:grouping val="stacked"/>
        <c:varyColors val="0"/>
        <c:ser>
          <c:idx val="0"/>
          <c:order val="0"/>
          <c:tx>
            <c:v>Morning (cold) Peak</c:v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-3.05744271726774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78-44C5-8169-DE9C65A926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78-44C5-8169-DE9C65A926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78-44C5-8169-DE9C65A9267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78-44C5-8169-DE9C65A9267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78-44C5-8169-DE9C65A9267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78-44C5-8169-DE9C65A9267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78-44C5-8169-DE9C65A926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Retail'!$B$122:$M$122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Retail'!$P$186:$AA$186</c:f>
              <c:numCache>
                <c:formatCode>0%</c:formatCode>
                <c:ptCount val="12"/>
                <c:pt idx="0">
                  <c:v>0.9</c:v>
                </c:pt>
                <c:pt idx="1">
                  <c:v>0.6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78-44C5-8169-DE9C65A92672}"/>
            </c:ext>
          </c:extLst>
        </c:ser>
        <c:ser>
          <c:idx val="1"/>
          <c:order val="1"/>
          <c:tx>
            <c:v>Evening (hot) Peak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Retail'!$B$122:$M$122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Retail'!$P$187:$AA$187</c:f>
              <c:numCache>
                <c:formatCode>0%</c:formatCode>
                <c:ptCount val="12"/>
                <c:pt idx="0">
                  <c:v>9.9999999999999978E-2</c:v>
                </c:pt>
                <c:pt idx="1">
                  <c:v>0.4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78-44C5-8169-DE9C65A9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948928624"/>
        <c:axId val="1"/>
      </c:barChart>
      <c:catAx>
        <c:axId val="948928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time</a:t>
                </a:r>
              </a:p>
            </c:rich>
          </c:tx>
          <c:layout>
            <c:manualLayout>
              <c:xMode val="edge"/>
              <c:yMode val="edge"/>
              <c:x val="3.1205240619160833E-3"/>
              <c:y val="0.4557240314138858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928624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370952566897728"/>
          <c:y val="0.92329369301882136"/>
          <c:w val="0.60229487680109273"/>
          <c:h val="5.71828420147608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Diff Model Input &amp;'Total Retail'!$248:$248 History Avg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 Retail'!$B$196:$M$196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Retail'!$B$260:$M$260</c:f>
              <c:numCache>
                <c:formatCode>0</c:formatCode>
                <c:ptCount val="12"/>
                <c:pt idx="0">
                  <c:v>7.0499999999999972</c:v>
                </c:pt>
                <c:pt idx="1">
                  <c:v>0.75</c:v>
                </c:pt>
                <c:pt idx="2">
                  <c:v>-0.3333333333333357</c:v>
                </c:pt>
                <c:pt idx="3">
                  <c:v>-4.9999999999997158E-2</c:v>
                </c:pt>
                <c:pt idx="4">
                  <c:v>0.40000000000000568</c:v>
                </c:pt>
                <c:pt idx="5">
                  <c:v>-0.29999999999999716</c:v>
                </c:pt>
                <c:pt idx="6">
                  <c:v>0.40000000000000568</c:v>
                </c:pt>
                <c:pt idx="7">
                  <c:v>-1.0499999999999972</c:v>
                </c:pt>
                <c:pt idx="8">
                  <c:v>-0.40000000000000568</c:v>
                </c:pt>
                <c:pt idx="9">
                  <c:v>-0.40000000000000568</c:v>
                </c:pt>
                <c:pt idx="10">
                  <c:v>0.47368421052631504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0-452C-BE2A-AE747CC21551}"/>
            </c:ext>
          </c:extLst>
        </c:ser>
        <c:ser>
          <c:idx val="1"/>
          <c:order val="1"/>
          <c:tx>
            <c:v>Diff Model Input &amp; 24hr Avg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 Retail'!$B$196:$M$196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Retail'!$B$261:$M$261</c:f>
              <c:numCache>
                <c:formatCode>0</c:formatCode>
                <c:ptCount val="12"/>
                <c:pt idx="0">
                  <c:v>5.7208333333333314</c:v>
                </c:pt>
                <c:pt idx="1">
                  <c:v>-0.20000000000000284</c:v>
                </c:pt>
                <c:pt idx="2">
                  <c:v>-0.25</c:v>
                </c:pt>
                <c:pt idx="3">
                  <c:v>-0.46875</c:v>
                </c:pt>
                <c:pt idx="4">
                  <c:v>0.26041666666665719</c:v>
                </c:pt>
                <c:pt idx="5">
                  <c:v>-2.7083333333337123E-2</c:v>
                </c:pt>
                <c:pt idx="6">
                  <c:v>0</c:v>
                </c:pt>
                <c:pt idx="7">
                  <c:v>0</c:v>
                </c:pt>
                <c:pt idx="8">
                  <c:v>-5.6250000000005684E-2</c:v>
                </c:pt>
                <c:pt idx="9">
                  <c:v>0.41458333333333997</c:v>
                </c:pt>
                <c:pt idx="10">
                  <c:v>0.3267543859649038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0-452C-BE2A-AE747CC215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24227560"/>
        <c:axId val="324227232"/>
      </c:barChart>
      <c:catAx>
        <c:axId val="32422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227232"/>
        <c:crosses val="autoZero"/>
        <c:auto val="1"/>
        <c:lblAlgn val="ctr"/>
        <c:lblOffset val="100"/>
        <c:noMultiLvlLbl val="0"/>
      </c:catAx>
      <c:valAx>
        <c:axId val="32422723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22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2019 Retail Peak (MW) vs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Retail'!$A$53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'Total Retail'!$B$53:$M$53</c:f>
              <c:numCache>
                <c:formatCode>0</c:formatCode>
                <c:ptCount val="12"/>
                <c:pt idx="0">
                  <c:v>3091.0792847788834</c:v>
                </c:pt>
                <c:pt idx="1">
                  <c:v>3094.289272364359</c:v>
                </c:pt>
                <c:pt idx="2">
                  <c:v>3128.5432423298507</c:v>
                </c:pt>
                <c:pt idx="3">
                  <c:v>3504.7003791594316</c:v>
                </c:pt>
                <c:pt idx="4">
                  <c:v>4152.7434235575183</c:v>
                </c:pt>
                <c:pt idx="5">
                  <c:v>4298.266042423721</c:v>
                </c:pt>
                <c:pt idx="6">
                  <c:v>4073.1594642884675</c:v>
                </c:pt>
                <c:pt idx="7">
                  <c:v>4111.3159319554825</c:v>
                </c:pt>
                <c:pt idx="8">
                  <c:v>4101.2321333380642</c:v>
                </c:pt>
                <c:pt idx="9">
                  <c:v>3671.9640558161395</c:v>
                </c:pt>
                <c:pt idx="10">
                  <c:v>3309.1858580752782</c:v>
                </c:pt>
                <c:pt idx="11">
                  <c:v>2764.8902606070042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5-4F36-AC94-50394287F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34880"/>
        <c:axId val="904737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'Total Retail'!$A$54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'Total Retail'!$B$54:$M$54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3538.0184087995299</c:v>
                      </c:pt>
                      <c:pt idx="1">
                        <c:v>3012.7755155672548</c:v>
                      </c:pt>
                      <c:pt idx="2">
                        <c:v>3574.1286325658348</c:v>
                      </c:pt>
                      <c:pt idx="3">
                        <c:v>3590.9296067156533</c:v>
                      </c:pt>
                      <c:pt idx="4">
                        <c:v>3902.7085589393323</c:v>
                      </c:pt>
                      <c:pt idx="5">
                        <c:v>4254.1136826465599</c:v>
                      </c:pt>
                      <c:pt idx="6">
                        <c:v>4142.6258612332085</c:v>
                      </c:pt>
                      <c:pt idx="7">
                        <c:v>4239.0126832233136</c:v>
                      </c:pt>
                      <c:pt idx="8">
                        <c:v>4254.7406243046662</c:v>
                      </c:pt>
                      <c:pt idx="9">
                        <c:v>3871.6084211084626</c:v>
                      </c:pt>
                      <c:pt idx="10">
                        <c:v>3273.5241214207017</c:v>
                      </c:pt>
                      <c:pt idx="11" formatCode="General">
                        <c:v>3024.0386962181074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035-4F36-AC94-50394287F67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Retail'!$A$55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Retail'!$B$55:$M$55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2904.8538121877332</c:v>
                      </c:pt>
                      <c:pt idx="1">
                        <c:v>3415.1890153510153</c:v>
                      </c:pt>
                      <c:pt idx="2">
                        <c:v>3466.5357216664092</c:v>
                      </c:pt>
                      <c:pt idx="3">
                        <c:v>3635.6010791250001</c:v>
                      </c:pt>
                      <c:pt idx="4">
                        <c:v>4069.0894343320524</c:v>
                      </c:pt>
                      <c:pt idx="5">
                        <c:v>4057.0154358448362</c:v>
                      </c:pt>
                      <c:pt idx="6">
                        <c:v>4210.585566003957</c:v>
                      </c:pt>
                      <c:pt idx="7">
                        <c:v>4393.4364634362446</c:v>
                      </c:pt>
                      <c:pt idx="8">
                        <c:v>3967.7984173092996</c:v>
                      </c:pt>
                      <c:pt idx="9">
                        <c:v>3961.375726206034</c:v>
                      </c:pt>
                      <c:pt idx="10">
                        <c:v>2924.3120710439798</c:v>
                      </c:pt>
                      <c:pt idx="11">
                        <c:v>2940.7055255787918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035-4F36-AC94-50394287F67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Retail'!$A$56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Retail'!$B$56:$M$56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3735</c:v>
                      </c:pt>
                      <c:pt idx="1">
                        <c:v>3042</c:v>
                      </c:pt>
                      <c:pt idx="2">
                        <c:v>3242</c:v>
                      </c:pt>
                      <c:pt idx="3">
                        <c:v>3571</c:v>
                      </c:pt>
                      <c:pt idx="4">
                        <c:v>4006</c:v>
                      </c:pt>
                      <c:pt idx="5">
                        <c:v>4385</c:v>
                      </c:pt>
                      <c:pt idx="6">
                        <c:v>4355</c:v>
                      </c:pt>
                      <c:pt idx="7">
                        <c:v>4378</c:v>
                      </c:pt>
                      <c:pt idx="8">
                        <c:v>4225</c:v>
                      </c:pt>
                      <c:pt idx="9">
                        <c:v>3624</c:v>
                      </c:pt>
                      <c:pt idx="10">
                        <c:v>3666</c:v>
                      </c:pt>
                      <c:pt idx="11">
                        <c:v>3526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035-4F36-AC94-50394287F67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Retail'!$A$57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Retail'!$B$57:$M$57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3347</c:v>
                      </c:pt>
                      <c:pt idx="1">
                        <c:v>3273</c:v>
                      </c:pt>
                      <c:pt idx="2">
                        <c:v>3585</c:v>
                      </c:pt>
                      <c:pt idx="3">
                        <c:v>3678</c:v>
                      </c:pt>
                      <c:pt idx="4">
                        <c:v>3912</c:v>
                      </c:pt>
                      <c:pt idx="5">
                        <c:v>4318</c:v>
                      </c:pt>
                      <c:pt idx="6">
                        <c:v>4312</c:v>
                      </c:pt>
                      <c:pt idx="7">
                        <c:v>4669</c:v>
                      </c:pt>
                      <c:pt idx="8">
                        <c:v>4194</c:v>
                      </c:pt>
                      <c:pt idx="9">
                        <c:v>3801</c:v>
                      </c:pt>
                      <c:pt idx="10">
                        <c:v>3440</c:v>
                      </c:pt>
                      <c:pt idx="11">
                        <c:v>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035-4F36-AC94-50394287F67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v>2019 Temp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'Total Retail'!$B$243:$M$243</c:f>
              <c:numCache>
                <c:formatCode>0</c:formatCode>
                <c:ptCount val="12"/>
                <c:pt idx="0" formatCode="General">
                  <c:v>46</c:v>
                </c:pt>
                <c:pt idx="1">
                  <c:v>84</c:v>
                </c:pt>
                <c:pt idx="2">
                  <c:v>78</c:v>
                </c:pt>
                <c:pt idx="3">
                  <c:v>88</c:v>
                </c:pt>
                <c:pt idx="4">
                  <c:v>90</c:v>
                </c:pt>
                <c:pt idx="5">
                  <c:v>94</c:v>
                </c:pt>
                <c:pt idx="6">
                  <c:v>89</c:v>
                </c:pt>
                <c:pt idx="7">
                  <c:v>91</c:v>
                </c:pt>
                <c:pt idx="8">
                  <c:v>91</c:v>
                </c:pt>
                <c:pt idx="9">
                  <c:v>88</c:v>
                </c:pt>
                <c:pt idx="10">
                  <c:v>86</c:v>
                </c:pt>
                <c:pt idx="11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5-4F36-AC94-50394287F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505512"/>
        <c:axId val="911508392"/>
      </c:lineChart>
      <c:catAx>
        <c:axId val="90473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7760"/>
        <c:crosses val="autoZero"/>
        <c:auto val="1"/>
        <c:lblAlgn val="ctr"/>
        <c:lblOffset val="100"/>
        <c:noMultiLvlLbl val="0"/>
      </c:catAx>
      <c:valAx>
        <c:axId val="904737760"/>
        <c:scaling>
          <c:orientation val="minMax"/>
          <c:min val="2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34880"/>
        <c:crosses val="autoZero"/>
        <c:crossBetween val="between"/>
      </c:valAx>
      <c:valAx>
        <c:axId val="911508392"/>
        <c:scaling>
          <c:orientation val="minMax"/>
          <c:min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505512"/>
        <c:crosses val="max"/>
        <c:crossBetween val="between"/>
      </c:valAx>
      <c:catAx>
        <c:axId val="911505512"/>
        <c:scaling>
          <c:orientation val="minMax"/>
        </c:scaling>
        <c:delete val="1"/>
        <c:axPos val="b"/>
        <c:majorTickMark val="out"/>
        <c:minorTickMark val="none"/>
        <c:tickLblPos val="nextTo"/>
        <c:crossAx val="911508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8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33260</xdr:colOff>
      <xdr:row>136</xdr:row>
      <xdr:rowOff>121456</xdr:rowOff>
    </xdr:from>
    <xdr:to>
      <xdr:col>42</xdr:col>
      <xdr:colOff>314778</xdr:colOff>
      <xdr:row>160</xdr:row>
      <xdr:rowOff>146857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70B478B-852E-42CB-B0CA-1DF8B6806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268816</xdr:colOff>
      <xdr:row>160</xdr:row>
      <xdr:rowOff>63197</xdr:rowOff>
    </xdr:from>
    <xdr:to>
      <xdr:col>42</xdr:col>
      <xdr:colOff>529167</xdr:colOff>
      <xdr:row>189</xdr:row>
      <xdr:rowOff>88597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B2FC34-40D4-45C7-B033-A5698431B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44341</xdr:colOff>
      <xdr:row>161</xdr:row>
      <xdr:rowOff>14355</xdr:rowOff>
    </xdr:from>
    <xdr:to>
      <xdr:col>54</xdr:col>
      <xdr:colOff>740985</xdr:colOff>
      <xdr:row>188</xdr:row>
      <xdr:rowOff>155702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E2D104EB-C54B-47CA-A677-346234567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547312</xdr:colOff>
      <xdr:row>202</xdr:row>
      <xdr:rowOff>9675</xdr:rowOff>
    </xdr:from>
    <xdr:to>
      <xdr:col>11</xdr:col>
      <xdr:colOff>149982</xdr:colOff>
      <xdr:row>215</xdr:row>
      <xdr:rowOff>130626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D6A078-2E6E-4CF5-97E4-28CF74484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422322</xdr:colOff>
      <xdr:row>257</xdr:row>
      <xdr:rowOff>73538</xdr:rowOff>
    </xdr:from>
    <xdr:to>
      <xdr:col>32</xdr:col>
      <xdr:colOff>224118</xdr:colOff>
      <xdr:row>264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C9D5DF9B-861E-480C-BE46-5148FA2A9D9D}"/>
            </a:ext>
          </a:extLst>
        </xdr:cNvPr>
        <xdr:cNvCxnSpPr/>
      </xdr:nvCxnSpPr>
      <xdr:spPr bwMode="auto">
        <a:xfrm flipH="1" flipV="1">
          <a:off x="21546051" y="49309624"/>
          <a:ext cx="966567" cy="1265405"/>
        </a:xfrm>
        <a:prstGeom prst="straightConnector1">
          <a:avLst/>
        </a:prstGeom>
        <a:ln w="5715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448236</xdr:colOff>
      <xdr:row>257</xdr:row>
      <xdr:rowOff>0</xdr:rowOff>
    </xdr:from>
    <xdr:to>
      <xdr:col>33</xdr:col>
      <xdr:colOff>466165</xdr:colOff>
      <xdr:row>263</xdr:row>
      <xdr:rowOff>174812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FD0F3B9F-9E6B-40C5-80E0-26F6A0BB3D53}"/>
            </a:ext>
          </a:extLst>
        </xdr:cNvPr>
        <xdr:cNvCxnSpPr/>
      </xdr:nvCxnSpPr>
      <xdr:spPr bwMode="auto">
        <a:xfrm flipH="1" flipV="1">
          <a:off x="23319122" y="49236086"/>
          <a:ext cx="17929" cy="1323255"/>
        </a:xfrm>
        <a:prstGeom prst="straightConnector1">
          <a:avLst/>
        </a:prstGeom>
        <a:ln w="5715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47065</xdr:colOff>
      <xdr:row>257</xdr:row>
      <xdr:rowOff>67235</xdr:rowOff>
    </xdr:from>
    <xdr:to>
      <xdr:col>36</xdr:col>
      <xdr:colOff>358589</xdr:colOff>
      <xdr:row>264</xdr:row>
      <xdr:rowOff>136712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BC8AF21-A7F2-4323-B9E9-E1D78589EA50}"/>
            </a:ext>
          </a:extLst>
        </xdr:cNvPr>
        <xdr:cNvCxnSpPr/>
      </xdr:nvCxnSpPr>
      <xdr:spPr bwMode="auto">
        <a:xfrm flipV="1">
          <a:off x="23500336" y="49303321"/>
          <a:ext cx="1563382" cy="1408420"/>
        </a:xfrm>
        <a:prstGeom prst="straightConnector1">
          <a:avLst/>
        </a:prstGeom>
        <a:ln w="5715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100854</xdr:colOff>
      <xdr:row>260</xdr:row>
      <xdr:rowOff>67234</xdr:rowOff>
    </xdr:from>
    <xdr:to>
      <xdr:col>39</xdr:col>
      <xdr:colOff>44824</xdr:colOff>
      <xdr:row>271</xdr:row>
      <xdr:rowOff>44824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5390BA2-7E8A-4CF1-9997-C1F7C6761177}"/>
            </a:ext>
          </a:extLst>
        </xdr:cNvPr>
        <xdr:cNvSpPr txBox="1"/>
      </xdr:nvSpPr>
      <xdr:spPr>
        <a:xfrm>
          <a:off x="20642197" y="49880263"/>
          <a:ext cx="5795041" cy="207309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For Peak Demand models, the projected values of the Normal Peak Day temperatures are determined using 20 years of history, with the exception of Jan &amp; Dec, which are based on the top 20 coldest peak days over the past 49 years. Aug is based on the top 20 hottest peak</a:t>
          </a:r>
          <a:r>
            <a:rPr lang="en-US" sz="2000" baseline="0"/>
            <a:t> days.</a:t>
          </a:r>
          <a:r>
            <a:rPr lang="en-US" sz="2000"/>
            <a:t>   </a:t>
          </a:r>
        </a:p>
        <a:p>
          <a:endParaRPr lang="en-US" sz="1100"/>
        </a:p>
      </xdr:txBody>
    </xdr:sp>
    <xdr:clientData/>
  </xdr:twoCellAnchor>
  <xdr:twoCellAnchor>
    <xdr:from>
      <xdr:col>30</xdr:col>
      <xdr:colOff>254233</xdr:colOff>
      <xdr:row>333</xdr:row>
      <xdr:rowOff>196803</xdr:rowOff>
    </xdr:from>
    <xdr:to>
      <xdr:col>32</xdr:col>
      <xdr:colOff>56029</xdr:colOff>
      <xdr:row>340</xdr:row>
      <xdr:rowOff>123265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C7459BDC-5525-4EE9-AC35-247D0BE7D9AD}"/>
            </a:ext>
          </a:extLst>
        </xdr:cNvPr>
        <xdr:cNvCxnSpPr/>
      </xdr:nvCxnSpPr>
      <xdr:spPr bwMode="auto">
        <a:xfrm flipH="1" flipV="1">
          <a:off x="21377962" y="63954432"/>
          <a:ext cx="966567" cy="1265404"/>
        </a:xfrm>
        <a:prstGeom prst="straightConnector1">
          <a:avLst/>
        </a:prstGeom>
        <a:ln w="5715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280147</xdr:colOff>
      <xdr:row>333</xdr:row>
      <xdr:rowOff>123265</xdr:rowOff>
    </xdr:from>
    <xdr:to>
      <xdr:col>33</xdr:col>
      <xdr:colOff>298076</xdr:colOff>
      <xdr:row>340</xdr:row>
      <xdr:rowOff>107577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1E1F0E9-79C4-44FA-AC35-3BF76A34AC33}"/>
            </a:ext>
          </a:extLst>
        </xdr:cNvPr>
        <xdr:cNvCxnSpPr/>
      </xdr:nvCxnSpPr>
      <xdr:spPr bwMode="auto">
        <a:xfrm flipH="1" flipV="1">
          <a:off x="23151033" y="63880894"/>
          <a:ext cx="17929" cy="1323254"/>
        </a:xfrm>
        <a:prstGeom prst="straightConnector1">
          <a:avLst/>
        </a:prstGeom>
        <a:ln w="5715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450476</xdr:colOff>
      <xdr:row>333</xdr:row>
      <xdr:rowOff>190500</xdr:rowOff>
    </xdr:from>
    <xdr:to>
      <xdr:col>36</xdr:col>
      <xdr:colOff>190500</xdr:colOff>
      <xdr:row>341</xdr:row>
      <xdr:rowOff>69477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DAD0C951-130A-483A-805A-F0A48986916C}"/>
            </a:ext>
          </a:extLst>
        </xdr:cNvPr>
        <xdr:cNvCxnSpPr/>
      </xdr:nvCxnSpPr>
      <xdr:spPr bwMode="auto">
        <a:xfrm flipV="1">
          <a:off x="23321362" y="63948129"/>
          <a:ext cx="1574267" cy="1408419"/>
        </a:xfrm>
        <a:prstGeom prst="straightConnector1">
          <a:avLst/>
        </a:prstGeom>
        <a:ln w="5715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504265</xdr:colOff>
      <xdr:row>336</xdr:row>
      <xdr:rowOff>190499</xdr:rowOff>
    </xdr:from>
    <xdr:to>
      <xdr:col>38</xdr:col>
      <xdr:colOff>358588</xdr:colOff>
      <xdr:row>347</xdr:row>
      <xdr:rowOff>168089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1DCF53A-68D7-4A62-B0E6-2EE8BFB09446}"/>
            </a:ext>
          </a:extLst>
        </xdr:cNvPr>
        <xdr:cNvSpPr txBox="1"/>
      </xdr:nvSpPr>
      <xdr:spPr>
        <a:xfrm>
          <a:off x="20463222" y="64525070"/>
          <a:ext cx="5803366" cy="207309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For Peak Demand models, the projected values of the Normal Peak Day 24hr Avg temperatures are determined using 20 years of history, with the exception of Jan &amp; Dec, which are based on the top 20 coldest peak days over the past 49 years. Aug is based on the top 20 hottest peak</a:t>
          </a:r>
          <a:r>
            <a:rPr lang="en-US" sz="2000" baseline="0"/>
            <a:t> days.</a:t>
          </a:r>
          <a:r>
            <a:rPr lang="en-US" sz="2000"/>
            <a:t>   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33260</xdr:colOff>
      <xdr:row>136</xdr:row>
      <xdr:rowOff>121456</xdr:rowOff>
    </xdr:from>
    <xdr:to>
      <xdr:col>42</xdr:col>
      <xdr:colOff>314778</xdr:colOff>
      <xdr:row>160</xdr:row>
      <xdr:rowOff>146857</xdr:rowOff>
    </xdr:to>
    <xdr:graphicFrame macro="">
      <xdr:nvGraphicFramePr>
        <xdr:cNvPr id="1197" name="Chart 2">
          <a:extLst>
            <a:ext uri="{FF2B5EF4-FFF2-40B4-BE49-F238E27FC236}">
              <a16:creationId xmlns:a16="http://schemas.microsoft.com/office/drawing/2014/main" id="{639A3F94-DC16-4717-999E-DB5C09CF3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268816</xdr:colOff>
      <xdr:row>160</xdr:row>
      <xdr:rowOff>63197</xdr:rowOff>
    </xdr:from>
    <xdr:to>
      <xdr:col>42</xdr:col>
      <xdr:colOff>529167</xdr:colOff>
      <xdr:row>188</xdr:row>
      <xdr:rowOff>88597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1BF22EE-9387-4509-BC30-65C3F63F0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44341</xdr:colOff>
      <xdr:row>161</xdr:row>
      <xdr:rowOff>14355</xdr:rowOff>
    </xdr:from>
    <xdr:to>
      <xdr:col>54</xdr:col>
      <xdr:colOff>740985</xdr:colOff>
      <xdr:row>187</xdr:row>
      <xdr:rowOff>155702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9EBCC9E2-BC7C-47BE-82BB-FDE6E3B85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21166</xdr:colOff>
      <xdr:row>67</xdr:row>
      <xdr:rowOff>148167</xdr:rowOff>
    </xdr:from>
    <xdr:to>
      <xdr:col>30</xdr:col>
      <xdr:colOff>94783</xdr:colOff>
      <xdr:row>83</xdr:row>
      <xdr:rowOff>172740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D5C8FF-10A3-427D-BA9B-05CAF138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02833" y="12615334"/>
          <a:ext cx="7114286" cy="3228571"/>
        </a:xfrm>
        <a:prstGeom prst="rect">
          <a:avLst/>
        </a:prstGeom>
      </xdr:spPr>
    </xdr:pic>
    <xdr:clientData/>
  </xdr:twoCellAnchor>
  <xdr:twoCellAnchor>
    <xdr:from>
      <xdr:col>3</xdr:col>
      <xdr:colOff>452061</xdr:colOff>
      <xdr:row>207</xdr:row>
      <xdr:rowOff>104925</xdr:rowOff>
    </xdr:from>
    <xdr:to>
      <xdr:col>12</xdr:col>
      <xdr:colOff>54731</xdr:colOff>
      <xdr:row>221</xdr:row>
      <xdr:rowOff>21769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D5261C0-091E-4525-8562-AC1463B82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422322</xdr:colOff>
      <xdr:row>255</xdr:row>
      <xdr:rowOff>73538</xdr:rowOff>
    </xdr:from>
    <xdr:to>
      <xdr:col>32</xdr:col>
      <xdr:colOff>224118</xdr:colOff>
      <xdr:row>262</xdr:row>
      <xdr:rowOff>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4DD2E21-01E2-4EB4-8C50-E6C27CA5E94A}"/>
            </a:ext>
          </a:extLst>
        </xdr:cNvPr>
        <xdr:cNvCxnSpPr/>
      </xdr:nvCxnSpPr>
      <xdr:spPr bwMode="auto">
        <a:xfrm flipH="1" flipV="1">
          <a:off x="20783410" y="48538979"/>
          <a:ext cx="944796" cy="1271168"/>
        </a:xfrm>
        <a:prstGeom prst="straightConnector1">
          <a:avLst/>
        </a:prstGeom>
        <a:ln w="5715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254233</xdr:colOff>
      <xdr:row>331</xdr:row>
      <xdr:rowOff>196803</xdr:rowOff>
    </xdr:from>
    <xdr:to>
      <xdr:col>32</xdr:col>
      <xdr:colOff>56029</xdr:colOff>
      <xdr:row>338</xdr:row>
      <xdr:rowOff>123265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5B98240E-F14C-4047-A6FD-3C626AE8CB71}"/>
            </a:ext>
          </a:extLst>
        </xdr:cNvPr>
        <xdr:cNvCxnSpPr/>
      </xdr:nvCxnSpPr>
      <xdr:spPr bwMode="auto">
        <a:xfrm flipH="1" flipV="1">
          <a:off x="20615321" y="62479097"/>
          <a:ext cx="944796" cy="1271168"/>
        </a:xfrm>
        <a:prstGeom prst="straightConnector1">
          <a:avLst/>
        </a:prstGeom>
        <a:ln w="5715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504265</xdr:colOff>
      <xdr:row>334</xdr:row>
      <xdr:rowOff>190499</xdr:rowOff>
    </xdr:from>
    <xdr:to>
      <xdr:col>38</xdr:col>
      <xdr:colOff>358588</xdr:colOff>
      <xdr:row>345</xdr:row>
      <xdr:rowOff>168089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F2FF342-BAAE-42F7-8E06-AF60AC437FA6}"/>
            </a:ext>
          </a:extLst>
        </xdr:cNvPr>
        <xdr:cNvSpPr txBox="1"/>
      </xdr:nvSpPr>
      <xdr:spPr>
        <a:xfrm>
          <a:off x="19722353" y="63055499"/>
          <a:ext cx="5692588" cy="207309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For Peak Demand models, the projected values of the Normal Peak Day 24hr Avg temperatures are determined using 20 years of history, with the exception of Jan &amp; Dec, which are based on the top 20 coldest peak days over the past 49 years. Aug is based on the top 20 hottest peak</a:t>
          </a:r>
          <a:r>
            <a:rPr lang="en-US" sz="2000" baseline="0"/>
            <a:t> days.</a:t>
          </a:r>
          <a:r>
            <a:rPr lang="en-US" sz="2000"/>
            <a:t>   </a:t>
          </a:r>
        </a:p>
        <a:p>
          <a:endParaRPr lang="en-US" sz="1100"/>
        </a:p>
      </xdr:txBody>
    </xdr:sp>
    <xdr:clientData/>
  </xdr:twoCellAnchor>
  <xdr:twoCellAnchor>
    <xdr:from>
      <xdr:col>31</xdr:col>
      <xdr:colOff>408214</xdr:colOff>
      <xdr:row>255</xdr:row>
      <xdr:rowOff>68035</xdr:rowOff>
    </xdr:from>
    <xdr:to>
      <xdr:col>33</xdr:col>
      <xdr:colOff>176892</xdr:colOff>
      <xdr:row>261</xdr:row>
      <xdr:rowOff>68035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5361F79-E274-4DBF-806A-0A771FFAFA24}"/>
            </a:ext>
          </a:extLst>
        </xdr:cNvPr>
        <xdr:cNvCxnSpPr/>
      </xdr:nvCxnSpPr>
      <xdr:spPr bwMode="auto">
        <a:xfrm flipV="1">
          <a:off x="22043571" y="50700214"/>
          <a:ext cx="911678" cy="1156607"/>
        </a:xfrm>
        <a:prstGeom prst="straightConnector1">
          <a:avLst/>
        </a:prstGeom>
        <a:ln w="5715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100854</xdr:colOff>
      <xdr:row>258</xdr:row>
      <xdr:rowOff>67234</xdr:rowOff>
    </xdr:from>
    <xdr:to>
      <xdr:col>39</xdr:col>
      <xdr:colOff>44824</xdr:colOff>
      <xdr:row>269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C9AD57-219C-4F22-AF4F-734E3DBC923B}"/>
            </a:ext>
          </a:extLst>
        </xdr:cNvPr>
        <xdr:cNvSpPr txBox="1"/>
      </xdr:nvSpPr>
      <xdr:spPr>
        <a:xfrm>
          <a:off x="19890442" y="49115381"/>
          <a:ext cx="5692588" cy="207309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For Peak Demand models, the projected values of the Normal Peak Day temperatures are determined using 20 years of history, with the exception of Jan &amp; Dec, which are based on the top 20 coldest peak days over the past 50 years. Aug is based on the top 20 hottest peak</a:t>
          </a:r>
          <a:r>
            <a:rPr lang="en-US" sz="2000" baseline="0"/>
            <a:t> days.</a:t>
          </a:r>
          <a:r>
            <a:rPr lang="en-US" sz="2000"/>
            <a:t>   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56035</xdr:colOff>
      <xdr:row>1</xdr:row>
      <xdr:rowOff>0</xdr:rowOff>
    </xdr:from>
    <xdr:to>
      <xdr:col>14</xdr:col>
      <xdr:colOff>368200</xdr:colOff>
      <xdr:row>19</xdr:row>
      <xdr:rowOff>123265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C3AC37-DA0E-48B5-89AB-F197479B5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44829</xdr:colOff>
      <xdr:row>19</xdr:row>
      <xdr:rowOff>179294</xdr:rowOff>
    </xdr:from>
    <xdr:to>
      <xdr:col>14</xdr:col>
      <xdr:colOff>356994</xdr:colOff>
      <xdr:row>38</xdr:row>
      <xdr:rowOff>114461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CAFE65-23E2-441F-A9F1-E570C0D00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44829</xdr:colOff>
      <xdr:row>38</xdr:row>
      <xdr:rowOff>150480</xdr:rowOff>
    </xdr:from>
    <xdr:to>
      <xdr:col>14</xdr:col>
      <xdr:colOff>356994</xdr:colOff>
      <xdr:row>57</xdr:row>
      <xdr:rowOff>83245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00C465-1E6C-4985-9AF2-71347C0F2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22413</xdr:colOff>
      <xdr:row>57</xdr:row>
      <xdr:rowOff>141673</xdr:rowOff>
    </xdr:from>
    <xdr:to>
      <xdr:col>14</xdr:col>
      <xdr:colOff>335379</xdr:colOff>
      <xdr:row>76</xdr:row>
      <xdr:rowOff>84044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DC445D-3E73-497D-9ADA-9F20EC64B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76</xdr:row>
      <xdr:rowOff>142475</xdr:rowOff>
    </xdr:from>
    <xdr:to>
      <xdr:col>14</xdr:col>
      <xdr:colOff>312966</xdr:colOff>
      <xdr:row>95</xdr:row>
      <xdr:rowOff>75240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0C3FAAC-3A12-4C5C-B025-4CBC81305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157842</xdr:rowOff>
    </xdr:from>
    <xdr:to>
      <xdr:col>14</xdr:col>
      <xdr:colOff>555171</xdr:colOff>
      <xdr:row>15</xdr:row>
      <xdr:rowOff>43542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ECCCFE-C6F5-4363-A6D0-D9025C334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495300</xdr:colOff>
      <xdr:row>106</xdr:row>
      <xdr:rowOff>127000</xdr:rowOff>
    </xdr:from>
    <xdr:to>
      <xdr:col>30</xdr:col>
      <xdr:colOff>44450</xdr:colOff>
      <xdr:row>109</xdr:row>
      <xdr:rowOff>139700</xdr:rowOff>
    </xdr:to>
    <xdr:sp macro="" textlink="">
      <xdr:nvSpPr>
        <xdr:cNvPr id="3277" name="Line 1">
          <a:extLst>
            <a:ext uri="{FF2B5EF4-FFF2-40B4-BE49-F238E27FC236}">
              <a16:creationId xmlns:a16="http://schemas.microsoft.com/office/drawing/2014/main" id="{8E75C46E-1909-4D09-9F0B-F10C8B25BC14}"/>
            </a:ext>
          </a:extLst>
        </xdr:cNvPr>
        <xdr:cNvSpPr>
          <a:spLocks noChangeShapeType="1"/>
        </xdr:cNvSpPr>
      </xdr:nvSpPr>
      <xdr:spPr bwMode="auto">
        <a:xfrm>
          <a:off x="16611600" y="21316950"/>
          <a:ext cx="101600" cy="603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103</xdr:row>
      <xdr:rowOff>0</xdr:rowOff>
    </xdr:from>
    <xdr:to>
      <xdr:col>38</xdr:col>
      <xdr:colOff>266700</xdr:colOff>
      <xdr:row>126</xdr:row>
      <xdr:rowOff>31750</xdr:rowOff>
    </xdr:to>
    <xdr:graphicFrame macro="">
      <xdr:nvGraphicFramePr>
        <xdr:cNvPr id="3278" name="Chart 2">
          <a:extLst>
            <a:ext uri="{FF2B5EF4-FFF2-40B4-BE49-F238E27FC236}">
              <a16:creationId xmlns:a16="http://schemas.microsoft.com/office/drawing/2014/main" id="{A683F22F-61F8-4690-B34A-E25127F0A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103</xdr:row>
      <xdr:rowOff>0</xdr:rowOff>
    </xdr:from>
    <xdr:to>
      <xdr:col>30</xdr:col>
      <xdr:colOff>292112</xdr:colOff>
      <xdr:row>106</xdr:row>
      <xdr:rowOff>146098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F2A37E9D-D3AA-4922-B785-FF0EBEC1D563}"/>
            </a:ext>
          </a:extLst>
        </xdr:cNvPr>
        <xdr:cNvSpPr txBox="1">
          <a:spLocks noChangeArrowheads="1"/>
        </xdr:cNvSpPr>
      </xdr:nvSpPr>
      <xdr:spPr bwMode="auto">
        <a:xfrm>
          <a:off x="19754850" y="20107275"/>
          <a:ext cx="1428750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90% of the last 30 January peaks occurred at 8 a.m.</a:t>
          </a:r>
        </a:p>
        <a:p>
          <a:pPr algn="l" rtl="0">
            <a:defRPr sz="1000"/>
          </a:pPr>
          <a:endParaRPr lang="en-US"/>
        </a:p>
      </xdr:txBody>
    </xdr:sp>
    <xdr:clientData/>
  </xdr:twoCellAnchor>
  <xdr:twoCellAnchor>
    <xdr:from>
      <xdr:col>29</xdr:col>
      <xdr:colOff>444500</xdr:colOff>
      <xdr:row>106</xdr:row>
      <xdr:rowOff>146050</xdr:rowOff>
    </xdr:from>
    <xdr:to>
      <xdr:col>30</xdr:col>
      <xdr:colOff>0</xdr:colOff>
      <xdr:row>109</xdr:row>
      <xdr:rowOff>38100</xdr:rowOff>
    </xdr:to>
    <xdr:sp macro="" textlink="">
      <xdr:nvSpPr>
        <xdr:cNvPr id="3280" name="Line 4">
          <a:extLst>
            <a:ext uri="{FF2B5EF4-FFF2-40B4-BE49-F238E27FC236}">
              <a16:creationId xmlns:a16="http://schemas.microsoft.com/office/drawing/2014/main" id="{4EEE1D01-9F3B-41F9-AC82-7E717F9C9A5B}"/>
            </a:ext>
          </a:extLst>
        </xdr:cNvPr>
        <xdr:cNvSpPr>
          <a:spLocks noChangeShapeType="1"/>
        </xdr:cNvSpPr>
      </xdr:nvSpPr>
      <xdr:spPr bwMode="auto">
        <a:xfrm flipH="1" flipV="1">
          <a:off x="16560800" y="21336000"/>
          <a:ext cx="107950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139700</xdr:rowOff>
    </xdr:from>
    <xdr:to>
      <xdr:col>17</xdr:col>
      <xdr:colOff>38100</xdr:colOff>
      <xdr:row>58</xdr:row>
      <xdr:rowOff>184150</xdr:rowOff>
    </xdr:to>
    <xdr:graphicFrame macro="">
      <xdr:nvGraphicFramePr>
        <xdr:cNvPr id="16934" name="Chart 1">
          <a:extLst>
            <a:ext uri="{FF2B5EF4-FFF2-40B4-BE49-F238E27FC236}">
              <a16:creationId xmlns:a16="http://schemas.microsoft.com/office/drawing/2014/main" id="{D0671989-3F42-4F2B-B90F-22200AD12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17</xdr:col>
      <xdr:colOff>38100</xdr:colOff>
      <xdr:row>82</xdr:row>
      <xdr:rowOff>50800</xdr:rowOff>
    </xdr:to>
    <xdr:graphicFrame macro="">
      <xdr:nvGraphicFramePr>
        <xdr:cNvPr id="16935" name="Chart 2">
          <a:extLst>
            <a:ext uri="{FF2B5EF4-FFF2-40B4-BE49-F238E27FC236}">
              <a16:creationId xmlns:a16="http://schemas.microsoft.com/office/drawing/2014/main" id="{FBB4ACD0-C795-4468-A750-3F07D27EF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6350</xdr:colOff>
      <xdr:row>39</xdr:row>
      <xdr:rowOff>38100</xdr:rowOff>
    </xdr:from>
    <xdr:to>
      <xdr:col>9</xdr:col>
      <xdr:colOff>444500</xdr:colOff>
      <xdr:row>56</xdr:row>
      <xdr:rowOff>127000</xdr:rowOff>
    </xdr:to>
    <xdr:sp macro="" textlink="">
      <xdr:nvSpPr>
        <xdr:cNvPr id="16936" name="Oval 3">
          <a:extLst>
            <a:ext uri="{FF2B5EF4-FFF2-40B4-BE49-F238E27FC236}">
              <a16:creationId xmlns:a16="http://schemas.microsoft.com/office/drawing/2014/main" id="{ED405846-624D-4E6E-8D9D-77DD0BBB7E97}"/>
            </a:ext>
          </a:extLst>
        </xdr:cNvPr>
        <xdr:cNvSpPr>
          <a:spLocks noChangeArrowheads="1"/>
        </xdr:cNvSpPr>
      </xdr:nvSpPr>
      <xdr:spPr bwMode="auto">
        <a:xfrm>
          <a:off x="4730750" y="7715250"/>
          <a:ext cx="438150" cy="3435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203200</xdr:colOff>
      <xdr:row>64</xdr:row>
      <xdr:rowOff>12700</xdr:rowOff>
    </xdr:from>
    <xdr:to>
      <xdr:col>10</xdr:col>
      <xdr:colOff>165100</xdr:colOff>
      <xdr:row>81</xdr:row>
      <xdr:rowOff>101600</xdr:rowOff>
    </xdr:to>
    <xdr:sp macro="" textlink="">
      <xdr:nvSpPr>
        <xdr:cNvPr id="16937" name="Oval 4">
          <a:extLst>
            <a:ext uri="{FF2B5EF4-FFF2-40B4-BE49-F238E27FC236}">
              <a16:creationId xmlns:a16="http://schemas.microsoft.com/office/drawing/2014/main" id="{36D2B0B7-EE5E-450B-B383-E0E5995B2AAD}"/>
            </a:ext>
          </a:extLst>
        </xdr:cNvPr>
        <xdr:cNvSpPr>
          <a:spLocks noChangeArrowheads="1"/>
        </xdr:cNvSpPr>
      </xdr:nvSpPr>
      <xdr:spPr bwMode="auto">
        <a:xfrm>
          <a:off x="4927600" y="12611100"/>
          <a:ext cx="431800" cy="3435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6350</xdr:colOff>
      <xdr:row>83</xdr:row>
      <xdr:rowOff>0</xdr:rowOff>
    </xdr:from>
    <xdr:to>
      <xdr:col>17</xdr:col>
      <xdr:colOff>44450</xdr:colOff>
      <xdr:row>105</xdr:row>
      <xdr:rowOff>50800</xdr:rowOff>
    </xdr:to>
    <xdr:graphicFrame macro="">
      <xdr:nvGraphicFramePr>
        <xdr:cNvPr id="16938" name="Chart 5">
          <a:extLst>
            <a:ext uri="{FF2B5EF4-FFF2-40B4-BE49-F238E27FC236}">
              <a16:creationId xmlns:a16="http://schemas.microsoft.com/office/drawing/2014/main" id="{362901BD-3164-47CC-9697-887994449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158750</xdr:colOff>
      <xdr:row>95</xdr:row>
      <xdr:rowOff>127000</xdr:rowOff>
    </xdr:from>
    <xdr:to>
      <xdr:col>9</xdr:col>
      <xdr:colOff>101600</xdr:colOff>
      <xdr:row>96</xdr:row>
      <xdr:rowOff>146050</xdr:rowOff>
    </xdr:to>
    <xdr:sp macro="" textlink="">
      <xdr:nvSpPr>
        <xdr:cNvPr id="16939" name="Oval 6">
          <a:extLst>
            <a:ext uri="{FF2B5EF4-FFF2-40B4-BE49-F238E27FC236}">
              <a16:creationId xmlns:a16="http://schemas.microsoft.com/office/drawing/2014/main" id="{62A7C380-5AFF-47AE-BD67-4E015FA80E6C}"/>
            </a:ext>
          </a:extLst>
        </xdr:cNvPr>
        <xdr:cNvSpPr>
          <a:spLocks noChangeArrowheads="1"/>
        </xdr:cNvSpPr>
      </xdr:nvSpPr>
      <xdr:spPr bwMode="auto">
        <a:xfrm>
          <a:off x="4413250" y="18827750"/>
          <a:ext cx="412750" cy="2159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165100</xdr:colOff>
      <xdr:row>88</xdr:row>
      <xdr:rowOff>101600</xdr:rowOff>
    </xdr:from>
    <xdr:to>
      <xdr:col>7</xdr:col>
      <xdr:colOff>425450</xdr:colOff>
      <xdr:row>89</xdr:row>
      <xdr:rowOff>57150</xdr:rowOff>
    </xdr:to>
    <xdr:sp macro="" textlink="">
      <xdr:nvSpPr>
        <xdr:cNvPr id="16940" name="Oval 7">
          <a:extLst>
            <a:ext uri="{FF2B5EF4-FFF2-40B4-BE49-F238E27FC236}">
              <a16:creationId xmlns:a16="http://schemas.microsoft.com/office/drawing/2014/main" id="{A747E5C8-BF2C-4726-BDEF-091E10BDDD0A}"/>
            </a:ext>
          </a:extLst>
        </xdr:cNvPr>
        <xdr:cNvSpPr>
          <a:spLocks noChangeArrowheads="1"/>
        </xdr:cNvSpPr>
      </xdr:nvSpPr>
      <xdr:spPr bwMode="auto">
        <a:xfrm>
          <a:off x="3949700" y="17424400"/>
          <a:ext cx="26035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177800</xdr:colOff>
      <xdr:row>94</xdr:row>
      <xdr:rowOff>146050</xdr:rowOff>
    </xdr:from>
    <xdr:to>
      <xdr:col>7</xdr:col>
      <xdr:colOff>387350</xdr:colOff>
      <xdr:row>95</xdr:row>
      <xdr:rowOff>177800</xdr:rowOff>
    </xdr:to>
    <xdr:sp macro="" textlink="">
      <xdr:nvSpPr>
        <xdr:cNvPr id="16941" name="Oval 8">
          <a:extLst>
            <a:ext uri="{FF2B5EF4-FFF2-40B4-BE49-F238E27FC236}">
              <a16:creationId xmlns:a16="http://schemas.microsoft.com/office/drawing/2014/main" id="{42E74AAC-D843-4523-9F18-B6407DA8E486}"/>
            </a:ext>
          </a:extLst>
        </xdr:cNvPr>
        <xdr:cNvSpPr>
          <a:spLocks noChangeArrowheads="1"/>
        </xdr:cNvSpPr>
      </xdr:nvSpPr>
      <xdr:spPr bwMode="auto">
        <a:xfrm>
          <a:off x="3962400" y="18649950"/>
          <a:ext cx="2095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292100</xdr:colOff>
      <xdr:row>88</xdr:row>
      <xdr:rowOff>107950</xdr:rowOff>
    </xdr:from>
    <xdr:to>
      <xdr:col>5</xdr:col>
      <xdr:colOff>82550</xdr:colOff>
      <xdr:row>89</xdr:row>
      <xdr:rowOff>76200</xdr:rowOff>
    </xdr:to>
    <xdr:sp macro="" textlink="">
      <xdr:nvSpPr>
        <xdr:cNvPr id="16942" name="Oval 9">
          <a:extLst>
            <a:ext uri="{FF2B5EF4-FFF2-40B4-BE49-F238E27FC236}">
              <a16:creationId xmlns:a16="http://schemas.microsoft.com/office/drawing/2014/main" id="{9E516A48-D5AF-477E-8D75-94AB9C6E2B07}"/>
            </a:ext>
          </a:extLst>
        </xdr:cNvPr>
        <xdr:cNvSpPr>
          <a:spLocks noChangeArrowheads="1"/>
        </xdr:cNvSpPr>
      </xdr:nvSpPr>
      <xdr:spPr bwMode="auto">
        <a:xfrm>
          <a:off x="2667000" y="17430750"/>
          <a:ext cx="260350" cy="1651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57150</xdr:colOff>
      <xdr:row>95</xdr:row>
      <xdr:rowOff>76200</xdr:rowOff>
    </xdr:from>
    <xdr:to>
      <xdr:col>5</xdr:col>
      <xdr:colOff>6350</xdr:colOff>
      <xdr:row>96</xdr:row>
      <xdr:rowOff>38100</xdr:rowOff>
    </xdr:to>
    <xdr:sp macro="" textlink="">
      <xdr:nvSpPr>
        <xdr:cNvPr id="16943" name="Oval 10">
          <a:extLst>
            <a:ext uri="{FF2B5EF4-FFF2-40B4-BE49-F238E27FC236}">
              <a16:creationId xmlns:a16="http://schemas.microsoft.com/office/drawing/2014/main" id="{732CA49F-6850-4C19-802C-BA8D43D26CA6}"/>
            </a:ext>
          </a:extLst>
        </xdr:cNvPr>
        <xdr:cNvSpPr>
          <a:spLocks noChangeArrowheads="1"/>
        </xdr:cNvSpPr>
      </xdr:nvSpPr>
      <xdr:spPr bwMode="auto">
        <a:xfrm>
          <a:off x="2432050" y="18776950"/>
          <a:ext cx="419100" cy="158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184150</xdr:colOff>
      <xdr:row>89</xdr:row>
      <xdr:rowOff>38100</xdr:rowOff>
    </xdr:from>
    <xdr:to>
      <xdr:col>4</xdr:col>
      <xdr:colOff>120650</xdr:colOff>
      <xdr:row>90</xdr:row>
      <xdr:rowOff>88900</xdr:rowOff>
    </xdr:to>
    <xdr:sp macro="" textlink="">
      <xdr:nvSpPr>
        <xdr:cNvPr id="16944" name="Oval 11">
          <a:extLst>
            <a:ext uri="{FF2B5EF4-FFF2-40B4-BE49-F238E27FC236}">
              <a16:creationId xmlns:a16="http://schemas.microsoft.com/office/drawing/2014/main" id="{22EDCAC2-B823-4142-A24E-024469502133}"/>
            </a:ext>
          </a:extLst>
        </xdr:cNvPr>
        <xdr:cNvSpPr>
          <a:spLocks noChangeArrowheads="1"/>
        </xdr:cNvSpPr>
      </xdr:nvSpPr>
      <xdr:spPr bwMode="auto">
        <a:xfrm>
          <a:off x="2089150" y="17557750"/>
          <a:ext cx="406400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32</xdr:row>
      <xdr:rowOff>139700</xdr:rowOff>
    </xdr:from>
    <xdr:to>
      <xdr:col>13</xdr:col>
      <xdr:colOff>476250</xdr:colOff>
      <xdr:row>54</xdr:row>
      <xdr:rowOff>184150</xdr:rowOff>
    </xdr:to>
    <xdr:graphicFrame macro="">
      <xdr:nvGraphicFramePr>
        <xdr:cNvPr id="21030" name="Chart 1">
          <a:extLst>
            <a:ext uri="{FF2B5EF4-FFF2-40B4-BE49-F238E27FC236}">
              <a16:creationId xmlns:a16="http://schemas.microsoft.com/office/drawing/2014/main" id="{3FDF2425-DEFA-4F90-A097-D69F6627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285750</xdr:colOff>
      <xdr:row>56</xdr:row>
      <xdr:rowOff>0</xdr:rowOff>
    </xdr:from>
    <xdr:to>
      <xdr:col>13</xdr:col>
      <xdr:colOff>476250</xdr:colOff>
      <xdr:row>78</xdr:row>
      <xdr:rowOff>50800</xdr:rowOff>
    </xdr:to>
    <xdr:graphicFrame macro="">
      <xdr:nvGraphicFramePr>
        <xdr:cNvPr id="21031" name="Chart 2">
          <a:extLst>
            <a:ext uri="{FF2B5EF4-FFF2-40B4-BE49-F238E27FC236}">
              <a16:creationId xmlns:a16="http://schemas.microsoft.com/office/drawing/2014/main" id="{4AF5DDB0-819E-45FC-89BD-DA81D4920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35</xdr:row>
      <xdr:rowOff>31750</xdr:rowOff>
    </xdr:from>
    <xdr:to>
      <xdr:col>7</xdr:col>
      <xdr:colOff>158750</xdr:colOff>
      <xdr:row>52</xdr:row>
      <xdr:rowOff>107950</xdr:rowOff>
    </xdr:to>
    <xdr:sp macro="" textlink="">
      <xdr:nvSpPr>
        <xdr:cNvPr id="21032" name="Oval 3">
          <a:extLst>
            <a:ext uri="{FF2B5EF4-FFF2-40B4-BE49-F238E27FC236}">
              <a16:creationId xmlns:a16="http://schemas.microsoft.com/office/drawing/2014/main" id="{6D86B32E-6818-4E0F-A85B-EBDCFAF7B550}"/>
            </a:ext>
          </a:extLst>
        </xdr:cNvPr>
        <xdr:cNvSpPr>
          <a:spLocks noChangeArrowheads="1"/>
        </xdr:cNvSpPr>
      </xdr:nvSpPr>
      <xdr:spPr bwMode="auto">
        <a:xfrm>
          <a:off x="3924300" y="6921500"/>
          <a:ext cx="349250" cy="3422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444500</xdr:colOff>
      <xdr:row>58</xdr:row>
      <xdr:rowOff>146050</xdr:rowOff>
    </xdr:from>
    <xdr:to>
      <xdr:col>7</xdr:col>
      <xdr:colOff>241300</xdr:colOff>
      <xdr:row>76</xdr:row>
      <xdr:rowOff>38100</xdr:rowOff>
    </xdr:to>
    <xdr:sp macro="" textlink="">
      <xdr:nvSpPr>
        <xdr:cNvPr id="21033" name="Oval 4">
          <a:extLst>
            <a:ext uri="{FF2B5EF4-FFF2-40B4-BE49-F238E27FC236}">
              <a16:creationId xmlns:a16="http://schemas.microsoft.com/office/drawing/2014/main" id="{2D569E7A-707F-497E-82D4-1015D9D602A2}"/>
            </a:ext>
          </a:extLst>
        </xdr:cNvPr>
        <xdr:cNvSpPr>
          <a:spLocks noChangeArrowheads="1"/>
        </xdr:cNvSpPr>
      </xdr:nvSpPr>
      <xdr:spPr bwMode="auto">
        <a:xfrm>
          <a:off x="4006850" y="11563350"/>
          <a:ext cx="349250" cy="3435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285750</xdr:colOff>
      <xdr:row>79</xdr:row>
      <xdr:rowOff>0</xdr:rowOff>
    </xdr:from>
    <xdr:to>
      <xdr:col>13</xdr:col>
      <xdr:colOff>476250</xdr:colOff>
      <xdr:row>101</xdr:row>
      <xdr:rowOff>50800</xdr:rowOff>
    </xdr:to>
    <xdr:graphicFrame macro="">
      <xdr:nvGraphicFramePr>
        <xdr:cNvPr id="21034" name="Chart 5">
          <a:extLst>
            <a:ext uri="{FF2B5EF4-FFF2-40B4-BE49-F238E27FC236}">
              <a16:creationId xmlns:a16="http://schemas.microsoft.com/office/drawing/2014/main" id="{0343EDCC-A56A-4AFD-A2C8-3A86EC529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546100</xdr:colOff>
      <xdr:row>83</xdr:row>
      <xdr:rowOff>158750</xdr:rowOff>
    </xdr:from>
    <xdr:to>
      <xdr:col>4</xdr:col>
      <xdr:colOff>203200</xdr:colOff>
      <xdr:row>84</xdr:row>
      <xdr:rowOff>127000</xdr:rowOff>
    </xdr:to>
    <xdr:sp macro="" textlink="">
      <xdr:nvSpPr>
        <xdr:cNvPr id="21035" name="Oval 6">
          <a:extLst>
            <a:ext uri="{FF2B5EF4-FFF2-40B4-BE49-F238E27FC236}">
              <a16:creationId xmlns:a16="http://schemas.microsoft.com/office/drawing/2014/main" id="{6084E1CF-8439-43AF-B29E-AE65BC3DCC19}"/>
            </a:ext>
          </a:extLst>
        </xdr:cNvPr>
        <xdr:cNvSpPr>
          <a:spLocks noChangeArrowheads="1"/>
        </xdr:cNvSpPr>
      </xdr:nvSpPr>
      <xdr:spPr bwMode="auto">
        <a:xfrm>
          <a:off x="2451100" y="16497300"/>
          <a:ext cx="209550" cy="1651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266700</xdr:colOff>
      <xdr:row>91</xdr:row>
      <xdr:rowOff>158750</xdr:rowOff>
    </xdr:from>
    <xdr:to>
      <xdr:col>7</xdr:col>
      <xdr:colOff>228600</xdr:colOff>
      <xdr:row>92</xdr:row>
      <xdr:rowOff>107950</xdr:rowOff>
    </xdr:to>
    <xdr:sp macro="" textlink="">
      <xdr:nvSpPr>
        <xdr:cNvPr id="21036" name="Oval 7">
          <a:extLst>
            <a:ext uri="{FF2B5EF4-FFF2-40B4-BE49-F238E27FC236}">
              <a16:creationId xmlns:a16="http://schemas.microsoft.com/office/drawing/2014/main" id="{5D768237-DC05-4FB5-A368-ED31FE08B5AA}"/>
            </a:ext>
          </a:extLst>
        </xdr:cNvPr>
        <xdr:cNvSpPr>
          <a:spLocks noChangeArrowheads="1"/>
        </xdr:cNvSpPr>
      </xdr:nvSpPr>
      <xdr:spPr bwMode="auto">
        <a:xfrm>
          <a:off x="3829050" y="18072100"/>
          <a:ext cx="514350" cy="1460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279400</xdr:colOff>
      <xdr:row>90</xdr:row>
      <xdr:rowOff>57150</xdr:rowOff>
    </xdr:from>
    <xdr:to>
      <xdr:col>6</xdr:col>
      <xdr:colOff>469900</xdr:colOff>
      <xdr:row>91</xdr:row>
      <xdr:rowOff>50800</xdr:rowOff>
    </xdr:to>
    <xdr:sp macro="" textlink="">
      <xdr:nvSpPr>
        <xdr:cNvPr id="21037" name="Oval 8">
          <a:extLst>
            <a:ext uri="{FF2B5EF4-FFF2-40B4-BE49-F238E27FC236}">
              <a16:creationId xmlns:a16="http://schemas.microsoft.com/office/drawing/2014/main" id="{527495EE-A6A5-409A-A4C0-D3850C1C823E}"/>
            </a:ext>
          </a:extLst>
        </xdr:cNvPr>
        <xdr:cNvSpPr>
          <a:spLocks noChangeArrowheads="1"/>
        </xdr:cNvSpPr>
      </xdr:nvSpPr>
      <xdr:spPr bwMode="auto">
        <a:xfrm>
          <a:off x="3841750" y="17773650"/>
          <a:ext cx="1905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241300</xdr:colOff>
      <xdr:row>90</xdr:row>
      <xdr:rowOff>184150</xdr:rowOff>
    </xdr:from>
    <xdr:to>
      <xdr:col>4</xdr:col>
      <xdr:colOff>177800</xdr:colOff>
      <xdr:row>91</xdr:row>
      <xdr:rowOff>127000</xdr:rowOff>
    </xdr:to>
    <xdr:sp macro="" textlink="">
      <xdr:nvSpPr>
        <xdr:cNvPr id="21038" name="Oval 9">
          <a:extLst>
            <a:ext uri="{FF2B5EF4-FFF2-40B4-BE49-F238E27FC236}">
              <a16:creationId xmlns:a16="http://schemas.microsoft.com/office/drawing/2014/main" id="{3B7F0C5D-B9C6-46E0-A694-27B8477339F1}"/>
            </a:ext>
          </a:extLst>
        </xdr:cNvPr>
        <xdr:cNvSpPr>
          <a:spLocks noChangeArrowheads="1"/>
        </xdr:cNvSpPr>
      </xdr:nvSpPr>
      <xdr:spPr bwMode="auto">
        <a:xfrm>
          <a:off x="2146300" y="17900650"/>
          <a:ext cx="488950" cy="139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247650</xdr:colOff>
      <xdr:row>84</xdr:row>
      <xdr:rowOff>88900</xdr:rowOff>
    </xdr:from>
    <xdr:to>
      <xdr:col>6</xdr:col>
      <xdr:colOff>450850</xdr:colOff>
      <xdr:row>85</xdr:row>
      <xdr:rowOff>88900</xdr:rowOff>
    </xdr:to>
    <xdr:sp macro="" textlink="">
      <xdr:nvSpPr>
        <xdr:cNvPr id="21039" name="Oval 10">
          <a:extLst>
            <a:ext uri="{FF2B5EF4-FFF2-40B4-BE49-F238E27FC236}">
              <a16:creationId xmlns:a16="http://schemas.microsoft.com/office/drawing/2014/main" id="{C1A06318-3537-4810-B715-F1C99E58AAF2}"/>
            </a:ext>
          </a:extLst>
        </xdr:cNvPr>
        <xdr:cNvSpPr>
          <a:spLocks noChangeArrowheads="1"/>
        </xdr:cNvSpPr>
      </xdr:nvSpPr>
      <xdr:spPr bwMode="auto">
        <a:xfrm>
          <a:off x="3810000" y="16624300"/>
          <a:ext cx="203200" cy="1968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527050</xdr:colOff>
      <xdr:row>85</xdr:row>
      <xdr:rowOff>12700</xdr:rowOff>
    </xdr:from>
    <xdr:to>
      <xdr:col>4</xdr:col>
      <xdr:colOff>222250</xdr:colOff>
      <xdr:row>86</xdr:row>
      <xdr:rowOff>0</xdr:rowOff>
    </xdr:to>
    <xdr:sp macro="" textlink="">
      <xdr:nvSpPr>
        <xdr:cNvPr id="21040" name="Oval 11">
          <a:extLst>
            <a:ext uri="{FF2B5EF4-FFF2-40B4-BE49-F238E27FC236}">
              <a16:creationId xmlns:a16="http://schemas.microsoft.com/office/drawing/2014/main" id="{F782E097-D095-4C74-A684-1CE61BAD2793}"/>
            </a:ext>
          </a:extLst>
        </xdr:cNvPr>
        <xdr:cNvSpPr>
          <a:spLocks noChangeArrowheads="1"/>
        </xdr:cNvSpPr>
      </xdr:nvSpPr>
      <xdr:spPr bwMode="auto">
        <a:xfrm>
          <a:off x="2432050" y="16744950"/>
          <a:ext cx="247650" cy="184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6350</xdr:colOff>
      <xdr:row>43</xdr:row>
      <xdr:rowOff>38100</xdr:rowOff>
    </xdr:from>
    <xdr:to>
      <xdr:col>21</xdr:col>
      <xdr:colOff>222250</xdr:colOff>
      <xdr:row>70</xdr:row>
      <xdr:rowOff>127000</xdr:rowOff>
    </xdr:to>
    <xdr:graphicFrame macro="">
      <xdr:nvGraphicFramePr>
        <xdr:cNvPr id="24676" name="Chart 1">
          <a:extLst>
            <a:ext uri="{FF2B5EF4-FFF2-40B4-BE49-F238E27FC236}">
              <a16:creationId xmlns:a16="http://schemas.microsoft.com/office/drawing/2014/main" id="{AD913A22-87B0-4AD7-8DE9-E6CFB8ADC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6350</xdr:colOff>
      <xdr:row>82</xdr:row>
      <xdr:rowOff>31750</xdr:rowOff>
    </xdr:from>
    <xdr:to>
      <xdr:col>21</xdr:col>
      <xdr:colOff>101600</xdr:colOff>
      <xdr:row>107</xdr:row>
      <xdr:rowOff>146050</xdr:rowOff>
    </xdr:to>
    <xdr:graphicFrame macro="">
      <xdr:nvGraphicFramePr>
        <xdr:cNvPr id="24677" name="Chart 2">
          <a:extLst>
            <a:ext uri="{FF2B5EF4-FFF2-40B4-BE49-F238E27FC236}">
              <a16:creationId xmlns:a16="http://schemas.microsoft.com/office/drawing/2014/main" id="{1B783C67-028E-4F05-9611-78C536A04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127001</xdr:colOff>
      <xdr:row>8</xdr:row>
      <xdr:rowOff>179387</xdr:rowOff>
    </xdr:from>
    <xdr:to>
      <xdr:col>10</xdr:col>
      <xdr:colOff>73023</xdr:colOff>
      <xdr:row>10</xdr:row>
      <xdr:rowOff>38194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6ADC97B7-390F-4FE3-9D4A-2BDC9FD4E76C}"/>
            </a:ext>
          </a:extLst>
        </xdr:cNvPr>
        <xdr:cNvSpPr txBox="1">
          <a:spLocks noChangeArrowheads="1"/>
        </xdr:cNvSpPr>
      </xdr:nvSpPr>
      <xdr:spPr bwMode="auto">
        <a:xfrm>
          <a:off x="7962900" y="1724025"/>
          <a:ext cx="762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Available</a:t>
          </a:r>
          <a:endParaRPr lang="en-US"/>
        </a:p>
      </xdr:txBody>
    </xdr:sp>
    <xdr:clientData/>
  </xdr:twoCellAnchor>
  <xdr:twoCellAnchor>
    <xdr:from>
      <xdr:col>14</xdr:col>
      <xdr:colOff>142876</xdr:colOff>
      <xdr:row>8</xdr:row>
      <xdr:rowOff>119062</xdr:rowOff>
    </xdr:from>
    <xdr:to>
      <xdr:col>15</xdr:col>
      <xdr:colOff>869</xdr:colOff>
      <xdr:row>10</xdr:row>
      <xdr:rowOff>120715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82655D83-33F0-4D2F-98F9-F9ED9EBB7254}"/>
            </a:ext>
          </a:extLst>
        </xdr:cNvPr>
        <xdr:cNvSpPr txBox="1">
          <a:spLocks noChangeArrowheads="1"/>
        </xdr:cNvSpPr>
      </xdr:nvSpPr>
      <xdr:spPr bwMode="auto">
        <a:xfrm>
          <a:off x="12134850" y="1666875"/>
          <a:ext cx="695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Curtailed</a:t>
          </a:r>
          <a:endParaRPr lang="en-US"/>
        </a:p>
      </xdr:txBody>
    </xdr:sp>
    <xdr:clientData/>
  </xdr:twoCellAnchor>
  <xdr:twoCellAnchor>
    <xdr:from>
      <xdr:col>13</xdr:col>
      <xdr:colOff>107951</xdr:colOff>
      <xdr:row>8</xdr:row>
      <xdr:rowOff>119062</xdr:rowOff>
    </xdr:from>
    <xdr:to>
      <xdr:col>13</xdr:col>
      <xdr:colOff>899837</xdr:colOff>
      <xdr:row>10</xdr:row>
      <xdr:rowOff>38213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AFC41E79-C88C-4999-8A2F-64BC03A135E8}"/>
            </a:ext>
          </a:extLst>
        </xdr:cNvPr>
        <xdr:cNvSpPr txBox="1">
          <a:spLocks noChangeArrowheads="1"/>
        </xdr:cNvSpPr>
      </xdr:nvSpPr>
      <xdr:spPr bwMode="auto">
        <a:xfrm>
          <a:off x="11115675" y="1666875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Available</a:t>
          </a:r>
          <a:endParaRPr lang="en-US"/>
        </a:p>
      </xdr:txBody>
    </xdr:sp>
    <xdr:clientData/>
  </xdr:twoCellAnchor>
  <xdr:twoCellAnchor>
    <xdr:from>
      <xdr:col>10</xdr:col>
      <xdr:colOff>109538</xdr:colOff>
      <xdr:row>8</xdr:row>
      <xdr:rowOff>180974</xdr:rowOff>
    </xdr:from>
    <xdr:to>
      <xdr:col>10</xdr:col>
      <xdr:colOff>844700</xdr:colOff>
      <xdr:row>10</xdr:row>
      <xdr:rowOff>57181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3EE66E12-815B-4E69-B4F2-144F397495E2}"/>
            </a:ext>
          </a:extLst>
        </xdr:cNvPr>
        <xdr:cNvSpPr txBox="1">
          <a:spLocks noChangeArrowheads="1"/>
        </xdr:cNvSpPr>
      </xdr:nvSpPr>
      <xdr:spPr bwMode="auto">
        <a:xfrm>
          <a:off x="8753475" y="1714500"/>
          <a:ext cx="762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Curtailed</a:t>
          </a:r>
          <a:endParaRPr lang="en-US"/>
        </a:p>
      </xdr:txBody>
    </xdr:sp>
    <xdr:clientData/>
  </xdr:twoCellAnchor>
  <xdr:twoCellAnchor>
    <xdr:from>
      <xdr:col>17</xdr:col>
      <xdr:colOff>111126</xdr:colOff>
      <xdr:row>8</xdr:row>
      <xdr:rowOff>101600</xdr:rowOff>
    </xdr:from>
    <xdr:to>
      <xdr:col>18</xdr:col>
      <xdr:colOff>28</xdr:colOff>
      <xdr:row>13</xdr:row>
      <xdr:rowOff>1522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56B715C4-5DF4-4ACB-BBB5-948786CFFD6A}"/>
            </a:ext>
          </a:extLst>
        </xdr:cNvPr>
        <xdr:cNvSpPr txBox="1">
          <a:spLocks noChangeArrowheads="1"/>
        </xdr:cNvSpPr>
      </xdr:nvSpPr>
      <xdr:spPr bwMode="auto">
        <a:xfrm>
          <a:off x="14277975" y="1638300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Available</a:t>
          </a:r>
          <a:endParaRPr lang="en-US"/>
        </a:p>
      </xdr:txBody>
    </xdr:sp>
    <xdr:clientData/>
  </xdr:twoCellAnchor>
  <xdr:twoCellAnchor>
    <xdr:from>
      <xdr:col>18</xdr:col>
      <xdr:colOff>107951</xdr:colOff>
      <xdr:row>9</xdr:row>
      <xdr:rowOff>0</xdr:rowOff>
    </xdr:from>
    <xdr:to>
      <xdr:col>19</xdr:col>
      <xdr:colOff>40</xdr:colOff>
      <xdr:row>13</xdr:row>
      <xdr:rowOff>98522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A92DCEA1-4A17-4376-A100-62C36D5D84C3}"/>
            </a:ext>
          </a:extLst>
        </xdr:cNvPr>
        <xdr:cNvSpPr txBox="1">
          <a:spLocks noChangeArrowheads="1"/>
        </xdr:cNvSpPr>
      </xdr:nvSpPr>
      <xdr:spPr bwMode="auto">
        <a:xfrm>
          <a:off x="15240000" y="1733550"/>
          <a:ext cx="9239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Curtailed</a:t>
          </a:r>
          <a:endParaRPr lang="en-US"/>
        </a:p>
      </xdr:txBody>
    </xdr:sp>
    <xdr:clientData/>
  </xdr:twoCellAnchor>
  <xdr:twoCellAnchor>
    <xdr:from>
      <xdr:col>16</xdr:col>
      <xdr:colOff>107951</xdr:colOff>
      <xdr:row>9</xdr:row>
      <xdr:rowOff>100012</xdr:rowOff>
    </xdr:from>
    <xdr:to>
      <xdr:col>17</xdr:col>
      <xdr:colOff>19039</xdr:colOff>
      <xdr:row>14</xdr:row>
      <xdr:rowOff>19071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8BC83A28-32EE-4693-A10E-37D6E22AE2B6}"/>
            </a:ext>
          </a:extLst>
        </xdr:cNvPr>
        <xdr:cNvSpPr txBox="1">
          <a:spLocks noChangeArrowheads="1"/>
        </xdr:cNvSpPr>
      </xdr:nvSpPr>
      <xdr:spPr bwMode="auto">
        <a:xfrm>
          <a:off x="13525500" y="1838325"/>
          <a:ext cx="638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Furnace</a:t>
          </a:r>
          <a:endParaRPr lang="en-US"/>
        </a:p>
      </xdr:txBody>
    </xdr:sp>
    <xdr:clientData/>
  </xdr:twoCellAnchor>
  <xdr:twoCellAnchor>
    <xdr:from>
      <xdr:col>19</xdr:col>
      <xdr:colOff>163513</xdr:colOff>
      <xdr:row>9</xdr:row>
      <xdr:rowOff>0</xdr:rowOff>
    </xdr:from>
    <xdr:to>
      <xdr:col>20</xdr:col>
      <xdr:colOff>119</xdr:colOff>
      <xdr:row>10</xdr:row>
      <xdr:rowOff>57283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F71D9C9E-C1AF-4011-9A0E-4ED65C1F41F3}"/>
            </a:ext>
          </a:extLst>
        </xdr:cNvPr>
        <xdr:cNvSpPr txBox="1">
          <a:spLocks noChangeArrowheads="1"/>
        </xdr:cNvSpPr>
      </xdr:nvSpPr>
      <xdr:spPr bwMode="auto">
        <a:xfrm>
          <a:off x="16325850" y="1733550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Available</a:t>
          </a:r>
          <a:endParaRPr lang="en-US"/>
        </a:p>
      </xdr:txBody>
    </xdr:sp>
    <xdr:clientData/>
  </xdr:twoCellAnchor>
  <xdr:twoCellAnchor>
    <xdr:from>
      <xdr:col>20</xdr:col>
      <xdr:colOff>111125</xdr:colOff>
      <xdr:row>9</xdr:row>
      <xdr:rowOff>0</xdr:rowOff>
    </xdr:from>
    <xdr:to>
      <xdr:col>21</xdr:col>
      <xdr:colOff>38119</xdr:colOff>
      <xdr:row>10</xdr:row>
      <xdr:rowOff>57283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BAF55B1D-DD7E-40B8-A0C1-81CD9A231733}"/>
            </a:ext>
          </a:extLst>
        </xdr:cNvPr>
        <xdr:cNvSpPr txBox="1">
          <a:spLocks noChangeArrowheads="1"/>
        </xdr:cNvSpPr>
      </xdr:nvSpPr>
      <xdr:spPr bwMode="auto">
        <a:xfrm>
          <a:off x="17364075" y="1733550"/>
          <a:ext cx="8953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Curtailed</a:t>
          </a:r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AZA7\SYS\RESP\SHARDATA\FORECASTING\2000-2010\2010\Generate\DMDGEN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AZA7\SYS\RESP\SHARDATA\FORECASTING\2011\Generate\DMDGEN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AZA7\SYS\RESP\SHARDATA\FORECASTING\2012\Generate\DMDGEN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AZA7\SYS\RESP\SHARDATA\FORECASTING\2013\Generate\DMDGE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 GEN PIVOT"/>
      <sheetName val="Peak Report"/>
      <sheetName val="System, Demand &amp; Generation Rep"/>
      <sheetName val="WNPeakMetrixND"/>
    </sheetNames>
    <sheetDataSet>
      <sheetData sheetId="0"/>
      <sheetData sheetId="1"/>
      <sheetData sheetId="2"/>
      <sheetData sheetId="3">
        <row r="3">
          <cell r="C3">
            <v>4760</v>
          </cell>
          <cell r="D3">
            <v>3657</v>
          </cell>
          <cell r="E3">
            <v>3555</v>
          </cell>
          <cell r="F3">
            <v>3144</v>
          </cell>
          <cell r="G3">
            <v>3872</v>
          </cell>
          <cell r="H3">
            <v>4116</v>
          </cell>
          <cell r="I3">
            <v>4178</v>
          </cell>
          <cell r="J3">
            <v>4157</v>
          </cell>
          <cell r="K3">
            <v>3934</v>
          </cell>
          <cell r="L3">
            <v>3591</v>
          </cell>
          <cell r="M3">
            <v>3200</v>
          </cell>
          <cell r="N3">
            <v>4319</v>
          </cell>
        </row>
        <row r="40">
          <cell r="C40">
            <v>4511.5733449373292</v>
          </cell>
          <cell r="D40">
            <v>3446.9567787946576</v>
          </cell>
          <cell r="E40">
            <v>3304.5829419826873</v>
          </cell>
          <cell r="F40">
            <v>2909.2478843996569</v>
          </cell>
          <cell r="G40">
            <v>3649.4604212766476</v>
          </cell>
          <cell r="H40">
            <v>3917.3073213553184</v>
          </cell>
          <cell r="I40">
            <v>3912.3781921401342</v>
          </cell>
          <cell r="J40">
            <v>3907.9970231564048</v>
          </cell>
          <cell r="K40">
            <v>3702.0736333139571</v>
          </cell>
          <cell r="L40">
            <v>3365.720309161663</v>
          </cell>
          <cell r="M40">
            <v>2868.5881132041072</v>
          </cell>
          <cell r="N40">
            <v>4036.6574484194452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 GEN PIVOT"/>
      <sheetName val="Peak Report"/>
      <sheetName val="System, Demand &amp; Generation Rep"/>
      <sheetName val="WNPeakMetrixND"/>
    </sheetNames>
    <sheetDataSet>
      <sheetData sheetId="0"/>
      <sheetData sheetId="1"/>
      <sheetData sheetId="2"/>
      <sheetData sheetId="3">
        <row r="3">
          <cell r="C3">
            <v>4028</v>
          </cell>
          <cell r="D3">
            <v>3251</v>
          </cell>
          <cell r="E3">
            <v>2803</v>
          </cell>
          <cell r="F3">
            <v>3611</v>
          </cell>
          <cell r="G3">
            <v>3779</v>
          </cell>
          <cell r="H3">
            <v>4136</v>
          </cell>
          <cell r="I3">
            <v>4028</v>
          </cell>
          <cell r="J3">
            <v>4161</v>
          </cell>
          <cell r="K3">
            <v>3800</v>
          </cell>
          <cell r="L3">
            <v>3258</v>
          </cell>
          <cell r="M3">
            <v>3032</v>
          </cell>
          <cell r="N3">
            <v>2699</v>
          </cell>
        </row>
        <row r="42">
          <cell r="C42">
            <v>3811.9723925726394</v>
          </cell>
          <cell r="D42">
            <v>2939.8602575525056</v>
          </cell>
          <cell r="E42">
            <v>2696.6887531557081</v>
          </cell>
          <cell r="F42">
            <v>3419.6014846558933</v>
          </cell>
          <cell r="G42">
            <v>3572.3086153971872</v>
          </cell>
          <cell r="H42">
            <v>3888.7959445727106</v>
          </cell>
          <cell r="I42">
            <v>3768.3462431219737</v>
          </cell>
          <cell r="J42">
            <v>3931.0615628757678</v>
          </cell>
          <cell r="K42">
            <v>3617.6011075894135</v>
          </cell>
          <cell r="L42">
            <v>3066.854047350645</v>
          </cell>
          <cell r="M42">
            <v>2817.3179433615815</v>
          </cell>
          <cell r="N42">
            <v>2454.644010675192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 GEN PIVOT"/>
      <sheetName val="Peak Demand Report"/>
      <sheetName val="WNPeakMetrixND"/>
      <sheetName val="Sheet2"/>
    </sheetNames>
    <sheetDataSet>
      <sheetData sheetId="0"/>
      <sheetData sheetId="1"/>
      <sheetData sheetId="2">
        <row r="3">
          <cell r="C3">
            <v>3788</v>
          </cell>
          <cell r="D3">
            <v>3573</v>
          </cell>
          <cell r="E3">
            <v>3170</v>
          </cell>
          <cell r="F3">
            <v>3385</v>
          </cell>
          <cell r="G3">
            <v>3793</v>
          </cell>
          <cell r="H3">
            <v>3892</v>
          </cell>
          <cell r="I3">
            <v>3988</v>
          </cell>
          <cell r="J3">
            <v>4151</v>
          </cell>
          <cell r="K3">
            <v>3927</v>
          </cell>
          <cell r="L3">
            <v>3725</v>
          </cell>
          <cell r="M3">
            <v>2753</v>
          </cell>
          <cell r="N3">
            <v>2836</v>
          </cell>
        </row>
        <row r="116">
          <cell r="C116">
            <v>3516.7561054876123</v>
          </cell>
          <cell r="D116">
            <v>3378.197402312504</v>
          </cell>
          <cell r="E116">
            <v>2931.7662406566142</v>
          </cell>
          <cell r="F116">
            <v>3151.9778325326442</v>
          </cell>
          <cell r="G116">
            <v>3645.4377182731337</v>
          </cell>
          <cell r="H116">
            <v>3758.2203094162846</v>
          </cell>
          <cell r="I116">
            <v>3773.9361838957884</v>
          </cell>
          <cell r="J116">
            <v>3891.5748580194663</v>
          </cell>
          <cell r="K116">
            <v>3669.9639987574483</v>
          </cell>
          <cell r="L116">
            <v>3479.9971104249953</v>
          </cell>
          <cell r="M116">
            <v>2500.3472932508089</v>
          </cell>
          <cell r="N116">
            <v>2606.3978680815699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 GEN PIVOT"/>
      <sheetName val="Peak Demand Report"/>
      <sheetName val="WNPeakMetrixND"/>
      <sheetName val="Sheet1"/>
    </sheetNames>
    <sheetDataSet>
      <sheetData sheetId="0"/>
      <sheetData sheetId="1"/>
      <sheetData sheetId="2">
        <row r="3">
          <cell r="C3">
            <v>2747</v>
          </cell>
          <cell r="D3">
            <v>3451</v>
          </cell>
          <cell r="E3">
            <v>2872</v>
          </cell>
          <cell r="F3">
            <v>3600</v>
          </cell>
          <cell r="G3">
            <v>3675</v>
          </cell>
          <cell r="H3">
            <v>4043</v>
          </cell>
          <cell r="I3">
            <v>4028</v>
          </cell>
          <cell r="J3">
            <v>4106</v>
          </cell>
          <cell r="K3">
            <v>3977</v>
          </cell>
          <cell r="L3">
            <v>3696</v>
          </cell>
          <cell r="M3">
            <v>3225</v>
          </cell>
          <cell r="N3">
            <v>2942</v>
          </cell>
        </row>
        <row r="116">
          <cell r="C116">
            <v>2563.2860569345185</v>
          </cell>
          <cell r="D116">
            <v>3202.8755861738641</v>
          </cell>
          <cell r="E116">
            <v>3055.6874635603426</v>
          </cell>
          <cell r="F116">
            <v>3439.5825156402584</v>
          </cell>
          <cell r="G116">
            <v>3493.5567011845969</v>
          </cell>
          <cell r="H116">
            <v>3838.0253055259163</v>
          </cell>
          <cell r="I116">
            <v>3782.6862062891291</v>
          </cell>
          <cell r="J116">
            <v>3872.9466019981292</v>
          </cell>
          <cell r="K116">
            <v>3739.2398221806907</v>
          </cell>
          <cell r="L116">
            <v>3476.0899269812298</v>
          </cell>
          <cell r="M116">
            <v>2993.2341931100941</v>
          </cell>
          <cell r="N116">
            <v>2739.1721276481057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19.bin"/><Relationship Id="rId1" Type="http://schemas.openxmlformats.org/officeDocument/2006/relationships/customProperty" Target="../customProperty1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1.bin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3.bin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customProperty" Target="../customProperty2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customProperty" Target="../customProperty2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29.bin"/><Relationship Id="rId1" Type="http://schemas.openxmlformats.org/officeDocument/2006/relationships/customProperty" Target="../customProperty2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1.bin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3.bin"/><Relationship Id="rId1" Type="http://schemas.openxmlformats.org/officeDocument/2006/relationships/customProperty" Target="../customProperty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15.bin"/><Relationship Id="rId1" Type="http://schemas.openxmlformats.org/officeDocument/2006/relationships/customProperty" Target="../customProperty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44"/>
  <sheetViews>
    <sheetView showGridLines="0" topLeftCell="A31" zoomScale="70" zoomScaleNormal="70" workbookViewId="0">
      <selection activeCell="A57" sqref="A57"/>
    </sheetView>
  </sheetViews>
  <sheetFormatPr defaultColWidth="9.6640625" defaultRowHeight="15"/>
  <cols>
    <col min="1" max="1" width="8.33203125" style="1" customWidth="1"/>
    <col min="2" max="13" width="7.21875" style="1" customWidth="1"/>
    <col min="14" max="14" width="12" style="1" customWidth="1"/>
    <col min="15" max="15" width="8.5546875" style="1" customWidth="1"/>
    <col min="16" max="16" width="9" style="1" customWidth="1"/>
    <col min="17" max="17" width="8.5546875" style="1" customWidth="1"/>
    <col min="18" max="22" width="9.6640625" style="1" customWidth="1"/>
    <col min="23" max="23" width="8.6640625" style="1" customWidth="1"/>
    <col min="24" max="24" width="5.6640625" style="1" customWidth="1"/>
    <col min="25" max="36" width="6.6640625" style="1" customWidth="1"/>
    <col min="37" max="37" width="7.6640625" style="1" customWidth="1"/>
    <col min="38" max="38" width="5.6640625" style="1" customWidth="1"/>
    <col min="39" max="50" width="6.6640625" style="1" customWidth="1"/>
    <col min="51" max="52" width="5.6640625" style="1" customWidth="1"/>
    <col min="53" max="64" width="6.6640625" style="1" customWidth="1"/>
    <col min="65" max="66" width="5.6640625" style="1" customWidth="1"/>
    <col min="67" max="78" width="6.6640625" style="1" customWidth="1"/>
    <col min="79" max="80" width="9.6640625" style="1" customWidth="1"/>
    <col min="81" max="82" width="9.6640625" style="1"/>
    <col min="83" max="83" width="3.77734375" style="225" bestFit="1" customWidth="1"/>
    <col min="84" max="84" width="5" style="225" bestFit="1" customWidth="1"/>
    <col min="85" max="85" width="9.6640625" style="225"/>
    <col min="86" max="16384" width="9.6640625" style="1"/>
  </cols>
  <sheetData>
    <row r="1" spans="1:78" ht="15.75" customHeight="1">
      <c r="A1" s="5" t="s">
        <v>0</v>
      </c>
      <c r="B1" s="3"/>
      <c r="C1" s="3"/>
      <c r="D1" s="3"/>
      <c r="E1" s="3"/>
      <c r="F1" s="3"/>
      <c r="G1" s="3"/>
      <c r="H1" s="3"/>
      <c r="I1" s="219" t="s">
        <v>14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15.75" customHeight="1">
      <c r="A2" s="2"/>
      <c r="B2" s="3"/>
      <c r="C2" s="3"/>
      <c r="D2" s="3"/>
      <c r="E2" s="3"/>
      <c r="F2" s="3"/>
      <c r="G2" s="3"/>
      <c r="H2" s="3"/>
      <c r="I2" s="219" t="s">
        <v>250</v>
      </c>
      <c r="J2" s="3"/>
      <c r="K2" s="3"/>
      <c r="L2" s="3"/>
      <c r="M2" s="3"/>
      <c r="N2" s="3"/>
      <c r="O2" s="3"/>
      <c r="P2" s="3"/>
      <c r="Q2" s="3"/>
      <c r="R2" s="3"/>
      <c r="S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15.75" customHeight="1">
      <c r="A3" s="2"/>
      <c r="B3" s="3"/>
      <c r="C3" s="3"/>
      <c r="D3" s="3"/>
      <c r="E3" s="3"/>
      <c r="F3" s="3"/>
      <c r="G3" s="3"/>
      <c r="H3" s="3"/>
      <c r="I3" s="21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5.75" customHeight="1">
      <c r="A4" s="3"/>
      <c r="B4" s="5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49" t="s">
        <v>251</v>
      </c>
      <c r="Q4" s="449"/>
      <c r="R4" s="3"/>
      <c r="S4" s="3"/>
      <c r="T4" s="3"/>
      <c r="U4" s="3"/>
      <c r="V4" s="3"/>
      <c r="W4" s="3"/>
      <c r="X4" s="3"/>
      <c r="Y4" s="5" t="s">
        <v>55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5" t="s">
        <v>56</v>
      </c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5" t="s">
        <v>57</v>
      </c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5" t="s">
        <v>58</v>
      </c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15.75" customHeight="1">
      <c r="A5" s="3"/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181" t="s">
        <v>48</v>
      </c>
      <c r="Q5" s="182" t="s">
        <v>50</v>
      </c>
      <c r="R5" s="7"/>
      <c r="S5" s="8"/>
      <c r="T5" s="9"/>
      <c r="U5" s="3"/>
      <c r="V5" s="3"/>
      <c r="W5" s="3"/>
      <c r="X5" s="3"/>
      <c r="Y5" s="5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5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5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5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5.75">
      <c r="A6" s="225"/>
      <c r="B6" s="421" t="s">
        <v>4</v>
      </c>
      <c r="C6" s="421" t="s">
        <v>8</v>
      </c>
      <c r="D6" s="421" t="s">
        <v>9</v>
      </c>
      <c r="E6" s="421" t="s">
        <v>10</v>
      </c>
      <c r="F6" s="421" t="s">
        <v>11</v>
      </c>
      <c r="G6" s="421" t="s">
        <v>12</v>
      </c>
      <c r="H6" s="421" t="s">
        <v>13</v>
      </c>
      <c r="I6" s="421" t="s">
        <v>15</v>
      </c>
      <c r="J6" s="421" t="s">
        <v>16</v>
      </c>
      <c r="K6" s="421" t="s">
        <v>17</v>
      </c>
      <c r="L6" s="421" t="s">
        <v>18</v>
      </c>
      <c r="M6" s="421" t="s">
        <v>19</v>
      </c>
      <c r="N6" s="3"/>
      <c r="O6" s="11"/>
      <c r="P6" s="424" t="s">
        <v>49</v>
      </c>
      <c r="Q6" s="180" t="s">
        <v>49</v>
      </c>
      <c r="R6" s="227" t="s">
        <v>96</v>
      </c>
      <c r="S6" s="13" t="s">
        <v>51</v>
      </c>
      <c r="T6" s="9"/>
      <c r="U6" s="3"/>
      <c r="V6" s="3"/>
      <c r="W6" s="3"/>
      <c r="X6" s="10"/>
      <c r="Y6" s="10" t="s">
        <v>4</v>
      </c>
      <c r="Z6" s="10" t="s">
        <v>8</v>
      </c>
      <c r="AA6" s="10" t="s">
        <v>9</v>
      </c>
      <c r="AB6" s="11" t="s">
        <v>10</v>
      </c>
      <c r="AC6" s="10" t="s">
        <v>11</v>
      </c>
      <c r="AD6" s="10" t="s">
        <v>12</v>
      </c>
      <c r="AE6" s="10" t="s">
        <v>13</v>
      </c>
      <c r="AF6" s="10" t="s">
        <v>15</v>
      </c>
      <c r="AG6" s="10" t="s">
        <v>16</v>
      </c>
      <c r="AH6" s="11" t="s">
        <v>17</v>
      </c>
      <c r="AI6" s="10" t="s">
        <v>18</v>
      </c>
      <c r="AJ6" s="10" t="s">
        <v>19</v>
      </c>
      <c r="AK6" s="10"/>
      <c r="AL6" s="10"/>
      <c r="AM6" s="10" t="s">
        <v>4</v>
      </c>
      <c r="AN6" s="10" t="s">
        <v>8</v>
      </c>
      <c r="AO6" s="10" t="s">
        <v>9</v>
      </c>
      <c r="AP6" s="10" t="s">
        <v>10</v>
      </c>
      <c r="AQ6" s="10" t="s">
        <v>11</v>
      </c>
      <c r="AR6" s="10" t="s">
        <v>12</v>
      </c>
      <c r="AS6" s="10" t="s">
        <v>13</v>
      </c>
      <c r="AT6" s="10" t="s">
        <v>15</v>
      </c>
      <c r="AU6" s="10" t="s">
        <v>16</v>
      </c>
      <c r="AV6" s="10" t="s">
        <v>17</v>
      </c>
      <c r="AW6" s="10" t="s">
        <v>18</v>
      </c>
      <c r="AX6" s="10" t="s">
        <v>19</v>
      </c>
      <c r="AY6" s="10"/>
      <c r="AZ6" s="10"/>
      <c r="BA6" s="10" t="s">
        <v>4</v>
      </c>
      <c r="BB6" s="10" t="s">
        <v>8</v>
      </c>
      <c r="BC6" s="10" t="s">
        <v>9</v>
      </c>
      <c r="BD6" s="10" t="s">
        <v>10</v>
      </c>
      <c r="BE6" s="10" t="s">
        <v>11</v>
      </c>
      <c r="BF6" s="10" t="s">
        <v>12</v>
      </c>
      <c r="BG6" s="10" t="s">
        <v>13</v>
      </c>
      <c r="BH6" s="10" t="s">
        <v>15</v>
      </c>
      <c r="BI6" s="10" t="s">
        <v>16</v>
      </c>
      <c r="BJ6" s="10" t="s">
        <v>17</v>
      </c>
      <c r="BK6" s="10" t="s">
        <v>18</v>
      </c>
      <c r="BL6" s="10" t="s">
        <v>19</v>
      </c>
      <c r="BM6" s="3"/>
      <c r="BN6" s="10"/>
      <c r="BO6" s="10" t="s">
        <v>4</v>
      </c>
      <c r="BP6" s="10" t="s">
        <v>8</v>
      </c>
      <c r="BQ6" s="10" t="s">
        <v>9</v>
      </c>
      <c r="BR6" s="10" t="s">
        <v>10</v>
      </c>
      <c r="BS6" s="10" t="s">
        <v>11</v>
      </c>
      <c r="BT6" s="10" t="s">
        <v>12</v>
      </c>
      <c r="BU6" s="10" t="s">
        <v>13</v>
      </c>
      <c r="BV6" s="10" t="s">
        <v>15</v>
      </c>
      <c r="BW6" s="10" t="s">
        <v>16</v>
      </c>
      <c r="BX6" s="10" t="s">
        <v>17</v>
      </c>
      <c r="BY6" s="10" t="s">
        <v>18</v>
      </c>
      <c r="BZ6" s="10" t="s">
        <v>19</v>
      </c>
    </row>
    <row r="7" spans="1:78" ht="15.75">
      <c r="A7" s="323">
        <v>1973</v>
      </c>
      <c r="B7" s="3">
        <v>1335</v>
      </c>
      <c r="C7" s="174">
        <v>1405</v>
      </c>
      <c r="D7" s="3">
        <v>1245</v>
      </c>
      <c r="E7" s="3">
        <v>1190</v>
      </c>
      <c r="F7" s="3">
        <v>1470</v>
      </c>
      <c r="G7" s="3">
        <v>1485</v>
      </c>
      <c r="H7" s="3">
        <v>1470</v>
      </c>
      <c r="I7" s="3">
        <v>1535</v>
      </c>
      <c r="J7" s="168">
        <v>1543</v>
      </c>
      <c r="K7" s="174">
        <v>1468</v>
      </c>
      <c r="L7" s="3">
        <v>1330</v>
      </c>
      <c r="M7" s="3">
        <v>1450</v>
      </c>
      <c r="N7"/>
      <c r="O7" s="25" t="s">
        <v>20</v>
      </c>
      <c r="P7" s="12"/>
      <c r="Q7" s="8">
        <f t="shared" ref="Q7:Q34" si="0">MAX(E7:J7)</f>
        <v>1543</v>
      </c>
      <c r="R7" s="7"/>
      <c r="S7" s="8">
        <f t="shared" ref="S7:S34" si="1">MAX(B7:D7)</f>
        <v>1405</v>
      </c>
      <c r="T7" s="9"/>
      <c r="U7" s="3"/>
      <c r="V7" s="3"/>
      <c r="W7" s="423"/>
      <c r="X7" s="3">
        <f>A7</f>
        <v>1973</v>
      </c>
      <c r="Y7" s="6"/>
      <c r="Z7" s="14"/>
      <c r="AA7" s="14"/>
      <c r="AB7" s="6"/>
      <c r="AC7" s="14"/>
      <c r="AD7" s="14"/>
      <c r="AE7" s="14"/>
      <c r="AF7" s="14"/>
      <c r="AG7" s="14"/>
      <c r="AH7" s="6"/>
      <c r="AI7" s="14"/>
      <c r="AJ7" s="14"/>
      <c r="AK7" s="9"/>
      <c r="AL7" s="3">
        <f>X7</f>
        <v>1973</v>
      </c>
      <c r="AM7" s="6"/>
      <c r="AN7" s="14"/>
      <c r="AO7" s="15"/>
      <c r="AP7" s="14"/>
      <c r="AQ7" s="14"/>
      <c r="AR7" s="14"/>
      <c r="AS7" s="14"/>
      <c r="AT7" s="14"/>
      <c r="AU7" s="14"/>
      <c r="AV7" s="14"/>
      <c r="AW7" s="14"/>
      <c r="AX7" s="14"/>
      <c r="AY7" s="3"/>
      <c r="AZ7" s="3">
        <f>AL7</f>
        <v>1973</v>
      </c>
      <c r="BA7" s="16">
        <f>'Total Retail'!B7/B7</f>
        <v>0.93033707865168536</v>
      </c>
      <c r="BB7" s="17">
        <f>'Total Retail'!C7/C7</f>
        <v>0.92526690391459077</v>
      </c>
      <c r="BC7" s="17">
        <f>'Total Retail'!D7/D7</f>
        <v>0.92449799196787152</v>
      </c>
      <c r="BD7" s="17">
        <f>'Total Retail'!E7/E7</f>
        <v>0.92268907563025215</v>
      </c>
      <c r="BE7" s="17">
        <f>'Total Retail'!F7/F7</f>
        <v>0.93265306122448977</v>
      </c>
      <c r="BF7" s="17">
        <f>'Total Retail'!G7/G7</f>
        <v>0.93400673400673395</v>
      </c>
      <c r="BG7" s="17">
        <f>'Total Retail'!H7/H7</f>
        <v>0.93401360544217682</v>
      </c>
      <c r="BH7" s="17">
        <f>'Total Retail'!I7/I7</f>
        <v>0.93420195439739417</v>
      </c>
      <c r="BI7" s="17">
        <f>'Total Retail'!J7/J7</f>
        <v>0.93389500972132211</v>
      </c>
      <c r="BJ7" s="17">
        <f>'Total Retail'!K7/K7</f>
        <v>0.93528610354223429</v>
      </c>
      <c r="BK7" s="17">
        <f>'Total Retail'!L7/L7</f>
        <v>0.93007518796992483</v>
      </c>
      <c r="BL7" s="17">
        <f>'Total Retail'!M7/M7</f>
        <v>0.9420689655172414</v>
      </c>
      <c r="BM7" s="3"/>
      <c r="BN7" s="3">
        <f>AZ7</f>
        <v>1973</v>
      </c>
      <c r="BO7" s="16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78" ht="15.75">
      <c r="A8" s="323">
        <v>1974</v>
      </c>
      <c r="B8" s="3">
        <v>1240</v>
      </c>
      <c r="C8" s="3">
        <v>1435</v>
      </c>
      <c r="D8" s="3">
        <v>1325</v>
      </c>
      <c r="E8" s="3">
        <v>1420</v>
      </c>
      <c r="F8" s="3">
        <v>1490</v>
      </c>
      <c r="G8" s="3">
        <v>1605</v>
      </c>
      <c r="H8" s="3">
        <v>1515</v>
      </c>
      <c r="I8" s="3">
        <v>1570</v>
      </c>
      <c r="J8" s="168">
        <v>1625</v>
      </c>
      <c r="K8" s="3">
        <v>1395</v>
      </c>
      <c r="L8" s="3">
        <v>1328</v>
      </c>
      <c r="M8" s="3">
        <v>1530</v>
      </c>
      <c r="N8"/>
      <c r="O8" s="26" t="s">
        <v>21</v>
      </c>
      <c r="P8" s="12">
        <f t="shared" ref="P8:P34" si="2">MAX(R8:S8)</f>
        <v>1450</v>
      </c>
      <c r="Q8" s="13">
        <f t="shared" si="0"/>
        <v>1625</v>
      </c>
      <c r="R8" s="12">
        <f>MAX(L7:M7)</f>
        <v>1450</v>
      </c>
      <c r="S8" s="13">
        <f t="shared" si="1"/>
        <v>1435</v>
      </c>
      <c r="T8" s="9"/>
      <c r="U8" s="3"/>
      <c r="V8" s="3"/>
      <c r="W8" s="423"/>
      <c r="X8" s="3">
        <f t="shared" ref="X8:X40" si="3">A8</f>
        <v>1974</v>
      </c>
      <c r="Y8" s="18">
        <f>B8/$P8</f>
        <v>0.85517241379310349</v>
      </c>
      <c r="Z8" s="19">
        <f t="shared" ref="Z8:Z40" si="4">C8/$P8</f>
        <v>0.98965517241379308</v>
      </c>
      <c r="AA8" s="19">
        <f t="shared" ref="AA8:AA40" si="5">D8/$P8</f>
        <v>0.91379310344827591</v>
      </c>
      <c r="AB8" s="18">
        <f t="shared" ref="AB8:AB40" si="6">E8/$Q8</f>
        <v>0.87384615384615383</v>
      </c>
      <c r="AC8" s="19">
        <f t="shared" ref="AC8:AC40" si="7">F8/$Q8</f>
        <v>0.91692307692307695</v>
      </c>
      <c r="AD8" s="19">
        <f t="shared" ref="AD8:AD40" si="8">G8/$Q8</f>
        <v>0.98769230769230765</v>
      </c>
      <c r="AE8" s="19">
        <f t="shared" ref="AE8:AE40" si="9">H8/$Q8</f>
        <v>0.93230769230769228</v>
      </c>
      <c r="AF8" s="19">
        <f t="shared" ref="AF8:AF40" si="10">I8/$Q8</f>
        <v>0.96615384615384614</v>
      </c>
      <c r="AG8" s="19">
        <f t="shared" ref="AG8:AG40" si="11">J8/$Q8</f>
        <v>1</v>
      </c>
      <c r="AH8" s="18">
        <f t="shared" ref="AH8:AH39" si="12">K8/$P9</f>
        <v>0.88291139240506333</v>
      </c>
      <c r="AI8" s="19">
        <f t="shared" ref="AI8:AI39" si="13">L8/$P9</f>
        <v>0.84050632911392409</v>
      </c>
      <c r="AJ8" s="19">
        <f t="shared" ref="AJ8:AJ39" si="14">M8/$P9</f>
        <v>0.96835443037974689</v>
      </c>
      <c r="AK8" s="9"/>
      <c r="AL8" s="3">
        <f t="shared" ref="AL8:AL39" si="15">X8</f>
        <v>1974</v>
      </c>
      <c r="AM8" s="9">
        <f>B8-B7</f>
        <v>-95</v>
      </c>
      <c r="AN8" s="3">
        <f t="shared" ref="AN8:AN33" si="16">C8-C7</f>
        <v>30</v>
      </c>
      <c r="AO8" s="3">
        <f t="shared" ref="AO8:AO33" si="17">D8-D7</f>
        <v>80</v>
      </c>
      <c r="AP8" s="3">
        <f t="shared" ref="AP8:AP33" si="18">E8-E7</f>
        <v>230</v>
      </c>
      <c r="AQ8" s="3">
        <f t="shared" ref="AQ8:AQ33" si="19">F8-F7</f>
        <v>20</v>
      </c>
      <c r="AR8" s="3">
        <f t="shared" ref="AR8:AR33" si="20">G8-G7</f>
        <v>120</v>
      </c>
      <c r="AS8" s="3">
        <f t="shared" ref="AS8:AS33" si="21">H8-H7</f>
        <v>45</v>
      </c>
      <c r="AT8" s="3">
        <f t="shared" ref="AT8:AT33" si="22">I8-I7</f>
        <v>35</v>
      </c>
      <c r="AU8" s="3">
        <f t="shared" ref="AU8:AU33" si="23">J8-J7</f>
        <v>82</v>
      </c>
      <c r="AV8" s="3">
        <f t="shared" ref="AV8:AV33" si="24">K8-K7</f>
        <v>-73</v>
      </c>
      <c r="AW8" s="3">
        <f t="shared" ref="AW8:AW33" si="25">L8-L7</f>
        <v>-2</v>
      </c>
      <c r="AX8" s="3">
        <f t="shared" ref="AX8:AX33" si="26">M8-M7</f>
        <v>80</v>
      </c>
      <c r="AY8" s="3"/>
      <c r="AZ8" s="3">
        <f t="shared" ref="AZ8:AZ39" si="27">AL8</f>
        <v>1974</v>
      </c>
      <c r="BA8" s="18">
        <f>'Total Retail'!B8/B8</f>
        <v>0.93387096774193545</v>
      </c>
      <c r="BB8" s="19">
        <f>'Total Retail'!C8/C8</f>
        <v>0.9233449477351916</v>
      </c>
      <c r="BC8" s="19">
        <f>'Total Retail'!D8/D8</f>
        <v>0.93811320754716976</v>
      </c>
      <c r="BD8" s="19">
        <f>'Total Retail'!E8/E8</f>
        <v>0.93943661971830983</v>
      </c>
      <c r="BE8" s="19">
        <f>'Total Retail'!F8/F8</f>
        <v>0.93557046979865777</v>
      </c>
      <c r="BF8" s="19">
        <f>'Total Retail'!G8/G8</f>
        <v>0.92585669781931468</v>
      </c>
      <c r="BG8" s="19">
        <f>'Total Retail'!H8/H8</f>
        <v>0.93135313531353137</v>
      </c>
      <c r="BH8" s="19">
        <f>'Total Retail'!I8/I8</f>
        <v>0.92866242038216562</v>
      </c>
      <c r="BI8" s="19">
        <f>'Total Retail'!J8/J8</f>
        <v>0.93969230769230772</v>
      </c>
      <c r="BJ8" s="19">
        <f>'Total Retail'!K8/K8</f>
        <v>0.9311827956989247</v>
      </c>
      <c r="BK8" s="19">
        <f>'Total Retail'!L8/L8</f>
        <v>0.9375</v>
      </c>
      <c r="BL8" s="19">
        <f>'Total Retail'!M8/M8</f>
        <v>0.93398692810457518</v>
      </c>
      <c r="BM8" s="3"/>
      <c r="BN8" s="3">
        <f t="shared" ref="BN8:BN39" si="28">AZ8</f>
        <v>1974</v>
      </c>
      <c r="BO8" s="18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ht="15.75">
      <c r="A9" s="323">
        <v>1975</v>
      </c>
      <c r="B9" s="174">
        <v>1580</v>
      </c>
      <c r="C9" s="3">
        <v>1355</v>
      </c>
      <c r="D9" s="3">
        <v>1460</v>
      </c>
      <c r="E9" s="3">
        <v>1560</v>
      </c>
      <c r="F9" s="3">
        <v>1600</v>
      </c>
      <c r="G9" s="168">
        <v>1660</v>
      </c>
      <c r="H9" s="3">
        <v>1605</v>
      </c>
      <c r="I9" s="3">
        <v>1615</v>
      </c>
      <c r="J9" s="3">
        <v>1580</v>
      </c>
      <c r="K9" s="3">
        <v>1540</v>
      </c>
      <c r="L9" s="3">
        <v>1500</v>
      </c>
      <c r="M9" s="3">
        <v>1665</v>
      </c>
      <c r="N9"/>
      <c r="O9" s="26" t="s">
        <v>22</v>
      </c>
      <c r="P9" s="12">
        <f t="shared" si="2"/>
        <v>1580</v>
      </c>
      <c r="Q9" s="13">
        <f t="shared" si="0"/>
        <v>1660</v>
      </c>
      <c r="R9" s="12">
        <f>MAX(L8:M8)</f>
        <v>1530</v>
      </c>
      <c r="S9" s="13">
        <f t="shared" si="1"/>
        <v>1580</v>
      </c>
      <c r="T9" s="9"/>
      <c r="U9" s="3"/>
      <c r="V9" s="3"/>
      <c r="W9" s="423"/>
      <c r="X9" s="3">
        <f t="shared" si="3"/>
        <v>1975</v>
      </c>
      <c r="Y9" s="18">
        <f t="shared" ref="Y9:Y40" si="29">B9/$P9</f>
        <v>1</v>
      </c>
      <c r="Z9" s="19">
        <f t="shared" si="4"/>
        <v>0.85759493670886078</v>
      </c>
      <c r="AA9" s="19">
        <f t="shared" si="5"/>
        <v>0.92405063291139244</v>
      </c>
      <c r="AB9" s="18">
        <f t="shared" si="6"/>
        <v>0.93975903614457834</v>
      </c>
      <c r="AC9" s="19">
        <f t="shared" si="7"/>
        <v>0.96385542168674698</v>
      </c>
      <c r="AD9" s="19">
        <f t="shared" si="8"/>
        <v>1</v>
      </c>
      <c r="AE9" s="19">
        <f t="shared" si="9"/>
        <v>0.9668674698795181</v>
      </c>
      <c r="AF9" s="19">
        <f t="shared" si="10"/>
        <v>0.97289156626506024</v>
      </c>
      <c r="AG9" s="19">
        <f t="shared" si="11"/>
        <v>0.95180722891566261</v>
      </c>
      <c r="AH9" s="18">
        <f t="shared" si="12"/>
        <v>0.84615384615384615</v>
      </c>
      <c r="AI9" s="19">
        <f t="shared" si="13"/>
        <v>0.82417582417582413</v>
      </c>
      <c r="AJ9" s="19">
        <f t="shared" si="14"/>
        <v>0.9148351648351648</v>
      </c>
      <c r="AK9" s="9"/>
      <c r="AL9" s="3">
        <f t="shared" si="15"/>
        <v>1975</v>
      </c>
      <c r="AM9" s="9">
        <f t="shared" ref="AM9:AM39" si="30">B9-B8</f>
        <v>340</v>
      </c>
      <c r="AN9" s="3">
        <f t="shared" si="16"/>
        <v>-80</v>
      </c>
      <c r="AO9" s="3">
        <f t="shared" si="17"/>
        <v>135</v>
      </c>
      <c r="AP9" s="3">
        <f t="shared" si="18"/>
        <v>140</v>
      </c>
      <c r="AQ9" s="3">
        <f t="shared" si="19"/>
        <v>110</v>
      </c>
      <c r="AR9" s="3">
        <f t="shared" si="20"/>
        <v>55</v>
      </c>
      <c r="AS9" s="3">
        <f t="shared" si="21"/>
        <v>90</v>
      </c>
      <c r="AT9" s="3">
        <f t="shared" si="22"/>
        <v>45</v>
      </c>
      <c r="AU9" s="3">
        <f t="shared" si="23"/>
        <v>-45</v>
      </c>
      <c r="AV9" s="3">
        <f t="shared" si="24"/>
        <v>145</v>
      </c>
      <c r="AW9" s="3">
        <f t="shared" si="25"/>
        <v>172</v>
      </c>
      <c r="AX9" s="3">
        <f t="shared" si="26"/>
        <v>135</v>
      </c>
      <c r="AY9" s="3"/>
      <c r="AZ9" s="3">
        <f t="shared" si="27"/>
        <v>1975</v>
      </c>
      <c r="BA9" s="18">
        <f>'Total Retail'!B9/B9</f>
        <v>0.92278481012658231</v>
      </c>
      <c r="BB9" s="19">
        <f>'Total Retail'!C9/C9</f>
        <v>0.93062730627306278</v>
      </c>
      <c r="BC9" s="19">
        <f>'Total Retail'!D9/D9</f>
        <v>0.93493150684931503</v>
      </c>
      <c r="BD9" s="19">
        <f>'Total Retail'!E9/E9</f>
        <v>0.93782051282051282</v>
      </c>
      <c r="BE9" s="19">
        <f>'Total Retail'!F9/F9</f>
        <v>0.94125000000000003</v>
      </c>
      <c r="BF9" s="19">
        <f>'Total Retail'!G9/G9</f>
        <v>0.94277108433734935</v>
      </c>
      <c r="BG9" s="19">
        <f>'Total Retail'!H9/H9</f>
        <v>0.93956386292834893</v>
      </c>
      <c r="BH9" s="19">
        <f>'Total Retail'!I9/I9</f>
        <v>0.94427244582043346</v>
      </c>
      <c r="BI9" s="19">
        <f>'Total Retail'!J9/J9</f>
        <v>0.92594936708860764</v>
      </c>
      <c r="BJ9" s="19">
        <f>'Total Retail'!K9/K9</f>
        <v>0.93181818181818177</v>
      </c>
      <c r="BK9" s="19">
        <f>'Total Retail'!L9/L9</f>
        <v>0.92466666666666664</v>
      </c>
      <c r="BL9" s="19">
        <f>'Total Retail'!M9/M9</f>
        <v>0.93933933933933933</v>
      </c>
      <c r="BM9" s="3"/>
      <c r="BN9" s="3">
        <f t="shared" si="28"/>
        <v>1975</v>
      </c>
      <c r="BO9" s="18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ht="15.75">
      <c r="A10" s="323">
        <v>1976</v>
      </c>
      <c r="B10" s="174">
        <v>1820</v>
      </c>
      <c r="C10" s="3">
        <v>1590</v>
      </c>
      <c r="D10" s="3">
        <v>1390</v>
      </c>
      <c r="E10" s="3">
        <v>1375</v>
      </c>
      <c r="F10" s="3">
        <v>1455</v>
      </c>
      <c r="G10" s="3">
        <v>1545</v>
      </c>
      <c r="H10" s="3">
        <v>1655</v>
      </c>
      <c r="I10" s="3">
        <v>1655</v>
      </c>
      <c r="J10" s="168">
        <v>1670</v>
      </c>
      <c r="K10" s="3">
        <v>1620</v>
      </c>
      <c r="L10" s="3">
        <v>1765</v>
      </c>
      <c r="M10" s="3">
        <v>1760</v>
      </c>
      <c r="N10"/>
      <c r="O10" s="26" t="s">
        <v>23</v>
      </c>
      <c r="P10" s="12">
        <f t="shared" si="2"/>
        <v>1820</v>
      </c>
      <c r="Q10" s="13">
        <f t="shared" si="0"/>
        <v>1670</v>
      </c>
      <c r="R10" s="12">
        <f>MAX(L9:M9)</f>
        <v>1665</v>
      </c>
      <c r="S10" s="13">
        <f t="shared" si="1"/>
        <v>1820</v>
      </c>
      <c r="T10" s="9"/>
      <c r="U10" s="3"/>
      <c r="V10" s="3"/>
      <c r="W10" s="423"/>
      <c r="X10" s="3">
        <f t="shared" si="3"/>
        <v>1976</v>
      </c>
      <c r="Y10" s="18">
        <f t="shared" si="29"/>
        <v>1</v>
      </c>
      <c r="Z10" s="19">
        <f t="shared" si="4"/>
        <v>0.87362637362637363</v>
      </c>
      <c r="AA10" s="19">
        <f t="shared" si="5"/>
        <v>0.76373626373626369</v>
      </c>
      <c r="AB10" s="18">
        <f t="shared" si="6"/>
        <v>0.82335329341317365</v>
      </c>
      <c r="AC10" s="19">
        <f t="shared" si="7"/>
        <v>0.87125748502994016</v>
      </c>
      <c r="AD10" s="19">
        <f t="shared" si="8"/>
        <v>0.92514970059880242</v>
      </c>
      <c r="AE10" s="19">
        <f t="shared" si="9"/>
        <v>0.99101796407185627</v>
      </c>
      <c r="AF10" s="19">
        <f t="shared" si="10"/>
        <v>0.99101796407185627</v>
      </c>
      <c r="AG10" s="19">
        <f t="shared" si="11"/>
        <v>1</v>
      </c>
      <c r="AH10" s="18">
        <f t="shared" si="12"/>
        <v>0.8393782383419689</v>
      </c>
      <c r="AI10" s="19">
        <f t="shared" si="13"/>
        <v>0.91450777202072542</v>
      </c>
      <c r="AJ10" s="19">
        <f t="shared" si="14"/>
        <v>0.91191709844559588</v>
      </c>
      <c r="AK10" s="9"/>
      <c r="AL10" s="3">
        <f t="shared" si="15"/>
        <v>1976</v>
      </c>
      <c r="AM10" s="9">
        <f t="shared" si="30"/>
        <v>240</v>
      </c>
      <c r="AN10" s="3">
        <f t="shared" si="16"/>
        <v>235</v>
      </c>
      <c r="AO10" s="3">
        <f t="shared" si="17"/>
        <v>-70</v>
      </c>
      <c r="AP10" s="3">
        <f t="shared" si="18"/>
        <v>-185</v>
      </c>
      <c r="AQ10" s="3">
        <f t="shared" si="19"/>
        <v>-145</v>
      </c>
      <c r="AR10" s="3">
        <f t="shared" si="20"/>
        <v>-115</v>
      </c>
      <c r="AS10" s="3">
        <f t="shared" si="21"/>
        <v>50</v>
      </c>
      <c r="AT10" s="3">
        <f t="shared" si="22"/>
        <v>40</v>
      </c>
      <c r="AU10" s="3">
        <f t="shared" si="23"/>
        <v>90</v>
      </c>
      <c r="AV10" s="3">
        <f t="shared" si="24"/>
        <v>80</v>
      </c>
      <c r="AW10" s="3">
        <f t="shared" si="25"/>
        <v>265</v>
      </c>
      <c r="AX10" s="3">
        <f t="shared" si="26"/>
        <v>95</v>
      </c>
      <c r="AY10" s="3"/>
      <c r="AZ10" s="3">
        <f t="shared" si="27"/>
        <v>1976</v>
      </c>
      <c r="BA10" s="18">
        <f>'Total Retail'!B10/B10</f>
        <v>0.93021978021978025</v>
      </c>
      <c r="BB10" s="19">
        <f>'Total Retail'!C10/C10</f>
        <v>0.92641509433962266</v>
      </c>
      <c r="BC10" s="19">
        <f>'Total Retail'!D10/D10</f>
        <v>0.9323741007194245</v>
      </c>
      <c r="BD10" s="19">
        <f>'Total Retail'!E10/E10</f>
        <v>0.93309090909090908</v>
      </c>
      <c r="BE10" s="19">
        <f>'Total Retail'!F10/F10</f>
        <v>0.93814432989690721</v>
      </c>
      <c r="BF10" s="19">
        <f>'Total Retail'!G10/G10</f>
        <v>0.9398058252427185</v>
      </c>
      <c r="BG10" s="19">
        <f>'Total Retail'!H10/H10</f>
        <v>0.93836858006042301</v>
      </c>
      <c r="BH10" s="19">
        <f>'Total Retail'!I10/I10</f>
        <v>0.93716012084592148</v>
      </c>
      <c r="BI10" s="19">
        <f>'Total Retail'!J10/J10</f>
        <v>0.93892215568862281</v>
      </c>
      <c r="BJ10" s="19">
        <f>'Total Retail'!K10/K10</f>
        <v>0.92962962962962958</v>
      </c>
      <c r="BK10" s="19">
        <f>'Total Retail'!L10/L10</f>
        <v>0.94050991501416425</v>
      </c>
      <c r="BL10" s="19">
        <f>'Total Retail'!M10/M10</f>
        <v>0.94147727272727277</v>
      </c>
      <c r="BM10" s="3"/>
      <c r="BN10" s="3">
        <f t="shared" si="28"/>
        <v>1976</v>
      </c>
      <c r="BO10" s="18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ht="15.75">
      <c r="A11" s="323">
        <v>1977</v>
      </c>
      <c r="B11" s="174">
        <v>1930</v>
      </c>
      <c r="C11" s="3">
        <v>1830</v>
      </c>
      <c r="D11" s="3">
        <v>1555</v>
      </c>
      <c r="E11" s="3">
        <v>1510</v>
      </c>
      <c r="F11" s="3">
        <v>1568</v>
      </c>
      <c r="G11" s="168">
        <v>1835</v>
      </c>
      <c r="H11" s="3">
        <v>1750</v>
      </c>
      <c r="I11" s="3">
        <v>1725</v>
      </c>
      <c r="J11" s="3">
        <v>1800</v>
      </c>
      <c r="K11" s="3">
        <v>1640</v>
      </c>
      <c r="L11" s="3">
        <v>1472</v>
      </c>
      <c r="M11" s="3">
        <v>1795</v>
      </c>
      <c r="N11"/>
      <c r="O11" s="26" t="s">
        <v>24</v>
      </c>
      <c r="P11" s="12">
        <f t="shared" si="2"/>
        <v>1930</v>
      </c>
      <c r="Q11" s="13">
        <f t="shared" si="0"/>
        <v>1835</v>
      </c>
      <c r="R11" s="12">
        <f t="shared" ref="R11:R41" si="31">MAX(L10:M10)</f>
        <v>1765</v>
      </c>
      <c r="S11" s="13">
        <f t="shared" si="1"/>
        <v>1930</v>
      </c>
      <c r="T11" s="9"/>
      <c r="U11" s="3"/>
      <c r="V11" s="3"/>
      <c r="W11" s="423"/>
      <c r="X11" s="3">
        <f t="shared" si="3"/>
        <v>1977</v>
      </c>
      <c r="Y11" s="18">
        <f t="shared" si="29"/>
        <v>1</v>
      </c>
      <c r="Z11" s="19">
        <f t="shared" si="4"/>
        <v>0.94818652849740936</v>
      </c>
      <c r="AA11" s="19">
        <f t="shared" si="5"/>
        <v>0.80569948186528495</v>
      </c>
      <c r="AB11" s="18">
        <f t="shared" si="6"/>
        <v>0.82288828337874664</v>
      </c>
      <c r="AC11" s="19">
        <f t="shared" si="7"/>
        <v>0.85449591280653947</v>
      </c>
      <c r="AD11" s="19">
        <f t="shared" si="8"/>
        <v>1</v>
      </c>
      <c r="AE11" s="19">
        <f t="shared" si="9"/>
        <v>0.9536784741144414</v>
      </c>
      <c r="AF11" s="19">
        <f t="shared" si="10"/>
        <v>0.94005449591280654</v>
      </c>
      <c r="AG11" s="19">
        <f t="shared" si="11"/>
        <v>0.98092643051771122</v>
      </c>
      <c r="AH11" s="18">
        <f t="shared" si="12"/>
        <v>0.80987654320987656</v>
      </c>
      <c r="AI11" s="19">
        <f t="shared" si="13"/>
        <v>0.72691358024691355</v>
      </c>
      <c r="AJ11" s="19">
        <f t="shared" si="14"/>
        <v>0.88641975308641974</v>
      </c>
      <c r="AK11" s="9"/>
      <c r="AL11" s="3">
        <f t="shared" si="15"/>
        <v>1977</v>
      </c>
      <c r="AM11" s="9">
        <f t="shared" si="30"/>
        <v>110</v>
      </c>
      <c r="AN11" s="3">
        <f t="shared" si="16"/>
        <v>240</v>
      </c>
      <c r="AO11" s="3">
        <f t="shared" si="17"/>
        <v>165</v>
      </c>
      <c r="AP11" s="3">
        <f t="shared" si="18"/>
        <v>135</v>
      </c>
      <c r="AQ11" s="3">
        <f t="shared" si="19"/>
        <v>113</v>
      </c>
      <c r="AR11" s="3">
        <f t="shared" si="20"/>
        <v>290</v>
      </c>
      <c r="AS11" s="3">
        <f t="shared" si="21"/>
        <v>95</v>
      </c>
      <c r="AT11" s="3">
        <f t="shared" si="22"/>
        <v>70</v>
      </c>
      <c r="AU11" s="3">
        <f t="shared" si="23"/>
        <v>130</v>
      </c>
      <c r="AV11" s="3">
        <f t="shared" si="24"/>
        <v>20</v>
      </c>
      <c r="AW11" s="3">
        <f t="shared" si="25"/>
        <v>-293</v>
      </c>
      <c r="AX11" s="3">
        <f t="shared" si="26"/>
        <v>35</v>
      </c>
      <c r="AY11" s="3"/>
      <c r="AZ11" s="3">
        <f t="shared" si="27"/>
        <v>1977</v>
      </c>
      <c r="BA11" s="18">
        <f>'Total Retail'!B11/B11</f>
        <v>0.92435233160621766</v>
      </c>
      <c r="BB11" s="19">
        <f>'Total Retail'!C11/C11</f>
        <v>0.93989071038251371</v>
      </c>
      <c r="BC11" s="19">
        <f>'Total Retail'!D11/D11</f>
        <v>0.90803858520900327</v>
      </c>
      <c r="BD11" s="19">
        <f>'Total Retail'!E11/E11</f>
        <v>0.90860927152317883</v>
      </c>
      <c r="BE11" s="19">
        <f>'Total Retail'!F11/F11</f>
        <v>0.91772959183673475</v>
      </c>
      <c r="BF11" s="19">
        <f>'Total Retail'!G11/G11</f>
        <v>0.93732970027247953</v>
      </c>
      <c r="BG11" s="19">
        <f>'Total Retail'!H11/H11</f>
        <v>0.94228571428571428</v>
      </c>
      <c r="BH11" s="19">
        <f>'Total Retail'!I11/I11</f>
        <v>0.93101449275362314</v>
      </c>
      <c r="BI11" s="19">
        <f>'Total Retail'!J11/J11</f>
        <v>0.93666666666666665</v>
      </c>
      <c r="BJ11" s="19">
        <f>'Total Retail'!K11/K11</f>
        <v>0.93963414634146336</v>
      </c>
      <c r="BK11" s="19">
        <f>'Total Retail'!L11/L11</f>
        <v>0.93614130434782605</v>
      </c>
      <c r="BL11" s="19">
        <f>'Total Retail'!M11/M11</f>
        <v>0.93871866295264628</v>
      </c>
      <c r="BM11" s="3"/>
      <c r="BN11" s="3">
        <f t="shared" si="28"/>
        <v>1977</v>
      </c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ht="15.75">
      <c r="A12" s="323">
        <v>1978</v>
      </c>
      <c r="B12" s="174">
        <v>2025</v>
      </c>
      <c r="C12" s="3">
        <v>2017</v>
      </c>
      <c r="D12" s="3">
        <v>1700</v>
      </c>
      <c r="E12" s="3">
        <v>1550</v>
      </c>
      <c r="F12" s="3">
        <v>1870</v>
      </c>
      <c r="G12" s="3">
        <v>1900</v>
      </c>
      <c r="H12" s="3">
        <v>1840</v>
      </c>
      <c r="I12" s="168">
        <v>1900</v>
      </c>
      <c r="J12" s="3">
        <v>1850</v>
      </c>
      <c r="K12" s="3">
        <v>1720</v>
      </c>
      <c r="L12" s="3">
        <v>1575</v>
      </c>
      <c r="M12" s="3">
        <v>1730</v>
      </c>
      <c r="N12"/>
      <c r="O12" s="26" t="s">
        <v>25</v>
      </c>
      <c r="P12" s="12">
        <f t="shared" si="2"/>
        <v>2025</v>
      </c>
      <c r="Q12" s="13">
        <f t="shared" si="0"/>
        <v>1900</v>
      </c>
      <c r="R12" s="12">
        <f t="shared" si="31"/>
        <v>1795</v>
      </c>
      <c r="S12" s="13">
        <f t="shared" si="1"/>
        <v>2025</v>
      </c>
      <c r="T12" s="9"/>
      <c r="U12" s="3"/>
      <c r="V12" s="3"/>
      <c r="W12" s="423"/>
      <c r="X12" s="3">
        <f t="shared" si="3"/>
        <v>1978</v>
      </c>
      <c r="Y12" s="18">
        <f t="shared" si="29"/>
        <v>1</v>
      </c>
      <c r="Z12" s="19">
        <f t="shared" si="4"/>
        <v>0.99604938271604937</v>
      </c>
      <c r="AA12" s="19">
        <f t="shared" si="5"/>
        <v>0.83950617283950613</v>
      </c>
      <c r="AB12" s="18">
        <f t="shared" si="6"/>
        <v>0.81578947368421051</v>
      </c>
      <c r="AC12" s="19">
        <f t="shared" si="7"/>
        <v>0.98421052631578942</v>
      </c>
      <c r="AD12" s="19">
        <f t="shared" si="8"/>
        <v>1</v>
      </c>
      <c r="AE12" s="19">
        <f t="shared" si="9"/>
        <v>0.96842105263157896</v>
      </c>
      <c r="AF12" s="19">
        <f t="shared" si="10"/>
        <v>1</v>
      </c>
      <c r="AG12" s="19">
        <f t="shared" si="11"/>
        <v>0.97368421052631582</v>
      </c>
      <c r="AH12" s="18">
        <f t="shared" si="12"/>
        <v>0.81516587677725116</v>
      </c>
      <c r="AI12" s="19">
        <f t="shared" si="13"/>
        <v>0.74644549763033174</v>
      </c>
      <c r="AJ12" s="19">
        <f t="shared" si="14"/>
        <v>0.81990521327014221</v>
      </c>
      <c r="AK12" s="9"/>
      <c r="AL12" s="3">
        <f t="shared" si="15"/>
        <v>1978</v>
      </c>
      <c r="AM12" s="9">
        <f t="shared" si="30"/>
        <v>95</v>
      </c>
      <c r="AN12" s="3">
        <f t="shared" si="16"/>
        <v>187</v>
      </c>
      <c r="AO12" s="3">
        <f t="shared" si="17"/>
        <v>145</v>
      </c>
      <c r="AP12" s="3">
        <f t="shared" si="18"/>
        <v>40</v>
      </c>
      <c r="AQ12" s="3">
        <f t="shared" si="19"/>
        <v>302</v>
      </c>
      <c r="AR12" s="3">
        <f t="shared" si="20"/>
        <v>65</v>
      </c>
      <c r="AS12" s="3">
        <f t="shared" si="21"/>
        <v>90</v>
      </c>
      <c r="AT12" s="3">
        <f t="shared" si="22"/>
        <v>175</v>
      </c>
      <c r="AU12" s="3">
        <f t="shared" si="23"/>
        <v>50</v>
      </c>
      <c r="AV12" s="3">
        <f t="shared" si="24"/>
        <v>80</v>
      </c>
      <c r="AW12" s="3">
        <f t="shared" si="25"/>
        <v>103</v>
      </c>
      <c r="AX12" s="3">
        <f t="shared" si="26"/>
        <v>-65</v>
      </c>
      <c r="AY12" s="3"/>
      <c r="AZ12" s="3">
        <f t="shared" si="27"/>
        <v>1978</v>
      </c>
      <c r="BA12" s="18">
        <f>'Total Retail'!B12/B12</f>
        <v>0.91901234567901235</v>
      </c>
      <c r="BB12" s="19">
        <f>'Total Retail'!C12/C12</f>
        <v>0.93753098661378287</v>
      </c>
      <c r="BC12" s="19">
        <f>'Total Retail'!D12/D12</f>
        <v>0.92352941176470593</v>
      </c>
      <c r="BD12" s="19">
        <f>'Total Retail'!E12/E12</f>
        <v>0.93483870967741933</v>
      </c>
      <c r="BE12" s="19">
        <f>'Total Retail'!F12/F12</f>
        <v>0.92834224598930482</v>
      </c>
      <c r="BF12" s="19">
        <f>'Total Retail'!G12/G12</f>
        <v>0.93684210526315792</v>
      </c>
      <c r="BG12" s="19">
        <f>'Total Retail'!H12/H12</f>
        <v>0.93532608695652175</v>
      </c>
      <c r="BH12" s="19">
        <f>'Total Retail'!I12/I12</f>
        <v>0.92789473684210522</v>
      </c>
      <c r="BI12" s="19">
        <f>'Total Retail'!J12/J12</f>
        <v>0.92918918918918914</v>
      </c>
      <c r="BJ12" s="19">
        <f>'Total Retail'!K12/K12</f>
        <v>0.92441860465116277</v>
      </c>
      <c r="BK12" s="19">
        <f>'Total Retail'!L12/L12</f>
        <v>0.94222222222222218</v>
      </c>
      <c r="BL12" s="19">
        <f>'Total Retail'!M12/M12</f>
        <v>0.94046242774566469</v>
      </c>
      <c r="BM12" s="3"/>
      <c r="BN12" s="3">
        <f t="shared" si="28"/>
        <v>1978</v>
      </c>
      <c r="BO12" s="18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ht="15.75">
      <c r="A13" s="323">
        <v>1979</v>
      </c>
      <c r="B13" s="174">
        <v>2110</v>
      </c>
      <c r="C13" s="3">
        <v>2000</v>
      </c>
      <c r="D13" s="3">
        <v>1620</v>
      </c>
      <c r="E13" s="3">
        <v>1690</v>
      </c>
      <c r="F13" s="3">
        <v>1725</v>
      </c>
      <c r="G13" s="3">
        <v>1900</v>
      </c>
      <c r="H13" s="168">
        <v>1930</v>
      </c>
      <c r="I13" s="3">
        <v>1895</v>
      </c>
      <c r="J13" s="3">
        <v>1895</v>
      </c>
      <c r="K13" s="3">
        <v>1800</v>
      </c>
      <c r="L13" s="3">
        <v>1810</v>
      </c>
      <c r="M13" s="3">
        <v>1745</v>
      </c>
      <c r="N13"/>
      <c r="O13" s="26" t="s">
        <v>26</v>
      </c>
      <c r="P13" s="12">
        <f t="shared" si="2"/>
        <v>2110</v>
      </c>
      <c r="Q13" s="13">
        <f t="shared" si="0"/>
        <v>1930</v>
      </c>
      <c r="R13" s="12">
        <f t="shared" si="31"/>
        <v>1730</v>
      </c>
      <c r="S13" s="13">
        <f t="shared" si="1"/>
        <v>2110</v>
      </c>
      <c r="T13" s="9"/>
      <c r="U13" s="3"/>
      <c r="V13" s="3"/>
      <c r="W13" s="423"/>
      <c r="X13" s="3">
        <f t="shared" si="3"/>
        <v>1979</v>
      </c>
      <c r="Y13" s="18">
        <f t="shared" si="29"/>
        <v>1</v>
      </c>
      <c r="Z13" s="19">
        <f t="shared" si="4"/>
        <v>0.94786729857819907</v>
      </c>
      <c r="AA13" s="19">
        <f t="shared" si="5"/>
        <v>0.76777251184834128</v>
      </c>
      <c r="AB13" s="18">
        <f t="shared" si="6"/>
        <v>0.87564766839378239</v>
      </c>
      <c r="AC13" s="19">
        <f t="shared" si="7"/>
        <v>0.89378238341968907</v>
      </c>
      <c r="AD13" s="19">
        <f t="shared" si="8"/>
        <v>0.98445595854922274</v>
      </c>
      <c r="AE13" s="19">
        <f t="shared" si="9"/>
        <v>1</v>
      </c>
      <c r="AF13" s="19">
        <f t="shared" si="10"/>
        <v>0.98186528497409331</v>
      </c>
      <c r="AG13" s="19">
        <f t="shared" si="11"/>
        <v>0.98186528497409331</v>
      </c>
      <c r="AH13" s="18">
        <f t="shared" si="12"/>
        <v>0.86956521739130432</v>
      </c>
      <c r="AI13" s="19">
        <f t="shared" si="13"/>
        <v>0.87439613526570048</v>
      </c>
      <c r="AJ13" s="19">
        <f t="shared" si="14"/>
        <v>0.84299516908212557</v>
      </c>
      <c r="AK13" s="9"/>
      <c r="AL13" s="3">
        <f t="shared" si="15"/>
        <v>1979</v>
      </c>
      <c r="AM13" s="9">
        <f t="shared" si="30"/>
        <v>85</v>
      </c>
      <c r="AN13" s="3">
        <f t="shared" si="16"/>
        <v>-17</v>
      </c>
      <c r="AO13" s="3">
        <f t="shared" si="17"/>
        <v>-80</v>
      </c>
      <c r="AP13" s="3">
        <f t="shared" si="18"/>
        <v>140</v>
      </c>
      <c r="AQ13" s="3">
        <f t="shared" si="19"/>
        <v>-145</v>
      </c>
      <c r="AR13" s="3">
        <f t="shared" si="20"/>
        <v>0</v>
      </c>
      <c r="AS13" s="3">
        <f t="shared" si="21"/>
        <v>90</v>
      </c>
      <c r="AT13" s="3">
        <f t="shared" si="22"/>
        <v>-5</v>
      </c>
      <c r="AU13" s="3">
        <f t="shared" si="23"/>
        <v>45</v>
      </c>
      <c r="AV13" s="3">
        <f t="shared" si="24"/>
        <v>80</v>
      </c>
      <c r="AW13" s="3">
        <f t="shared" si="25"/>
        <v>235</v>
      </c>
      <c r="AX13" s="3">
        <f t="shared" si="26"/>
        <v>15</v>
      </c>
      <c r="AY13" s="3"/>
      <c r="AZ13" s="3">
        <f t="shared" si="27"/>
        <v>1979</v>
      </c>
      <c r="BA13" s="18">
        <f>'Total Retail'!B13/B13</f>
        <v>0.94218009478672982</v>
      </c>
      <c r="BB13" s="19">
        <f>'Total Retail'!C13/C13</f>
        <v>0.93</v>
      </c>
      <c r="BC13" s="19">
        <f>'Total Retail'!D13/D13</f>
        <v>0.93333333333333335</v>
      </c>
      <c r="BD13" s="19">
        <f>'Total Retail'!E13/E13</f>
        <v>0.93431952662721895</v>
      </c>
      <c r="BE13" s="19">
        <f>'Total Retail'!F13/F13</f>
        <v>0.93855072463768119</v>
      </c>
      <c r="BF13" s="19">
        <f>'Total Retail'!G13/G13</f>
        <v>0.93052631578947365</v>
      </c>
      <c r="BG13" s="19">
        <f>'Total Retail'!H13/H13</f>
        <v>0.93523316062176165</v>
      </c>
      <c r="BH13" s="19">
        <f>'Total Retail'!I13/I13</f>
        <v>0.94511873350923481</v>
      </c>
      <c r="BI13" s="19">
        <f>'Total Retail'!J13/J13</f>
        <v>0.95039577836411604</v>
      </c>
      <c r="BJ13" s="19">
        <f>'Total Retail'!K13/K13</f>
        <v>0.94833333333333336</v>
      </c>
      <c r="BK13" s="19">
        <f>'Total Retail'!L13/L13</f>
        <v>0.94475138121546964</v>
      </c>
      <c r="BL13" s="19">
        <f>'Total Retail'!M13/M13</f>
        <v>0.93295128939828076</v>
      </c>
      <c r="BM13" s="3"/>
      <c r="BN13" s="3">
        <f t="shared" si="28"/>
        <v>1979</v>
      </c>
      <c r="BO13" s="18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ht="15.75">
      <c r="A14" s="323">
        <v>1980</v>
      </c>
      <c r="B14" s="3">
        <v>2005</v>
      </c>
      <c r="C14" s="3">
        <v>2055</v>
      </c>
      <c r="D14" s="174">
        <v>2070</v>
      </c>
      <c r="E14" s="3">
        <v>1595</v>
      </c>
      <c r="F14" s="3">
        <v>1860</v>
      </c>
      <c r="G14" s="3">
        <v>1960</v>
      </c>
      <c r="H14" s="168">
        <v>2065</v>
      </c>
      <c r="I14" s="3">
        <v>2035</v>
      </c>
      <c r="J14" s="3">
        <v>1960</v>
      </c>
      <c r="K14" s="3">
        <v>1730</v>
      </c>
      <c r="L14" s="3">
        <v>1600</v>
      </c>
      <c r="M14" s="3">
        <v>1960</v>
      </c>
      <c r="N14"/>
      <c r="O14" s="26" t="s">
        <v>27</v>
      </c>
      <c r="P14" s="12">
        <f t="shared" si="2"/>
        <v>2070</v>
      </c>
      <c r="Q14" s="13">
        <f t="shared" si="0"/>
        <v>2065</v>
      </c>
      <c r="R14" s="12">
        <f t="shared" si="31"/>
        <v>1810</v>
      </c>
      <c r="S14" s="13">
        <f t="shared" si="1"/>
        <v>2070</v>
      </c>
      <c r="T14" s="9"/>
      <c r="U14" s="3"/>
      <c r="V14" s="3"/>
      <c r="W14" s="423"/>
      <c r="X14" s="3">
        <f t="shared" si="3"/>
        <v>1980</v>
      </c>
      <c r="Y14" s="18">
        <f t="shared" si="29"/>
        <v>0.96859903381642509</v>
      </c>
      <c r="Z14" s="19">
        <f t="shared" si="4"/>
        <v>0.99275362318840576</v>
      </c>
      <c r="AA14" s="19">
        <f t="shared" si="5"/>
        <v>1</v>
      </c>
      <c r="AB14" s="18">
        <f t="shared" si="6"/>
        <v>0.77239709443099269</v>
      </c>
      <c r="AC14" s="19">
        <f t="shared" si="7"/>
        <v>0.90072639225181594</v>
      </c>
      <c r="AD14" s="19">
        <f t="shared" si="8"/>
        <v>0.94915254237288138</v>
      </c>
      <c r="AE14" s="19">
        <f t="shared" si="9"/>
        <v>1</v>
      </c>
      <c r="AF14" s="19">
        <f t="shared" si="10"/>
        <v>0.98547215496368035</v>
      </c>
      <c r="AG14" s="19">
        <f t="shared" si="11"/>
        <v>0.94915254237288138</v>
      </c>
      <c r="AH14" s="18">
        <f t="shared" si="12"/>
        <v>0.69338677354709422</v>
      </c>
      <c r="AI14" s="19">
        <f t="shared" si="13"/>
        <v>0.6412825651302605</v>
      </c>
      <c r="AJ14" s="19">
        <f t="shared" si="14"/>
        <v>0.78557114228456915</v>
      </c>
      <c r="AK14" s="9"/>
      <c r="AL14" s="3">
        <f t="shared" si="15"/>
        <v>1980</v>
      </c>
      <c r="AM14" s="9">
        <f t="shared" si="30"/>
        <v>-105</v>
      </c>
      <c r="AN14" s="3">
        <f t="shared" si="16"/>
        <v>55</v>
      </c>
      <c r="AO14" s="3">
        <f t="shared" si="17"/>
        <v>450</v>
      </c>
      <c r="AP14" s="3">
        <f t="shared" si="18"/>
        <v>-95</v>
      </c>
      <c r="AQ14" s="3">
        <f t="shared" si="19"/>
        <v>135</v>
      </c>
      <c r="AR14" s="3">
        <f t="shared" si="20"/>
        <v>60</v>
      </c>
      <c r="AS14" s="3">
        <f t="shared" si="21"/>
        <v>135</v>
      </c>
      <c r="AT14" s="3">
        <f t="shared" si="22"/>
        <v>140</v>
      </c>
      <c r="AU14" s="3">
        <f t="shared" si="23"/>
        <v>65</v>
      </c>
      <c r="AV14" s="3">
        <f t="shared" si="24"/>
        <v>-70</v>
      </c>
      <c r="AW14" s="3">
        <f t="shared" si="25"/>
        <v>-210</v>
      </c>
      <c r="AX14" s="3">
        <f t="shared" si="26"/>
        <v>215</v>
      </c>
      <c r="AY14" s="3"/>
      <c r="AZ14" s="3">
        <f t="shared" si="27"/>
        <v>1980</v>
      </c>
      <c r="BA14" s="18">
        <f>'Total Retail'!B14/B14</f>
        <v>0.94713216957605983</v>
      </c>
      <c r="BB14" s="19">
        <f>'Total Retail'!C14/C14</f>
        <v>0.94306569343065694</v>
      </c>
      <c r="BC14" s="19">
        <f>'Total Retail'!D14/D14</f>
        <v>0.94106280193236713</v>
      </c>
      <c r="BD14" s="19">
        <f>'Total Retail'!E14/E14</f>
        <v>0.94670846394984332</v>
      </c>
      <c r="BE14" s="19">
        <f>'Total Retail'!F14/F14</f>
        <v>0.94946236559139785</v>
      </c>
      <c r="BF14" s="19">
        <f>'Total Retail'!G14/G14</f>
        <v>0.92551020408163265</v>
      </c>
      <c r="BG14" s="19">
        <f>'Total Retail'!H14/H14</f>
        <v>0.92300242130750609</v>
      </c>
      <c r="BH14" s="19">
        <f>'Total Retail'!I14/I14</f>
        <v>0.94938574938574938</v>
      </c>
      <c r="BI14" s="19">
        <f>'Total Retail'!J14/J14</f>
        <v>0.94285714285714284</v>
      </c>
      <c r="BJ14" s="19">
        <f>'Total Retail'!K14/K14</f>
        <v>0.94393063583815029</v>
      </c>
      <c r="BK14" s="19">
        <f>'Total Retail'!L14/L14</f>
        <v>0.94062500000000004</v>
      </c>
      <c r="BL14" s="19">
        <f>'Total Retail'!M14/M14</f>
        <v>0.92755102040816328</v>
      </c>
      <c r="BM14" s="3"/>
      <c r="BN14" s="3">
        <f t="shared" si="28"/>
        <v>1980</v>
      </c>
      <c r="BO14" s="18">
        <f>'Firm Retail'!B6/B14</f>
        <v>0</v>
      </c>
      <c r="BP14" s="19">
        <f>'Firm Retail'!C6/C14</f>
        <v>0</v>
      </c>
      <c r="BQ14" s="19">
        <f>'Firm Retail'!D6/D14</f>
        <v>0</v>
      </c>
      <c r="BR14" s="19">
        <f>'Firm Retail'!E6/E14</f>
        <v>0</v>
      </c>
      <c r="BS14" s="19">
        <f>'Firm Retail'!F6/F14</f>
        <v>0</v>
      </c>
      <c r="BT14" s="19">
        <f>'Firm Retail'!G6/G14</f>
        <v>0</v>
      </c>
      <c r="BU14" s="19">
        <f>'Firm Retail'!H6/H14</f>
        <v>0</v>
      </c>
      <c r="BV14" s="19">
        <f>'Firm Retail'!I6/I14</f>
        <v>0</v>
      </c>
      <c r="BW14" s="19">
        <f>'Firm Retail'!J6/J14</f>
        <v>0</v>
      </c>
      <c r="BX14" s="19">
        <f>'Firm Retail'!K6/K14</f>
        <v>0</v>
      </c>
      <c r="BY14" s="19">
        <f>'Firm Retail'!L6/L14</f>
        <v>0</v>
      </c>
      <c r="BZ14" s="19">
        <f>'Firm Retail'!M6/M14</f>
        <v>0</v>
      </c>
    </row>
    <row r="15" spans="1:78" ht="15.75">
      <c r="A15" s="323">
        <v>1981</v>
      </c>
      <c r="B15" s="174">
        <v>2495</v>
      </c>
      <c r="C15" s="3">
        <v>2065</v>
      </c>
      <c r="D15" s="3">
        <v>1640</v>
      </c>
      <c r="E15" s="3">
        <v>1700</v>
      </c>
      <c r="F15" s="3">
        <v>1925</v>
      </c>
      <c r="G15" s="168">
        <v>2150</v>
      </c>
      <c r="H15" s="3">
        <v>2095</v>
      </c>
      <c r="I15" s="3">
        <v>1980</v>
      </c>
      <c r="J15" s="3">
        <v>1978</v>
      </c>
      <c r="K15" s="3">
        <v>1795</v>
      </c>
      <c r="L15" s="3">
        <v>1770</v>
      </c>
      <c r="M15" s="3">
        <v>2130</v>
      </c>
      <c r="N15"/>
      <c r="O15" s="26" t="s">
        <v>28</v>
      </c>
      <c r="P15" s="12">
        <f t="shared" si="2"/>
        <v>2495</v>
      </c>
      <c r="Q15" s="13">
        <f t="shared" si="0"/>
        <v>2150</v>
      </c>
      <c r="R15" s="12">
        <f t="shared" si="31"/>
        <v>1960</v>
      </c>
      <c r="S15" s="13">
        <f t="shared" si="1"/>
        <v>2495</v>
      </c>
      <c r="T15" s="9"/>
      <c r="U15" s="3"/>
      <c r="V15" s="3"/>
      <c r="W15" s="423"/>
      <c r="X15" s="3">
        <f t="shared" si="3"/>
        <v>1981</v>
      </c>
      <c r="Y15" s="18">
        <f t="shared" si="29"/>
        <v>1</v>
      </c>
      <c r="Z15" s="19">
        <f t="shared" si="4"/>
        <v>0.82765531062124253</v>
      </c>
      <c r="AA15" s="19">
        <f t="shared" si="5"/>
        <v>0.65731462925851702</v>
      </c>
      <c r="AB15" s="18">
        <f t="shared" si="6"/>
        <v>0.79069767441860461</v>
      </c>
      <c r="AC15" s="19">
        <f t="shared" si="7"/>
        <v>0.89534883720930236</v>
      </c>
      <c r="AD15" s="19">
        <f t="shared" si="8"/>
        <v>1</v>
      </c>
      <c r="AE15" s="19">
        <f t="shared" si="9"/>
        <v>0.97441860465116281</v>
      </c>
      <c r="AF15" s="19">
        <f t="shared" si="10"/>
        <v>0.92093023255813955</v>
      </c>
      <c r="AG15" s="19">
        <f t="shared" si="11"/>
        <v>0.92</v>
      </c>
      <c r="AH15" s="18">
        <f t="shared" si="12"/>
        <v>0.73265306122448981</v>
      </c>
      <c r="AI15" s="19">
        <f t="shared" si="13"/>
        <v>0.72244897959183674</v>
      </c>
      <c r="AJ15" s="19">
        <f t="shared" si="14"/>
        <v>0.8693877551020408</v>
      </c>
      <c r="AK15" s="9"/>
      <c r="AL15" s="3">
        <f t="shared" si="15"/>
        <v>1981</v>
      </c>
      <c r="AM15" s="9">
        <f t="shared" si="30"/>
        <v>490</v>
      </c>
      <c r="AN15" s="3">
        <f t="shared" si="16"/>
        <v>10</v>
      </c>
      <c r="AO15" s="3">
        <f t="shared" si="17"/>
        <v>-430</v>
      </c>
      <c r="AP15" s="3">
        <f t="shared" si="18"/>
        <v>105</v>
      </c>
      <c r="AQ15" s="3">
        <f t="shared" si="19"/>
        <v>65</v>
      </c>
      <c r="AR15" s="3">
        <f t="shared" si="20"/>
        <v>190</v>
      </c>
      <c r="AS15" s="3">
        <f t="shared" si="21"/>
        <v>30</v>
      </c>
      <c r="AT15" s="3">
        <f t="shared" si="22"/>
        <v>-55</v>
      </c>
      <c r="AU15" s="3">
        <f t="shared" si="23"/>
        <v>18</v>
      </c>
      <c r="AV15" s="3">
        <f t="shared" si="24"/>
        <v>65</v>
      </c>
      <c r="AW15" s="3">
        <f t="shared" si="25"/>
        <v>170</v>
      </c>
      <c r="AX15" s="3">
        <f t="shared" si="26"/>
        <v>170</v>
      </c>
      <c r="AY15" s="3"/>
      <c r="AZ15" s="3">
        <f t="shared" si="27"/>
        <v>1981</v>
      </c>
      <c r="BA15" s="18">
        <f>'Total Retail'!B15/B15</f>
        <v>0.95110220440881765</v>
      </c>
      <c r="BB15" s="19">
        <f>'Total Retail'!C15/C15</f>
        <v>0.96174334140435835</v>
      </c>
      <c r="BC15" s="19">
        <f>'Total Retail'!D15/D15</f>
        <v>0.94329268292682922</v>
      </c>
      <c r="BD15" s="19">
        <f>'Total Retail'!E15/E15</f>
        <v>0.94176470588235295</v>
      </c>
      <c r="BE15" s="19">
        <f>'Total Retail'!F15/F15</f>
        <v>0.94493506493506496</v>
      </c>
      <c r="BF15" s="19">
        <f>'Total Retail'!G15/G15</f>
        <v>0.9553488372093023</v>
      </c>
      <c r="BG15" s="19">
        <f>'Total Retail'!H15/H15</f>
        <v>0.94128878281622907</v>
      </c>
      <c r="BH15" s="19">
        <f>'Total Retail'!I15/I15</f>
        <v>0.95101010101010097</v>
      </c>
      <c r="BI15" s="19">
        <f>'Total Retail'!J15/J15</f>
        <v>0.95500505561172899</v>
      </c>
      <c r="BJ15" s="19">
        <f>'Total Retail'!K15/K15</f>
        <v>0.9415041782729805</v>
      </c>
      <c r="BK15" s="19">
        <f>'Total Retail'!L15/L15</f>
        <v>0.94406779661016949</v>
      </c>
      <c r="BL15" s="19">
        <f>'Total Retail'!M15/M15</f>
        <v>0.94272300469483572</v>
      </c>
      <c r="BM15" s="3"/>
      <c r="BN15" s="3">
        <f t="shared" si="28"/>
        <v>1981</v>
      </c>
      <c r="BO15" s="18">
        <f>'Firm Retail'!B14/B15</f>
        <v>0.87174348697394788</v>
      </c>
      <c r="BP15" s="19">
        <f>'Firm Retail'!C14/C15</f>
        <v>0.90702179176755449</v>
      </c>
      <c r="BQ15" s="19">
        <f>'Firm Retail'!D14/D15</f>
        <v>0.801219512195122</v>
      </c>
      <c r="BR15" s="19">
        <f>'Firm Retail'!E14/E15</f>
        <v>0.81294117647058828</v>
      </c>
      <c r="BS15" s="19">
        <f>'Firm Retail'!F14/F15</f>
        <v>0.8264935064935065</v>
      </c>
      <c r="BT15" s="19">
        <f>'Firm Retail'!G14/G15</f>
        <v>0.86883720930232555</v>
      </c>
      <c r="BU15" s="19">
        <f>'Firm Retail'!H14/H15</f>
        <v>0.84821002386634847</v>
      </c>
      <c r="BV15" s="19">
        <f>'Firm Retail'!I14/I15</f>
        <v>0.84595959595959591</v>
      </c>
      <c r="BW15" s="19">
        <f>'Firm Retail'!J14/J15</f>
        <v>0.85591506572295251</v>
      </c>
      <c r="BX15" s="19">
        <f>'Firm Retail'!K14/K15</f>
        <v>0.83175487465181064</v>
      </c>
      <c r="BY15" s="19">
        <f>'Firm Retail'!L14/L15</f>
        <v>0.86101694915254234</v>
      </c>
      <c r="BZ15" s="19">
        <f>'Firm Retail'!M14/M15</f>
        <v>0.86197183098591545</v>
      </c>
    </row>
    <row r="16" spans="1:78" ht="15.75">
      <c r="A16" s="323">
        <v>1982</v>
      </c>
      <c r="B16" s="174">
        <v>2450</v>
      </c>
      <c r="C16" s="3">
        <v>1580</v>
      </c>
      <c r="D16" s="3">
        <v>1710</v>
      </c>
      <c r="E16" s="3">
        <v>1805</v>
      </c>
      <c r="F16" s="3">
        <v>1810</v>
      </c>
      <c r="G16" s="3">
        <v>1935</v>
      </c>
      <c r="H16" s="3">
        <v>1920</v>
      </c>
      <c r="I16" s="3">
        <v>1945</v>
      </c>
      <c r="J16" s="168">
        <v>2010</v>
      </c>
      <c r="K16" s="3">
        <v>1910</v>
      </c>
      <c r="L16" s="3">
        <v>1660</v>
      </c>
      <c r="M16" s="3">
        <v>1785</v>
      </c>
      <c r="N16"/>
      <c r="O16" s="26" t="s">
        <v>29</v>
      </c>
      <c r="P16" s="12">
        <f t="shared" si="2"/>
        <v>2450</v>
      </c>
      <c r="Q16" s="13">
        <f t="shared" si="0"/>
        <v>2010</v>
      </c>
      <c r="R16" s="12">
        <f t="shared" si="31"/>
        <v>2130</v>
      </c>
      <c r="S16" s="13">
        <f t="shared" si="1"/>
        <v>2450</v>
      </c>
      <c r="T16" s="9"/>
      <c r="U16" s="3"/>
      <c r="V16" s="3"/>
      <c r="W16" s="423"/>
      <c r="X16" s="3">
        <f t="shared" si="3"/>
        <v>1982</v>
      </c>
      <c r="Y16" s="18">
        <f t="shared" si="29"/>
        <v>1</v>
      </c>
      <c r="Z16" s="19">
        <f t="shared" si="4"/>
        <v>0.64489795918367343</v>
      </c>
      <c r="AA16" s="19">
        <f t="shared" si="5"/>
        <v>0.69795918367346943</v>
      </c>
      <c r="AB16" s="18">
        <f t="shared" si="6"/>
        <v>0.89800995024875618</v>
      </c>
      <c r="AC16" s="19">
        <f t="shared" si="7"/>
        <v>0.90049751243781095</v>
      </c>
      <c r="AD16" s="19">
        <f t="shared" si="8"/>
        <v>0.96268656716417911</v>
      </c>
      <c r="AE16" s="19">
        <f t="shared" si="9"/>
        <v>0.95522388059701491</v>
      </c>
      <c r="AF16" s="19">
        <f t="shared" si="10"/>
        <v>0.96766169154228854</v>
      </c>
      <c r="AG16" s="19">
        <f t="shared" si="11"/>
        <v>1</v>
      </c>
      <c r="AH16" s="18">
        <f t="shared" si="12"/>
        <v>0.85842696629213489</v>
      </c>
      <c r="AI16" s="19">
        <f t="shared" si="13"/>
        <v>0.74606741573033708</v>
      </c>
      <c r="AJ16" s="19">
        <f t="shared" si="14"/>
        <v>0.80224719101123598</v>
      </c>
      <c r="AK16" s="9"/>
      <c r="AL16" s="3">
        <f t="shared" si="15"/>
        <v>1982</v>
      </c>
      <c r="AM16" s="9">
        <f t="shared" si="30"/>
        <v>-45</v>
      </c>
      <c r="AN16" s="3">
        <f t="shared" si="16"/>
        <v>-485</v>
      </c>
      <c r="AO16" s="3">
        <f t="shared" si="17"/>
        <v>70</v>
      </c>
      <c r="AP16" s="3">
        <f t="shared" si="18"/>
        <v>105</v>
      </c>
      <c r="AQ16" s="3">
        <f t="shared" si="19"/>
        <v>-115</v>
      </c>
      <c r="AR16" s="3">
        <f t="shared" si="20"/>
        <v>-215</v>
      </c>
      <c r="AS16" s="3">
        <f t="shared" si="21"/>
        <v>-175</v>
      </c>
      <c r="AT16" s="3">
        <f t="shared" si="22"/>
        <v>-35</v>
      </c>
      <c r="AU16" s="3">
        <f t="shared" si="23"/>
        <v>32</v>
      </c>
      <c r="AV16" s="3">
        <f t="shared" si="24"/>
        <v>115</v>
      </c>
      <c r="AW16" s="3">
        <f t="shared" si="25"/>
        <v>-110</v>
      </c>
      <c r="AX16" s="3">
        <f t="shared" si="26"/>
        <v>-345</v>
      </c>
      <c r="AY16" s="3"/>
      <c r="AZ16" s="3">
        <f t="shared" si="27"/>
        <v>1982</v>
      </c>
      <c r="BA16" s="18">
        <f>'Total Retail'!B16/B16</f>
        <v>0.92163265306122444</v>
      </c>
      <c r="BB16" s="19">
        <f>'Total Retail'!C16/C16</f>
        <v>0.94683544303797473</v>
      </c>
      <c r="BC16" s="19">
        <f>'Total Retail'!D16/D16</f>
        <v>0.93391812865497081</v>
      </c>
      <c r="BD16" s="19">
        <f>'Total Retail'!E16/E16</f>
        <v>0.94127423822714684</v>
      </c>
      <c r="BE16" s="19">
        <f>'Total Retail'!F16/F16</f>
        <v>0.93204419889502765</v>
      </c>
      <c r="BF16" s="19">
        <f>'Total Retail'!G16/G16</f>
        <v>0.94987080103359178</v>
      </c>
      <c r="BG16" s="19">
        <f>'Total Retail'!H16/H16</f>
        <v>0.93958333333333333</v>
      </c>
      <c r="BH16" s="19">
        <f>'Total Retail'!I16/I16</f>
        <v>0.94961439588688945</v>
      </c>
      <c r="BI16" s="19">
        <f>'Total Retail'!J16/J16</f>
        <v>0.94726368159203977</v>
      </c>
      <c r="BJ16" s="19">
        <f>'Total Retail'!K16/K16</f>
        <v>0.91623036649214662</v>
      </c>
      <c r="BK16" s="19">
        <f>'Total Retail'!L16/L16</f>
        <v>0.92349397590361448</v>
      </c>
      <c r="BL16" s="19">
        <f>'Total Retail'!M16/M16</f>
        <v>0.91988795518207278</v>
      </c>
      <c r="BM16" s="3"/>
      <c r="BN16" s="3">
        <f t="shared" si="28"/>
        <v>1982</v>
      </c>
      <c r="BO16" s="18">
        <f>'Firm Retail'!B15/B16</f>
        <v>0.8693877551020408</v>
      </c>
      <c r="BP16" s="19">
        <f>'Firm Retail'!C15/C16</f>
        <v>0.79746835443037978</v>
      </c>
      <c r="BQ16" s="19">
        <f>'Firm Retail'!D15/D16</f>
        <v>0.84210526315789469</v>
      </c>
      <c r="BR16" s="19">
        <f>'Firm Retail'!E15/E16</f>
        <v>0.81218836565096952</v>
      </c>
      <c r="BS16" s="19">
        <f>'Firm Retail'!F15/F16</f>
        <v>0.84861878453038675</v>
      </c>
      <c r="BT16" s="19">
        <f>'Firm Retail'!G15/G16</f>
        <v>0.88113695090439281</v>
      </c>
      <c r="BU16" s="19">
        <f>'Firm Retail'!H15/H16</f>
        <v>0.8515625</v>
      </c>
      <c r="BV16" s="19">
        <f>'Firm Retail'!I15/I16</f>
        <v>0.88226221079691514</v>
      </c>
      <c r="BW16" s="19">
        <f>'Firm Retail'!J15/J16</f>
        <v>0.87462686567164183</v>
      </c>
      <c r="BX16" s="19">
        <f>'Firm Retail'!K15/K16</f>
        <v>0.81465968586387438</v>
      </c>
      <c r="BY16" s="19">
        <f>'Firm Retail'!L15/L16</f>
        <v>0.81566265060240961</v>
      </c>
      <c r="BZ16" s="19">
        <f>'Firm Retail'!M15/M16</f>
        <v>0.85266106442577028</v>
      </c>
    </row>
    <row r="17" spans="1:78" ht="15.75">
      <c r="A17" s="323">
        <v>1983</v>
      </c>
      <c r="B17" s="174">
        <v>2225</v>
      </c>
      <c r="C17" s="3">
        <v>2080</v>
      </c>
      <c r="D17" s="3">
        <v>1885</v>
      </c>
      <c r="E17" s="3">
        <v>1670</v>
      </c>
      <c r="F17" s="3">
        <v>1900</v>
      </c>
      <c r="G17" s="3">
        <v>2020</v>
      </c>
      <c r="H17" s="168">
        <v>2210</v>
      </c>
      <c r="I17" s="3">
        <v>2140</v>
      </c>
      <c r="J17" s="3">
        <v>2180</v>
      </c>
      <c r="K17" s="3">
        <v>1930</v>
      </c>
      <c r="L17" s="3">
        <v>1795</v>
      </c>
      <c r="M17" s="3">
        <v>2185</v>
      </c>
      <c r="N17"/>
      <c r="O17" s="26" t="s">
        <v>30</v>
      </c>
      <c r="P17" s="12">
        <f t="shared" si="2"/>
        <v>2225</v>
      </c>
      <c r="Q17" s="13">
        <f t="shared" si="0"/>
        <v>2210</v>
      </c>
      <c r="R17" s="12">
        <f t="shared" si="31"/>
        <v>1785</v>
      </c>
      <c r="S17" s="13">
        <f t="shared" si="1"/>
        <v>2225</v>
      </c>
      <c r="T17" s="9"/>
      <c r="U17" s="3"/>
      <c r="V17" s="3"/>
      <c r="W17" s="423"/>
      <c r="X17" s="3">
        <f t="shared" si="3"/>
        <v>1983</v>
      </c>
      <c r="Y17" s="18">
        <f t="shared" si="29"/>
        <v>1</v>
      </c>
      <c r="Z17" s="19">
        <f t="shared" si="4"/>
        <v>0.93483146067415734</v>
      </c>
      <c r="AA17" s="19">
        <f t="shared" si="5"/>
        <v>0.84719101123595508</v>
      </c>
      <c r="AB17" s="18">
        <f t="shared" si="6"/>
        <v>0.75565610859728505</v>
      </c>
      <c r="AC17" s="19">
        <f t="shared" si="7"/>
        <v>0.85972850678733037</v>
      </c>
      <c r="AD17" s="19">
        <f t="shared" si="8"/>
        <v>0.91402714932126694</v>
      </c>
      <c r="AE17" s="19">
        <f t="shared" si="9"/>
        <v>1</v>
      </c>
      <c r="AF17" s="19">
        <f t="shared" si="10"/>
        <v>0.96832579185520362</v>
      </c>
      <c r="AG17" s="19">
        <f t="shared" si="11"/>
        <v>0.98642533936651589</v>
      </c>
      <c r="AH17" s="18">
        <f t="shared" si="12"/>
        <v>0.8301075268817204</v>
      </c>
      <c r="AI17" s="19">
        <f t="shared" si="13"/>
        <v>0.77204301075268822</v>
      </c>
      <c r="AJ17" s="19">
        <f t="shared" si="14"/>
        <v>0.93978494623655917</v>
      </c>
      <c r="AK17" s="9"/>
      <c r="AL17" s="3">
        <f t="shared" si="15"/>
        <v>1983</v>
      </c>
      <c r="AM17" s="9">
        <f t="shared" si="30"/>
        <v>-225</v>
      </c>
      <c r="AN17" s="3">
        <f t="shared" si="16"/>
        <v>500</v>
      </c>
      <c r="AO17" s="3">
        <f t="shared" si="17"/>
        <v>175</v>
      </c>
      <c r="AP17" s="3">
        <f t="shared" si="18"/>
        <v>-135</v>
      </c>
      <c r="AQ17" s="3">
        <f t="shared" si="19"/>
        <v>90</v>
      </c>
      <c r="AR17" s="3">
        <f t="shared" si="20"/>
        <v>85</v>
      </c>
      <c r="AS17" s="3">
        <f t="shared" si="21"/>
        <v>290</v>
      </c>
      <c r="AT17" s="3">
        <f t="shared" si="22"/>
        <v>195</v>
      </c>
      <c r="AU17" s="3">
        <f t="shared" si="23"/>
        <v>170</v>
      </c>
      <c r="AV17" s="3">
        <f t="shared" si="24"/>
        <v>20</v>
      </c>
      <c r="AW17" s="3">
        <f t="shared" si="25"/>
        <v>135</v>
      </c>
      <c r="AX17" s="3">
        <f t="shared" si="26"/>
        <v>400</v>
      </c>
      <c r="AY17" s="3"/>
      <c r="AZ17" s="3">
        <f t="shared" si="27"/>
        <v>1983</v>
      </c>
      <c r="BA17" s="18">
        <f>'Total Retail'!B17/B17</f>
        <v>0.93078651685393254</v>
      </c>
      <c r="BB17" s="19">
        <f>'Total Retail'!C17/C17</f>
        <v>0.93461538461538463</v>
      </c>
      <c r="BC17" s="19">
        <f>'Total Retail'!D17/D17</f>
        <v>0.91724137931034477</v>
      </c>
      <c r="BD17" s="19">
        <f>'Total Retail'!E17/E17</f>
        <v>0.92994011976047908</v>
      </c>
      <c r="BE17" s="19">
        <f>'Total Retail'!F17/F17</f>
        <v>0.94</v>
      </c>
      <c r="BF17" s="19">
        <f>'Total Retail'!G17/G17</f>
        <v>0.93366336633663372</v>
      </c>
      <c r="BG17" s="19">
        <f>'Total Retail'!H17/H17</f>
        <v>0.93076923076923079</v>
      </c>
      <c r="BH17" s="19">
        <f>'Total Retail'!I17/I17</f>
        <v>0.93037383177570099</v>
      </c>
      <c r="BI17" s="19">
        <f>'Total Retail'!J17/J17</f>
        <v>0.93486238532110089</v>
      </c>
      <c r="BJ17" s="19">
        <f>'Total Retail'!K17/K17</f>
        <v>0.9398963730569948</v>
      </c>
      <c r="BK17" s="19">
        <f>'Total Retail'!L17/L17</f>
        <v>0.94596100278551531</v>
      </c>
      <c r="BL17" s="19">
        <f>'Total Retail'!M17/M17</f>
        <v>0.95743707093821506</v>
      </c>
      <c r="BM17" s="3"/>
      <c r="BN17" s="3">
        <f t="shared" si="28"/>
        <v>1983</v>
      </c>
      <c r="BO17" s="18">
        <f>'Firm Retail'!B16/B17</f>
        <v>0.84808988764044946</v>
      </c>
      <c r="BP17" s="19">
        <f>'Firm Retail'!C16/C17</f>
        <v>0.87115384615384617</v>
      </c>
      <c r="BQ17" s="19">
        <f>'Firm Retail'!D16/D17</f>
        <v>0.83342175066312996</v>
      </c>
      <c r="BR17" s="19">
        <f>'Firm Retail'!E16/E17</f>
        <v>0.83053892215568859</v>
      </c>
      <c r="BS17" s="19">
        <f>'Firm Retail'!F16/F17</f>
        <v>0.83368421052631581</v>
      </c>
      <c r="BT17" s="19">
        <f>'Firm Retail'!G16/G17</f>
        <v>0.83267326732673264</v>
      </c>
      <c r="BU17" s="19">
        <f>'Firm Retail'!H16/H17</f>
        <v>0.83755656108597287</v>
      </c>
      <c r="BV17" s="19">
        <f>'Firm Retail'!I16/I17</f>
        <v>0.8565420560747663</v>
      </c>
      <c r="BW17" s="19">
        <f>'Firm Retail'!J16/J17</f>
        <v>0.85137614678899087</v>
      </c>
      <c r="BX17" s="19">
        <f>'Firm Retail'!K16/K17</f>
        <v>0.83160621761658027</v>
      </c>
      <c r="BY17" s="19">
        <f>'Firm Retail'!L16/L17</f>
        <v>0.8417827298050139</v>
      </c>
      <c r="BZ17" s="19">
        <f>'Firm Retail'!M16/M17</f>
        <v>0.94599542334096109</v>
      </c>
    </row>
    <row r="18" spans="1:78" ht="15.75">
      <c r="A18" s="323">
        <v>1984</v>
      </c>
      <c r="B18" s="3">
        <v>2205</v>
      </c>
      <c r="C18" s="174">
        <v>2325</v>
      </c>
      <c r="D18" s="3">
        <v>2220</v>
      </c>
      <c r="E18" s="3">
        <v>1800</v>
      </c>
      <c r="F18" s="3">
        <v>2120</v>
      </c>
      <c r="G18" s="3">
        <v>2165</v>
      </c>
      <c r="H18" s="3">
        <v>2230</v>
      </c>
      <c r="I18" s="3">
        <v>2225</v>
      </c>
      <c r="J18" s="168">
        <v>2250</v>
      </c>
      <c r="K18" s="3">
        <v>2042</v>
      </c>
      <c r="L18" s="3">
        <v>1960</v>
      </c>
      <c r="M18" s="3">
        <v>2160</v>
      </c>
      <c r="N18"/>
      <c r="O18" s="26" t="s">
        <v>31</v>
      </c>
      <c r="P18" s="12">
        <f t="shared" si="2"/>
        <v>2325</v>
      </c>
      <c r="Q18" s="13">
        <f t="shared" si="0"/>
        <v>2250</v>
      </c>
      <c r="R18" s="12">
        <f t="shared" si="31"/>
        <v>2185</v>
      </c>
      <c r="S18" s="13">
        <f t="shared" si="1"/>
        <v>2325</v>
      </c>
      <c r="T18" s="9"/>
      <c r="U18" s="3"/>
      <c r="V18" s="3"/>
      <c r="W18" s="423"/>
      <c r="X18" s="3">
        <f t="shared" si="3"/>
        <v>1984</v>
      </c>
      <c r="Y18" s="18">
        <f t="shared" si="29"/>
        <v>0.94838709677419353</v>
      </c>
      <c r="Z18" s="19">
        <f t="shared" si="4"/>
        <v>1</v>
      </c>
      <c r="AA18" s="19">
        <f t="shared" si="5"/>
        <v>0.95483870967741935</v>
      </c>
      <c r="AB18" s="18">
        <f t="shared" si="6"/>
        <v>0.8</v>
      </c>
      <c r="AC18" s="19">
        <f t="shared" si="7"/>
        <v>0.94222222222222218</v>
      </c>
      <c r="AD18" s="19">
        <f t="shared" si="8"/>
        <v>0.9622222222222222</v>
      </c>
      <c r="AE18" s="19">
        <f t="shared" si="9"/>
        <v>0.99111111111111116</v>
      </c>
      <c r="AF18" s="19">
        <f t="shared" si="10"/>
        <v>0.98888888888888893</v>
      </c>
      <c r="AG18" s="19">
        <f t="shared" si="11"/>
        <v>1</v>
      </c>
      <c r="AH18" s="18">
        <f t="shared" si="12"/>
        <v>0.69811965811965815</v>
      </c>
      <c r="AI18" s="19">
        <f t="shared" si="13"/>
        <v>0.67008547008547004</v>
      </c>
      <c r="AJ18" s="19">
        <f t="shared" si="14"/>
        <v>0.7384615384615385</v>
      </c>
      <c r="AK18" s="9"/>
      <c r="AL18" s="3">
        <f t="shared" si="15"/>
        <v>1984</v>
      </c>
      <c r="AM18" s="9">
        <f t="shared" si="30"/>
        <v>-20</v>
      </c>
      <c r="AN18" s="3">
        <f t="shared" si="16"/>
        <v>245</v>
      </c>
      <c r="AO18" s="3">
        <f t="shared" si="17"/>
        <v>335</v>
      </c>
      <c r="AP18" s="3">
        <f t="shared" si="18"/>
        <v>130</v>
      </c>
      <c r="AQ18" s="3">
        <f t="shared" si="19"/>
        <v>220</v>
      </c>
      <c r="AR18" s="3">
        <f t="shared" si="20"/>
        <v>145</v>
      </c>
      <c r="AS18" s="3">
        <f t="shared" si="21"/>
        <v>20</v>
      </c>
      <c r="AT18" s="3">
        <f t="shared" si="22"/>
        <v>85</v>
      </c>
      <c r="AU18" s="3">
        <f t="shared" si="23"/>
        <v>70</v>
      </c>
      <c r="AV18" s="3">
        <f t="shared" si="24"/>
        <v>112</v>
      </c>
      <c r="AW18" s="3">
        <f t="shared" si="25"/>
        <v>165</v>
      </c>
      <c r="AX18" s="3">
        <f t="shared" si="26"/>
        <v>-25</v>
      </c>
      <c r="AY18" s="3"/>
      <c r="AZ18" s="3">
        <f t="shared" si="27"/>
        <v>1984</v>
      </c>
      <c r="BA18" s="18">
        <f>'Total Retail'!B18/B18</f>
        <v>0.95283446712018138</v>
      </c>
      <c r="BB18" s="19">
        <f>'Total Retail'!C18/C18</f>
        <v>0.93419354838709678</v>
      </c>
      <c r="BC18" s="19">
        <f>'Total Retail'!D18/D18</f>
        <v>0.93198198198198201</v>
      </c>
      <c r="BD18" s="19">
        <f>'Total Retail'!E18/E18</f>
        <v>0.94166666666666665</v>
      </c>
      <c r="BE18" s="19">
        <f>'Total Retail'!F18/F18</f>
        <v>0.94575471698113212</v>
      </c>
      <c r="BF18" s="19">
        <f>'Total Retail'!G18/G18</f>
        <v>0.94180138568129335</v>
      </c>
      <c r="BG18" s="19">
        <f>'Total Retail'!H18/H18</f>
        <v>0.94304932735426006</v>
      </c>
      <c r="BH18" s="19">
        <f>'Total Retail'!I18/I18</f>
        <v>0.94337078651685391</v>
      </c>
      <c r="BI18" s="19">
        <f>'Total Retail'!J18/J18</f>
        <v>0.92888888888888888</v>
      </c>
      <c r="BJ18" s="19">
        <f>'Total Retail'!K18/K18</f>
        <v>0.9495592556317336</v>
      </c>
      <c r="BK18" s="19">
        <f>'Total Retail'!L18/L18</f>
        <v>0.92244897959183669</v>
      </c>
      <c r="BL18" s="19">
        <f>'Total Retail'!M18/M18</f>
        <v>0.9467592592592593</v>
      </c>
      <c r="BM18" s="3"/>
      <c r="BN18" s="3">
        <f t="shared" si="28"/>
        <v>1984</v>
      </c>
      <c r="BO18" s="18">
        <f>'Firm Retail'!B17/B18</f>
        <v>0.86485260770975059</v>
      </c>
      <c r="BP18" s="19">
        <f>'Firm Retail'!C17/C18</f>
        <v>0.85892473118279566</v>
      </c>
      <c r="BQ18" s="19">
        <f>'Firm Retail'!D17/D18</f>
        <v>0.83603603603603605</v>
      </c>
      <c r="BR18" s="19">
        <f>'Firm Retail'!E17/E18</f>
        <v>0.83166666666666667</v>
      </c>
      <c r="BS18" s="19">
        <f>'Firm Retail'!F17/F18</f>
        <v>0.84858490566037736</v>
      </c>
      <c r="BT18" s="19">
        <f>'Firm Retail'!G17/G18</f>
        <v>0.83464203233256351</v>
      </c>
      <c r="BU18" s="19">
        <f>'Firm Retail'!H17/H18</f>
        <v>0.82959641255605376</v>
      </c>
      <c r="BV18" s="19">
        <f>'Firm Retail'!I17/I18</f>
        <v>0.83820224719101122</v>
      </c>
      <c r="BW18" s="19">
        <f>'Firm Retail'!J17/J18</f>
        <v>0.82444444444444442</v>
      </c>
      <c r="BX18" s="19">
        <f>'Firm Retail'!K17/K18</f>
        <v>0.82419196865817823</v>
      </c>
      <c r="BY18" s="19">
        <f>'Firm Retail'!L17/L18</f>
        <v>0.81734693877551023</v>
      </c>
      <c r="BZ18" s="19">
        <f>'Firm Retail'!M17/M18</f>
        <v>0.84120370370370368</v>
      </c>
    </row>
    <row r="19" spans="1:78" ht="15.75">
      <c r="A19" s="323">
        <v>1985</v>
      </c>
      <c r="B19" s="174">
        <v>2925</v>
      </c>
      <c r="C19" s="3">
        <v>2390</v>
      </c>
      <c r="D19" s="3">
        <v>1925</v>
      </c>
      <c r="E19" s="3">
        <v>1900</v>
      </c>
      <c r="F19" s="3">
        <v>2270</v>
      </c>
      <c r="G19" s="168">
        <v>2545</v>
      </c>
      <c r="H19" s="3">
        <v>2320</v>
      </c>
      <c r="I19" s="3">
        <v>2325</v>
      </c>
      <c r="J19" s="3">
        <v>2315</v>
      </c>
      <c r="K19" s="3">
        <v>2230</v>
      </c>
      <c r="L19" s="3">
        <v>1940</v>
      </c>
      <c r="M19" s="3">
        <v>2480</v>
      </c>
      <c r="N19"/>
      <c r="O19" s="26" t="s">
        <v>32</v>
      </c>
      <c r="P19" s="12">
        <f t="shared" si="2"/>
        <v>2925</v>
      </c>
      <c r="Q19" s="13">
        <f t="shared" si="0"/>
        <v>2545</v>
      </c>
      <c r="R19" s="12">
        <f t="shared" si="31"/>
        <v>2160</v>
      </c>
      <c r="S19" s="13">
        <f t="shared" si="1"/>
        <v>2925</v>
      </c>
      <c r="T19" s="9"/>
      <c r="U19" s="3"/>
      <c r="V19" s="3"/>
      <c r="W19" s="423"/>
      <c r="X19" s="3">
        <f t="shared" si="3"/>
        <v>1985</v>
      </c>
      <c r="Y19" s="18">
        <f t="shared" si="29"/>
        <v>1</v>
      </c>
      <c r="Z19" s="19">
        <f t="shared" si="4"/>
        <v>0.81709401709401708</v>
      </c>
      <c r="AA19" s="19">
        <f t="shared" si="5"/>
        <v>0.65811965811965811</v>
      </c>
      <c r="AB19" s="18">
        <f t="shared" si="6"/>
        <v>0.74656188605108054</v>
      </c>
      <c r="AC19" s="19">
        <f t="shared" si="7"/>
        <v>0.89194499017681728</v>
      </c>
      <c r="AD19" s="19">
        <f t="shared" si="8"/>
        <v>1</v>
      </c>
      <c r="AE19" s="19">
        <f t="shared" si="9"/>
        <v>0.91159135559921411</v>
      </c>
      <c r="AF19" s="19">
        <f t="shared" si="10"/>
        <v>0.91355599214145378</v>
      </c>
      <c r="AG19" s="19">
        <f t="shared" si="11"/>
        <v>0.90962671905697445</v>
      </c>
      <c r="AH19" s="18">
        <f t="shared" si="12"/>
        <v>0.80215827338129497</v>
      </c>
      <c r="AI19" s="19">
        <f t="shared" si="13"/>
        <v>0.69784172661870503</v>
      </c>
      <c r="AJ19" s="19">
        <f t="shared" si="14"/>
        <v>0.8920863309352518</v>
      </c>
      <c r="AK19" s="9"/>
      <c r="AL19" s="3">
        <f t="shared" si="15"/>
        <v>1985</v>
      </c>
      <c r="AM19" s="9">
        <f t="shared" si="30"/>
        <v>720</v>
      </c>
      <c r="AN19" s="3">
        <f t="shared" si="16"/>
        <v>65</v>
      </c>
      <c r="AO19" s="3">
        <f t="shared" si="17"/>
        <v>-295</v>
      </c>
      <c r="AP19" s="3">
        <f t="shared" si="18"/>
        <v>100</v>
      </c>
      <c r="AQ19" s="3">
        <f t="shared" si="19"/>
        <v>150</v>
      </c>
      <c r="AR19" s="3">
        <f t="shared" si="20"/>
        <v>380</v>
      </c>
      <c r="AS19" s="3">
        <f t="shared" si="21"/>
        <v>90</v>
      </c>
      <c r="AT19" s="3">
        <f t="shared" si="22"/>
        <v>100</v>
      </c>
      <c r="AU19" s="3">
        <f t="shared" si="23"/>
        <v>65</v>
      </c>
      <c r="AV19" s="3">
        <f t="shared" si="24"/>
        <v>188</v>
      </c>
      <c r="AW19" s="3">
        <f t="shared" si="25"/>
        <v>-20</v>
      </c>
      <c r="AX19" s="3">
        <f t="shared" si="26"/>
        <v>320</v>
      </c>
      <c r="AY19" s="3"/>
      <c r="AZ19" s="3">
        <f t="shared" si="27"/>
        <v>1985</v>
      </c>
      <c r="BA19" s="18">
        <f>'Total Retail'!B19/B19</f>
        <v>0.93606837606837612</v>
      </c>
      <c r="BB19" s="19">
        <f>'Total Retail'!C19/C19</f>
        <v>0.92635983263598332</v>
      </c>
      <c r="BC19" s="19">
        <f>'Total Retail'!D19/D19</f>
        <v>0.91012987012987012</v>
      </c>
      <c r="BD19" s="19">
        <f>'Total Retail'!E19/E19</f>
        <v>0.9357894736842105</v>
      </c>
      <c r="BE19" s="19">
        <f>'Total Retail'!F19/F19</f>
        <v>0.93348017621145374</v>
      </c>
      <c r="BF19" s="19">
        <f>'Total Retail'!G19/G19</f>
        <v>0.93831041257367387</v>
      </c>
      <c r="BG19" s="19">
        <f>'Total Retail'!H19/H19</f>
        <v>0.9280172413793103</v>
      </c>
      <c r="BH19" s="19">
        <f>'Total Retail'!I19/I19</f>
        <v>0.9311827956989247</v>
      </c>
      <c r="BI19" s="19">
        <f>'Total Retail'!J19/J19</f>
        <v>0.92829373650107994</v>
      </c>
      <c r="BJ19" s="19">
        <f>'Total Retail'!K19/K19</f>
        <v>0.93318385650224212</v>
      </c>
      <c r="BK19" s="19">
        <f>'Total Retail'!L19/L19</f>
        <v>0.93505154639175259</v>
      </c>
      <c r="BL19" s="19">
        <f>'Total Retail'!M19/M19</f>
        <v>0.9330645161290323</v>
      </c>
      <c r="BM19" s="3"/>
      <c r="BN19" s="3">
        <f t="shared" si="28"/>
        <v>1985</v>
      </c>
      <c r="BO19" s="18">
        <f>'Firm Retail'!B18/B19</f>
        <v>0.86427350427350424</v>
      </c>
      <c r="BP19" s="19">
        <f>'Firm Retail'!C18/C19</f>
        <v>0.81841004184100419</v>
      </c>
      <c r="BQ19" s="19">
        <f>'Firm Retail'!D18/D19</f>
        <v>0.78961038961038965</v>
      </c>
      <c r="BR19" s="19">
        <f>'Firm Retail'!E18/E19</f>
        <v>0.79368421052631577</v>
      </c>
      <c r="BS19" s="19">
        <f>'Firm Retail'!F18/F19</f>
        <v>0.83303964757709248</v>
      </c>
      <c r="BT19" s="19">
        <f>'Firm Retail'!G18/G19</f>
        <v>0.8208251473477407</v>
      </c>
      <c r="BU19" s="19">
        <f>'Firm Retail'!H18/H19</f>
        <v>0.82586206896551728</v>
      </c>
      <c r="BV19" s="19">
        <f>'Firm Retail'!I18/I19</f>
        <v>0.83483870967741935</v>
      </c>
      <c r="BW19" s="19">
        <f>'Firm Retail'!J18/J19</f>
        <v>0.83930885529157673</v>
      </c>
      <c r="BX19" s="19">
        <f>'Firm Retail'!K18/K19</f>
        <v>0.81165919282511212</v>
      </c>
      <c r="BY19" s="19">
        <f>'Firm Retail'!L18/L19</f>
        <v>0.78969072164948451</v>
      </c>
      <c r="BZ19" s="19">
        <f>'Firm Retail'!M18/M19</f>
        <v>0.85443548387096779</v>
      </c>
    </row>
    <row r="20" spans="1:78" ht="15.75">
      <c r="A20" s="323">
        <v>1986</v>
      </c>
      <c r="B20" s="174">
        <v>2780</v>
      </c>
      <c r="C20" s="3">
        <v>2420</v>
      </c>
      <c r="D20" s="3">
        <v>2020</v>
      </c>
      <c r="E20" s="3">
        <v>1830</v>
      </c>
      <c r="F20" s="3">
        <v>2210</v>
      </c>
      <c r="G20" s="3">
        <v>2260</v>
      </c>
      <c r="H20" s="3">
        <v>2285</v>
      </c>
      <c r="I20" s="168">
        <v>2325</v>
      </c>
      <c r="J20" s="3">
        <v>2290</v>
      </c>
      <c r="K20" s="3">
        <v>2350</v>
      </c>
      <c r="L20" s="3">
        <v>1950</v>
      </c>
      <c r="M20" s="3">
        <v>1835</v>
      </c>
      <c r="N20"/>
      <c r="O20" s="26" t="s">
        <v>33</v>
      </c>
      <c r="P20" s="12">
        <f t="shared" si="2"/>
        <v>2780</v>
      </c>
      <c r="Q20" s="13">
        <f t="shared" si="0"/>
        <v>2325</v>
      </c>
      <c r="R20" s="12">
        <f t="shared" si="31"/>
        <v>2480</v>
      </c>
      <c r="S20" s="13">
        <f t="shared" si="1"/>
        <v>2780</v>
      </c>
      <c r="T20" s="9"/>
      <c r="U20" s="3"/>
      <c r="V20" s="3"/>
      <c r="W20" s="423"/>
      <c r="X20" s="3">
        <f t="shared" si="3"/>
        <v>1986</v>
      </c>
      <c r="Y20" s="18">
        <f t="shared" si="29"/>
        <v>1</v>
      </c>
      <c r="Z20" s="19">
        <f t="shared" si="4"/>
        <v>0.87050359712230219</v>
      </c>
      <c r="AA20" s="19">
        <f t="shared" si="5"/>
        <v>0.72661870503597126</v>
      </c>
      <c r="AB20" s="18">
        <f t="shared" si="6"/>
        <v>0.7870967741935484</v>
      </c>
      <c r="AC20" s="19">
        <f t="shared" si="7"/>
        <v>0.95053763440860217</v>
      </c>
      <c r="AD20" s="19">
        <f t="shared" si="8"/>
        <v>0.97204301075268817</v>
      </c>
      <c r="AE20" s="19">
        <f t="shared" si="9"/>
        <v>0.98279569892473118</v>
      </c>
      <c r="AF20" s="19">
        <f t="shared" si="10"/>
        <v>1</v>
      </c>
      <c r="AG20" s="19">
        <f t="shared" si="11"/>
        <v>0.98494623655913982</v>
      </c>
      <c r="AH20" s="18">
        <f t="shared" si="12"/>
        <v>0.96707818930041156</v>
      </c>
      <c r="AI20" s="19">
        <f t="shared" si="13"/>
        <v>0.80246913580246915</v>
      </c>
      <c r="AJ20" s="19">
        <f t="shared" si="14"/>
        <v>0.75514403292181065</v>
      </c>
      <c r="AK20" s="9"/>
      <c r="AL20" s="3">
        <f t="shared" si="15"/>
        <v>1986</v>
      </c>
      <c r="AM20" s="9">
        <f t="shared" si="30"/>
        <v>-145</v>
      </c>
      <c r="AN20" s="3">
        <f t="shared" si="16"/>
        <v>30</v>
      </c>
      <c r="AO20" s="3">
        <f t="shared" si="17"/>
        <v>95</v>
      </c>
      <c r="AP20" s="3">
        <f t="shared" si="18"/>
        <v>-70</v>
      </c>
      <c r="AQ20" s="3">
        <f t="shared" si="19"/>
        <v>-60</v>
      </c>
      <c r="AR20" s="3">
        <f t="shared" si="20"/>
        <v>-285</v>
      </c>
      <c r="AS20" s="3">
        <f t="shared" si="21"/>
        <v>-35</v>
      </c>
      <c r="AT20" s="3">
        <f t="shared" si="22"/>
        <v>0</v>
      </c>
      <c r="AU20" s="3">
        <f t="shared" si="23"/>
        <v>-25</v>
      </c>
      <c r="AV20" s="3">
        <f t="shared" si="24"/>
        <v>120</v>
      </c>
      <c r="AW20" s="3">
        <f t="shared" si="25"/>
        <v>10</v>
      </c>
      <c r="AX20" s="3">
        <f t="shared" si="26"/>
        <v>-645</v>
      </c>
      <c r="AY20" s="3"/>
      <c r="AZ20" s="3">
        <f t="shared" si="27"/>
        <v>1986</v>
      </c>
      <c r="BA20" s="18">
        <f>'Total Retail'!B20/B20</f>
        <v>0.93453237410071943</v>
      </c>
      <c r="BB20" s="19">
        <f>'Total Retail'!C20/C20</f>
        <v>0.91942148760330578</v>
      </c>
      <c r="BC20" s="19">
        <f>'Total Retail'!D20/D20</f>
        <v>0.92623762376237628</v>
      </c>
      <c r="BD20" s="19">
        <f>'Total Retail'!E20/E20</f>
        <v>0.94535519125683065</v>
      </c>
      <c r="BE20" s="19">
        <f>'Total Retail'!F20/F20</f>
        <v>0.95113122171945697</v>
      </c>
      <c r="BF20" s="19">
        <f>'Total Retail'!G20/G20</f>
        <v>0.93893805309734513</v>
      </c>
      <c r="BG20" s="19">
        <f>'Total Retail'!H20/H20</f>
        <v>0.92735229759299787</v>
      </c>
      <c r="BH20" s="19">
        <f>'Total Retail'!I20/I20</f>
        <v>0.94623655913978499</v>
      </c>
      <c r="BI20" s="19">
        <f>'Total Retail'!J20/J20</f>
        <v>0.94454148471615718</v>
      </c>
      <c r="BJ20" s="19">
        <f>'Total Retail'!K20/K20</f>
        <v>0.92255319148936166</v>
      </c>
      <c r="BK20" s="19">
        <f>'Total Retail'!L20/L20</f>
        <v>0.94</v>
      </c>
      <c r="BL20" s="19">
        <f>'Total Retail'!M20/M20</f>
        <v>0.93405994550408722</v>
      </c>
      <c r="BM20" s="3"/>
      <c r="BN20" s="3">
        <f t="shared" si="28"/>
        <v>1986</v>
      </c>
      <c r="BO20" s="18">
        <f>'Firm Retail'!B19/B20</f>
        <v>0.84820143884892085</v>
      </c>
      <c r="BP20" s="19">
        <f>'Firm Retail'!C19/C20</f>
        <v>0.77272727272727271</v>
      </c>
      <c r="BQ20" s="19">
        <f>'Firm Retail'!D19/D20</f>
        <v>0.83960396039603957</v>
      </c>
      <c r="BR20" s="19">
        <f>'Firm Retail'!E19/E20</f>
        <v>0.83387978142076502</v>
      </c>
      <c r="BS20" s="19">
        <f>'Firm Retail'!F19/F20</f>
        <v>0.84479638009049773</v>
      </c>
      <c r="BT20" s="19">
        <f>'Firm Retail'!G19/G20</f>
        <v>0.85088495575221235</v>
      </c>
      <c r="BU20" s="19">
        <f>'Firm Retail'!H19/H20</f>
        <v>0.85120350109409193</v>
      </c>
      <c r="BV20" s="19">
        <f>'Firm Retail'!I19/I20</f>
        <v>0.86537634408602149</v>
      </c>
      <c r="BW20" s="19">
        <f>'Firm Retail'!J19/J20</f>
        <v>0.84148471615720521</v>
      </c>
      <c r="BX20" s="19">
        <f>'Firm Retail'!K19/K20</f>
        <v>0.84425531914893615</v>
      </c>
      <c r="BY20" s="19">
        <f>'Firm Retail'!L19/L20</f>
        <v>0.83846153846153848</v>
      </c>
      <c r="BZ20" s="19">
        <f>'Firm Retail'!M19/M20</f>
        <v>0.82070844686648503</v>
      </c>
    </row>
    <row r="21" spans="1:78" ht="15.75">
      <c r="A21" s="323">
        <v>1987</v>
      </c>
      <c r="B21" s="3">
        <v>2360</v>
      </c>
      <c r="C21" s="174">
        <v>2430</v>
      </c>
      <c r="D21" s="3">
        <v>1835</v>
      </c>
      <c r="E21" s="3">
        <v>2050</v>
      </c>
      <c r="F21" s="3">
        <v>2135</v>
      </c>
      <c r="G21" s="3">
        <v>2400</v>
      </c>
      <c r="H21" s="3">
        <v>2450</v>
      </c>
      <c r="I21" s="168">
        <v>2535</v>
      </c>
      <c r="J21" s="3">
        <v>2440</v>
      </c>
      <c r="K21" s="3">
        <v>2025</v>
      </c>
      <c r="L21" s="3">
        <v>1890</v>
      </c>
      <c r="M21" s="3">
        <v>2400</v>
      </c>
      <c r="N21"/>
      <c r="O21" s="26" t="s">
        <v>34</v>
      </c>
      <c r="P21" s="12">
        <f t="shared" si="2"/>
        <v>2430</v>
      </c>
      <c r="Q21" s="13">
        <f t="shared" si="0"/>
        <v>2535</v>
      </c>
      <c r="R21" s="12">
        <f t="shared" si="31"/>
        <v>1950</v>
      </c>
      <c r="S21" s="13">
        <f t="shared" si="1"/>
        <v>2430</v>
      </c>
      <c r="T21" s="9"/>
      <c r="U21" s="3"/>
      <c r="V21" s="3"/>
      <c r="W21" s="423"/>
      <c r="X21" s="3">
        <f t="shared" si="3"/>
        <v>1987</v>
      </c>
      <c r="Y21" s="18">
        <f t="shared" si="29"/>
        <v>0.9711934156378601</v>
      </c>
      <c r="Z21" s="19">
        <f t="shared" si="4"/>
        <v>1</v>
      </c>
      <c r="AA21" s="19">
        <f t="shared" si="5"/>
        <v>0.75514403292181065</v>
      </c>
      <c r="AB21" s="18">
        <f t="shared" si="6"/>
        <v>0.80867850098619332</v>
      </c>
      <c r="AC21" s="19">
        <f t="shared" si="7"/>
        <v>0.84220907297830372</v>
      </c>
      <c r="AD21" s="19">
        <f t="shared" si="8"/>
        <v>0.94674556213017746</v>
      </c>
      <c r="AE21" s="19">
        <f t="shared" si="9"/>
        <v>0.9664694280078896</v>
      </c>
      <c r="AF21" s="19">
        <f t="shared" si="10"/>
        <v>1</v>
      </c>
      <c r="AG21" s="19">
        <f t="shared" si="11"/>
        <v>0.96252465483234717</v>
      </c>
      <c r="AH21" s="18">
        <f t="shared" si="12"/>
        <v>0.72841726618705038</v>
      </c>
      <c r="AI21" s="19">
        <f t="shared" si="13"/>
        <v>0.67985611510791366</v>
      </c>
      <c r="AJ21" s="19">
        <f t="shared" si="14"/>
        <v>0.86330935251798557</v>
      </c>
      <c r="AK21" s="9"/>
      <c r="AL21" s="3">
        <f t="shared" si="15"/>
        <v>1987</v>
      </c>
      <c r="AM21" s="9">
        <f t="shared" si="30"/>
        <v>-420</v>
      </c>
      <c r="AN21" s="3">
        <f t="shared" si="16"/>
        <v>10</v>
      </c>
      <c r="AO21" s="3">
        <f t="shared" si="17"/>
        <v>-185</v>
      </c>
      <c r="AP21" s="3">
        <f t="shared" si="18"/>
        <v>220</v>
      </c>
      <c r="AQ21" s="3">
        <f t="shared" si="19"/>
        <v>-75</v>
      </c>
      <c r="AR21" s="3">
        <f t="shared" si="20"/>
        <v>140</v>
      </c>
      <c r="AS21" s="3">
        <f t="shared" si="21"/>
        <v>165</v>
      </c>
      <c r="AT21" s="3">
        <f t="shared" si="22"/>
        <v>210</v>
      </c>
      <c r="AU21" s="3">
        <f t="shared" si="23"/>
        <v>150</v>
      </c>
      <c r="AV21" s="3">
        <f t="shared" si="24"/>
        <v>-325</v>
      </c>
      <c r="AW21" s="3">
        <f t="shared" si="25"/>
        <v>-60</v>
      </c>
      <c r="AX21" s="3">
        <f t="shared" si="26"/>
        <v>565</v>
      </c>
      <c r="AY21" s="3"/>
      <c r="AZ21" s="3">
        <f t="shared" si="27"/>
        <v>1987</v>
      </c>
      <c r="BA21" s="18">
        <f>'Total Retail'!B21/B21</f>
        <v>0.92330508474576267</v>
      </c>
      <c r="BB21" s="19">
        <f>'Total Retail'!C21/C21</f>
        <v>0.93333333333333335</v>
      </c>
      <c r="BC21" s="19">
        <f>'Total Retail'!D21/D21</f>
        <v>0.93623978201634872</v>
      </c>
      <c r="BD21" s="19">
        <f>'Total Retail'!E21/E21</f>
        <v>0.90975609756097564</v>
      </c>
      <c r="BE21" s="19">
        <f>'Total Retail'!F21/F21</f>
        <v>0.94379391100702581</v>
      </c>
      <c r="BF21" s="19">
        <f>'Total Retail'!G21/G21</f>
        <v>0.93874999999999997</v>
      </c>
      <c r="BG21" s="19">
        <f>'Total Retail'!H21/H21</f>
        <v>0.95346938775510204</v>
      </c>
      <c r="BH21" s="19">
        <f>'Total Retail'!I21/I21</f>
        <v>0.94753451676528599</v>
      </c>
      <c r="BI21" s="19">
        <f>'Total Retail'!J21/J21</f>
        <v>0.94139344262295077</v>
      </c>
      <c r="BJ21" s="19">
        <f>'Total Retail'!K21/K21</f>
        <v>0.94864197530864203</v>
      </c>
      <c r="BK21" s="19">
        <f>'Total Retail'!L21/L21</f>
        <v>0.91640211640211644</v>
      </c>
      <c r="BL21" s="19">
        <f>'Total Retail'!M21/M21</f>
        <v>0.93916666666666671</v>
      </c>
      <c r="BM21" s="3"/>
      <c r="BN21" s="3">
        <f t="shared" si="28"/>
        <v>1987</v>
      </c>
      <c r="BO21" s="18">
        <f>'Firm Retail'!B20/B21</f>
        <v>0.82923728813559328</v>
      </c>
      <c r="BP21" s="19">
        <f>'Firm Retail'!C20/C21</f>
        <v>0.8378600823045268</v>
      </c>
      <c r="BQ21" s="19">
        <f>'Firm Retail'!D20/D21</f>
        <v>0.82561307901907355</v>
      </c>
      <c r="BR21" s="19">
        <f>'Firm Retail'!E20/E21</f>
        <v>0.81853658536585361</v>
      </c>
      <c r="BS21" s="19">
        <f>'Firm Retail'!F20/F21</f>
        <v>0.82014051522248244</v>
      </c>
      <c r="BT21" s="19">
        <f>'Firm Retail'!G20/G21</f>
        <v>0.84958333333333336</v>
      </c>
      <c r="BU21" s="19">
        <f>'Firm Retail'!H20/H21</f>
        <v>0.84897959183673466</v>
      </c>
      <c r="BV21" s="19">
        <f>'Firm Retail'!I20/I21</f>
        <v>0.84970414201183431</v>
      </c>
      <c r="BW21" s="19">
        <f>'Firm Retail'!J20/J21</f>
        <v>0.85245901639344257</v>
      </c>
      <c r="BX21" s="19">
        <f>'Firm Retail'!K20/K21</f>
        <v>0.81530864197530861</v>
      </c>
      <c r="BY21" s="19">
        <f>'Firm Retail'!L20/L21</f>
        <v>0.79259259259259263</v>
      </c>
      <c r="BZ21" s="19">
        <f>'Firm Retail'!M20/M21</f>
        <v>0.80666666666666664</v>
      </c>
    </row>
    <row r="22" spans="1:78" ht="15.75">
      <c r="A22" s="323">
        <v>1988</v>
      </c>
      <c r="B22" s="174">
        <v>2780</v>
      </c>
      <c r="C22" s="3">
        <v>2365</v>
      </c>
      <c r="D22" s="3">
        <v>2400</v>
      </c>
      <c r="E22" s="3">
        <v>2135</v>
      </c>
      <c r="F22" s="3">
        <v>2410</v>
      </c>
      <c r="G22" s="3">
        <v>2465</v>
      </c>
      <c r="H22" s="168">
        <v>2610</v>
      </c>
      <c r="I22" s="3">
        <v>2565</v>
      </c>
      <c r="J22" s="3">
        <v>2505</v>
      </c>
      <c r="K22" s="3">
        <v>2210</v>
      </c>
      <c r="L22" s="3">
        <v>2050</v>
      </c>
      <c r="M22" s="3">
        <v>2695</v>
      </c>
      <c r="N22"/>
      <c r="O22" s="26" t="s">
        <v>35</v>
      </c>
      <c r="P22" s="12">
        <f t="shared" si="2"/>
        <v>2780</v>
      </c>
      <c r="Q22" s="13">
        <f t="shared" si="0"/>
        <v>2610</v>
      </c>
      <c r="R22" s="12">
        <f t="shared" si="31"/>
        <v>2400</v>
      </c>
      <c r="S22" s="177">
        <f t="shared" si="1"/>
        <v>2780</v>
      </c>
      <c r="T22" s="3"/>
      <c r="U22" s="3"/>
      <c r="V22" s="3"/>
      <c r="W22" s="423"/>
      <c r="X22" s="3">
        <f t="shared" si="3"/>
        <v>1988</v>
      </c>
      <c r="Y22" s="18">
        <f t="shared" si="29"/>
        <v>1</v>
      </c>
      <c r="Z22" s="19">
        <f t="shared" si="4"/>
        <v>0.85071942446043169</v>
      </c>
      <c r="AA22" s="19">
        <f t="shared" si="5"/>
        <v>0.86330935251798557</v>
      </c>
      <c r="AB22" s="18">
        <f t="shared" si="6"/>
        <v>0.81800766283524906</v>
      </c>
      <c r="AC22" s="19">
        <f t="shared" si="7"/>
        <v>0.92337164750957856</v>
      </c>
      <c r="AD22" s="19">
        <f t="shared" si="8"/>
        <v>0.94444444444444442</v>
      </c>
      <c r="AE22" s="19">
        <f t="shared" si="9"/>
        <v>1</v>
      </c>
      <c r="AF22" s="19">
        <f t="shared" si="10"/>
        <v>0.98275862068965514</v>
      </c>
      <c r="AG22" s="19">
        <f t="shared" si="11"/>
        <v>0.95977011494252873</v>
      </c>
      <c r="AH22" s="18">
        <f t="shared" si="12"/>
        <v>0.80952380952380953</v>
      </c>
      <c r="AI22" s="19">
        <f t="shared" si="13"/>
        <v>0.75091575091575091</v>
      </c>
      <c r="AJ22" s="19">
        <f t="shared" si="14"/>
        <v>0.98717948717948723</v>
      </c>
      <c r="AK22" s="9"/>
      <c r="AL22" s="3">
        <f t="shared" si="15"/>
        <v>1988</v>
      </c>
      <c r="AM22" s="9">
        <f t="shared" si="30"/>
        <v>420</v>
      </c>
      <c r="AN22" s="3">
        <f t="shared" si="16"/>
        <v>-65</v>
      </c>
      <c r="AO22" s="3">
        <f t="shared" si="17"/>
        <v>565</v>
      </c>
      <c r="AP22" s="3">
        <f t="shared" si="18"/>
        <v>85</v>
      </c>
      <c r="AQ22" s="3">
        <f t="shared" si="19"/>
        <v>275</v>
      </c>
      <c r="AR22" s="3">
        <f t="shared" si="20"/>
        <v>65</v>
      </c>
      <c r="AS22" s="3">
        <f t="shared" si="21"/>
        <v>160</v>
      </c>
      <c r="AT22" s="3">
        <f t="shared" si="22"/>
        <v>30</v>
      </c>
      <c r="AU22" s="3">
        <f t="shared" si="23"/>
        <v>65</v>
      </c>
      <c r="AV22" s="3">
        <f t="shared" si="24"/>
        <v>185</v>
      </c>
      <c r="AW22" s="3">
        <f t="shared" si="25"/>
        <v>160</v>
      </c>
      <c r="AX22" s="3">
        <f t="shared" si="26"/>
        <v>295</v>
      </c>
      <c r="AY22" s="3"/>
      <c r="AZ22" s="3">
        <f t="shared" si="27"/>
        <v>1988</v>
      </c>
      <c r="BA22" s="18">
        <f>'Total Retail'!B22/B22</f>
        <v>0.94244604316546765</v>
      </c>
      <c r="BB22" s="19">
        <f>'Total Retail'!C22/C22</f>
        <v>0.93953488372093019</v>
      </c>
      <c r="BC22" s="19">
        <f>'Total Retail'!D22/D22</f>
        <v>0.92583333333333329</v>
      </c>
      <c r="BD22" s="19">
        <f>'Total Retail'!E22/E22</f>
        <v>0.93957845433255271</v>
      </c>
      <c r="BE22" s="19">
        <f>'Total Retail'!F22/F22</f>
        <v>0.94979253112033191</v>
      </c>
      <c r="BF22" s="19">
        <f>'Total Retail'!G22/G22</f>
        <v>0.94604462474645035</v>
      </c>
      <c r="BG22" s="19">
        <f>'Total Retail'!H22/H22</f>
        <v>0.94865900383141766</v>
      </c>
      <c r="BH22" s="19">
        <f>'Total Retail'!I22/I22</f>
        <v>0.95204678362573103</v>
      </c>
      <c r="BI22" s="19">
        <f>'Total Retail'!J22/J22</f>
        <v>0.94091816367265468</v>
      </c>
      <c r="BJ22" s="19">
        <f>'Total Retail'!K22/K22</f>
        <v>0.94208144796380089</v>
      </c>
      <c r="BK22" s="19">
        <f>'Total Retail'!L22/L22</f>
        <v>0.93024390243902444</v>
      </c>
      <c r="BL22" s="19">
        <f>'Total Retail'!M22/M22</f>
        <v>0.94842300556586268</v>
      </c>
      <c r="BM22" s="3"/>
      <c r="BN22" s="3">
        <f t="shared" si="28"/>
        <v>1988</v>
      </c>
      <c r="BO22" s="18">
        <f>'Firm Retail'!B21/B22</f>
        <v>0.82769784172661875</v>
      </c>
      <c r="BP22" s="19">
        <f>'Firm Retail'!C21/C22</f>
        <v>0.82367864693446091</v>
      </c>
      <c r="BQ22" s="19">
        <f>'Firm Retail'!D21/D22</f>
        <v>0.80541666666666667</v>
      </c>
      <c r="BR22" s="19">
        <f>'Firm Retail'!E21/E22</f>
        <v>0.81451990632318505</v>
      </c>
      <c r="BS22" s="19">
        <f>'Firm Retail'!F21/F22</f>
        <v>0.82655601659751032</v>
      </c>
      <c r="BT22" s="19">
        <f>'Firm Retail'!G21/G22</f>
        <v>0.8421906693711968</v>
      </c>
      <c r="BU22" s="19">
        <f>'Firm Retail'!H21/H22</f>
        <v>0.83486590038314179</v>
      </c>
      <c r="BV22" s="19">
        <f>'Firm Retail'!I21/I22</f>
        <v>0.83235867446393763</v>
      </c>
      <c r="BW22" s="19">
        <f>'Firm Retail'!J21/J22</f>
        <v>0.82994011976047899</v>
      </c>
      <c r="BX22" s="19">
        <f>'Firm Retail'!K21/K22</f>
        <v>0.8407239819004525</v>
      </c>
      <c r="BY22" s="19">
        <f>'Firm Retail'!L21/L22</f>
        <v>0.82292682926829264</v>
      </c>
      <c r="BZ22" s="19">
        <f>'Firm Retail'!M21/M22</f>
        <v>0.8423005565862709</v>
      </c>
    </row>
    <row r="23" spans="1:78" ht="15.75">
      <c r="A23" s="323">
        <v>1989</v>
      </c>
      <c r="B23" s="3">
        <v>2060</v>
      </c>
      <c r="C23" s="174">
        <v>2730</v>
      </c>
      <c r="D23" s="3">
        <v>2270</v>
      </c>
      <c r="E23" s="3">
        <v>2200</v>
      </c>
      <c r="F23" s="3">
        <v>2565</v>
      </c>
      <c r="G23" s="3">
        <v>2710</v>
      </c>
      <c r="H23" s="3">
        <v>2665</v>
      </c>
      <c r="I23" s="168">
        <v>2724</v>
      </c>
      <c r="J23" s="3">
        <v>2602</v>
      </c>
      <c r="K23" s="3">
        <v>2433</v>
      </c>
      <c r="L23" s="3">
        <v>2085</v>
      </c>
      <c r="M23" s="174">
        <v>2872</v>
      </c>
      <c r="N23"/>
      <c r="O23" s="26" t="s">
        <v>36</v>
      </c>
      <c r="P23" s="12">
        <f t="shared" si="2"/>
        <v>2730</v>
      </c>
      <c r="Q23" s="13">
        <f t="shared" si="0"/>
        <v>2724</v>
      </c>
      <c r="R23" s="12">
        <f t="shared" si="31"/>
        <v>2695</v>
      </c>
      <c r="S23" s="177">
        <f t="shared" si="1"/>
        <v>2730</v>
      </c>
      <c r="T23" s="399">
        <f>SUM(B23:M23)</f>
        <v>29916</v>
      </c>
      <c r="U23" s="400"/>
      <c r="V23" s="398">
        <f t="shared" ref="V23:V47" si="32">T23-U23</f>
        <v>29916</v>
      </c>
      <c r="W23" s="423"/>
      <c r="X23" s="3">
        <f t="shared" si="3"/>
        <v>1989</v>
      </c>
      <c r="Y23" s="18">
        <f t="shared" si="29"/>
        <v>0.75457875457875456</v>
      </c>
      <c r="Z23" s="19">
        <f t="shared" si="4"/>
        <v>1</v>
      </c>
      <c r="AA23" s="19">
        <f t="shared" si="5"/>
        <v>0.83150183150183155</v>
      </c>
      <c r="AB23" s="18">
        <f t="shared" si="6"/>
        <v>0.80763582966226133</v>
      </c>
      <c r="AC23" s="19">
        <f t="shared" si="7"/>
        <v>0.94162995594713661</v>
      </c>
      <c r="AD23" s="19">
        <f t="shared" si="8"/>
        <v>0.99486049926578557</v>
      </c>
      <c r="AE23" s="19">
        <f t="shared" si="9"/>
        <v>0.97834067547723935</v>
      </c>
      <c r="AF23" s="19">
        <f t="shared" si="10"/>
        <v>1</v>
      </c>
      <c r="AG23" s="19">
        <f t="shared" si="11"/>
        <v>0.95521292217327458</v>
      </c>
      <c r="AH23" s="18">
        <f t="shared" si="12"/>
        <v>0.84714484679665736</v>
      </c>
      <c r="AI23" s="19">
        <f t="shared" si="13"/>
        <v>0.72597493036211702</v>
      </c>
      <c r="AJ23" s="19">
        <f t="shared" si="14"/>
        <v>1</v>
      </c>
      <c r="AK23" s="9"/>
      <c r="AL23" s="3">
        <f t="shared" si="15"/>
        <v>1989</v>
      </c>
      <c r="AM23" s="9">
        <f t="shared" si="30"/>
        <v>-720</v>
      </c>
      <c r="AN23" s="3">
        <f t="shared" si="16"/>
        <v>365</v>
      </c>
      <c r="AO23" s="3">
        <f t="shared" si="17"/>
        <v>-130</v>
      </c>
      <c r="AP23" s="3">
        <f t="shared" si="18"/>
        <v>65</v>
      </c>
      <c r="AQ23" s="3">
        <f t="shared" si="19"/>
        <v>155</v>
      </c>
      <c r="AR23" s="3">
        <f t="shared" si="20"/>
        <v>245</v>
      </c>
      <c r="AS23" s="3">
        <f t="shared" si="21"/>
        <v>55</v>
      </c>
      <c r="AT23" s="3">
        <f t="shared" si="22"/>
        <v>159</v>
      </c>
      <c r="AU23" s="3">
        <f t="shared" si="23"/>
        <v>97</v>
      </c>
      <c r="AV23" s="3">
        <f t="shared" si="24"/>
        <v>223</v>
      </c>
      <c r="AW23" s="3">
        <f t="shared" si="25"/>
        <v>35</v>
      </c>
      <c r="AX23" s="3">
        <f t="shared" si="26"/>
        <v>177</v>
      </c>
      <c r="AY23" s="3"/>
      <c r="AZ23" s="3">
        <f t="shared" si="27"/>
        <v>1989</v>
      </c>
      <c r="BA23" s="18">
        <f>'Total Retail'!B23/B23</f>
        <v>0.94368932038834952</v>
      </c>
      <c r="BB23" s="19">
        <f>'Total Retail'!C23/C23</f>
        <v>0.94652014652014649</v>
      </c>
      <c r="BC23" s="19">
        <f>'Total Retail'!D23/D23</f>
        <v>0.93656387665198237</v>
      </c>
      <c r="BD23" s="19">
        <f>'Total Retail'!E23/E23</f>
        <v>0.93772727272727274</v>
      </c>
      <c r="BE23" s="19">
        <f>'Total Retail'!F23/F23</f>
        <v>0.93450292397660817</v>
      </c>
      <c r="BF23" s="19">
        <f>'Total Retail'!G23/G23</f>
        <v>0.94280442804428044</v>
      </c>
      <c r="BG23" s="19">
        <f>'Total Retail'!H23/H23</f>
        <v>0.9545966228893058</v>
      </c>
      <c r="BH23" s="19">
        <f>'Total Retail'!I23/I23</f>
        <v>0.93759177679882522</v>
      </c>
      <c r="BI23" s="19">
        <f>'Total Retail'!J23/J23</f>
        <v>0.93966179861644894</v>
      </c>
      <c r="BJ23" s="19">
        <f>'Total Retail'!K23/K23</f>
        <v>0.94369091656391291</v>
      </c>
      <c r="BK23" s="19">
        <f>'Total Retail'!L23/L23</f>
        <v>0.93333333333333335</v>
      </c>
      <c r="BL23" s="19">
        <f>'Total Retail'!M23/M23</f>
        <v>0.94428969359331472</v>
      </c>
      <c r="BM23" s="3"/>
      <c r="BN23" s="3">
        <f t="shared" si="28"/>
        <v>1989</v>
      </c>
      <c r="BO23" s="18">
        <f>'Firm Retail'!B22/B23</f>
        <v>0.78737864077669906</v>
      </c>
      <c r="BP23" s="19">
        <f>'Firm Retail'!C22/C23</f>
        <v>0.81098901098901099</v>
      </c>
      <c r="BQ23" s="19">
        <f>'Firm Retail'!D22/D23</f>
        <v>0.78149779735682823</v>
      </c>
      <c r="BR23" s="19">
        <f>'Firm Retail'!E22/E23</f>
        <v>0.79409090909090907</v>
      </c>
      <c r="BS23" s="19">
        <f>'Firm Retail'!F22/F23</f>
        <v>0.81403508771929822</v>
      </c>
      <c r="BT23" s="19">
        <f>'Firm Retail'!G22/G23</f>
        <v>0.81328413284132839</v>
      </c>
      <c r="BU23" s="19">
        <f>'Firm Retail'!H22/H23</f>
        <v>0.8210131332082552</v>
      </c>
      <c r="BV23" s="19">
        <f>'Firm Retail'!I22/I23</f>
        <v>0.81975036710719529</v>
      </c>
      <c r="BW23" s="19">
        <f>'Firm Retail'!J22/J23</f>
        <v>0.83051498847040739</v>
      </c>
      <c r="BX23" s="19">
        <f>'Firm Retail'!K22/K23</f>
        <v>0.81298808055898064</v>
      </c>
      <c r="BY23" s="19">
        <f>'Firm Retail'!L22/L23</f>
        <v>0.815347721822542</v>
      </c>
      <c r="BZ23" s="19">
        <f>'Firm Retail'!M22/M23</f>
        <v>0.88683844011142066</v>
      </c>
    </row>
    <row r="24" spans="1:78" ht="15.75">
      <c r="A24" s="323">
        <v>1990</v>
      </c>
      <c r="B24" s="3">
        <v>2192</v>
      </c>
      <c r="C24" s="3">
        <v>2070</v>
      </c>
      <c r="D24" s="3">
        <v>2084</v>
      </c>
      <c r="E24" s="3">
        <v>2400</v>
      </c>
      <c r="F24" s="3">
        <v>2646</v>
      </c>
      <c r="G24" s="168">
        <v>2777</v>
      </c>
      <c r="H24" s="3">
        <v>2704</v>
      </c>
      <c r="I24" s="3">
        <v>2747</v>
      </c>
      <c r="J24" s="3">
        <v>2726</v>
      </c>
      <c r="K24" s="174">
        <v>2668</v>
      </c>
      <c r="L24" s="3">
        <v>2165</v>
      </c>
      <c r="M24" s="3">
        <v>2307</v>
      </c>
      <c r="N24"/>
      <c r="O24" s="26" t="s">
        <v>37</v>
      </c>
      <c r="P24" s="12">
        <f t="shared" si="2"/>
        <v>2872</v>
      </c>
      <c r="Q24" s="13">
        <f t="shared" si="0"/>
        <v>2777</v>
      </c>
      <c r="R24" s="12">
        <f t="shared" si="31"/>
        <v>2872</v>
      </c>
      <c r="S24" s="177">
        <f t="shared" si="1"/>
        <v>2192</v>
      </c>
      <c r="T24" s="399">
        <f t="shared" ref="T24:T47" si="33">SUM(B24:M24)</f>
        <v>29486</v>
      </c>
      <c r="U24" s="400"/>
      <c r="V24" s="398">
        <f t="shared" si="32"/>
        <v>29486</v>
      </c>
      <c r="W24" s="423"/>
      <c r="X24" s="3">
        <f t="shared" si="3"/>
        <v>1990</v>
      </c>
      <c r="Y24" s="18">
        <f t="shared" si="29"/>
        <v>0.76323119777158777</v>
      </c>
      <c r="Z24" s="19">
        <f t="shared" si="4"/>
        <v>0.72075208913649025</v>
      </c>
      <c r="AA24" s="19">
        <f t="shared" si="5"/>
        <v>0.72562674094707524</v>
      </c>
      <c r="AB24" s="18">
        <f t="shared" si="6"/>
        <v>0.86424198775657179</v>
      </c>
      <c r="AC24" s="19">
        <f t="shared" si="7"/>
        <v>0.95282679150162042</v>
      </c>
      <c r="AD24" s="19">
        <f t="shared" si="8"/>
        <v>1</v>
      </c>
      <c r="AE24" s="19">
        <f t="shared" si="9"/>
        <v>0.97371263953907095</v>
      </c>
      <c r="AF24" s="19">
        <f t="shared" si="10"/>
        <v>0.98919697515304283</v>
      </c>
      <c r="AG24" s="19">
        <f t="shared" si="11"/>
        <v>0.9816348577601729</v>
      </c>
      <c r="AH24" s="18">
        <f t="shared" si="12"/>
        <v>1.0413739266198283</v>
      </c>
      <c r="AI24" s="19">
        <f t="shared" si="13"/>
        <v>0.84504293520686968</v>
      </c>
      <c r="AJ24" s="19">
        <f t="shared" si="14"/>
        <v>0.90046838407494145</v>
      </c>
      <c r="AK24" s="9"/>
      <c r="AL24" s="3">
        <f t="shared" si="15"/>
        <v>1990</v>
      </c>
      <c r="AM24" s="9">
        <f t="shared" si="30"/>
        <v>132</v>
      </c>
      <c r="AN24" s="3">
        <f t="shared" si="16"/>
        <v>-660</v>
      </c>
      <c r="AO24" s="3">
        <f t="shared" si="17"/>
        <v>-186</v>
      </c>
      <c r="AP24" s="3">
        <f t="shared" si="18"/>
        <v>200</v>
      </c>
      <c r="AQ24" s="3">
        <f t="shared" si="19"/>
        <v>81</v>
      </c>
      <c r="AR24" s="3">
        <f t="shared" si="20"/>
        <v>67</v>
      </c>
      <c r="AS24" s="3">
        <f t="shared" si="21"/>
        <v>39</v>
      </c>
      <c r="AT24" s="3">
        <f t="shared" si="22"/>
        <v>23</v>
      </c>
      <c r="AU24" s="3">
        <f t="shared" si="23"/>
        <v>124</v>
      </c>
      <c r="AV24" s="3">
        <f t="shared" si="24"/>
        <v>235</v>
      </c>
      <c r="AW24" s="3">
        <f t="shared" si="25"/>
        <v>80</v>
      </c>
      <c r="AX24" s="3">
        <f t="shared" si="26"/>
        <v>-565</v>
      </c>
      <c r="AY24" s="3"/>
      <c r="AZ24" s="3">
        <f t="shared" si="27"/>
        <v>1990</v>
      </c>
      <c r="BA24" s="18">
        <f>'Total Retail'!B24/B24</f>
        <v>0.93613138686131392</v>
      </c>
      <c r="BB24" s="19">
        <f>'Total Retail'!C24/C24</f>
        <v>0.92318840579710149</v>
      </c>
      <c r="BC24" s="19">
        <f>'Total Retail'!D24/D24</f>
        <v>0.92226487523992318</v>
      </c>
      <c r="BD24" s="19">
        <f>'Total Retail'!E24/E24</f>
        <v>0.94333333333333336</v>
      </c>
      <c r="BE24" s="19">
        <f>'Total Retail'!F24/F24</f>
        <v>0.95086923658352229</v>
      </c>
      <c r="BF24" s="19">
        <f>'Total Retail'!G24/G24</f>
        <v>0.94706517824990999</v>
      </c>
      <c r="BG24" s="19">
        <f>'Total Retail'!H24/H24</f>
        <v>0.9474852071005917</v>
      </c>
      <c r="BH24" s="19">
        <f>'Total Retail'!I24/I24</f>
        <v>0.9493993447397161</v>
      </c>
      <c r="BI24" s="19">
        <f>'Total Retail'!J24/J24</f>
        <v>0.94900953778429931</v>
      </c>
      <c r="BJ24" s="19">
        <f>'Total Retail'!K24/K24</f>
        <v>0.95127436281859068</v>
      </c>
      <c r="BK24" s="19">
        <f>'Total Retail'!L24/L24</f>
        <v>0.96073903002309469</v>
      </c>
      <c r="BL24" s="19">
        <f>'Total Retail'!M24/M24</f>
        <v>0.93324664065886431</v>
      </c>
      <c r="BM24" s="3"/>
      <c r="BN24" s="3">
        <f t="shared" si="28"/>
        <v>1990</v>
      </c>
      <c r="BO24" s="18">
        <f>'Firm Retail'!B23/B24</f>
        <v>0.80839416058394165</v>
      </c>
      <c r="BP24" s="19">
        <f>'Firm Retail'!C23/C24</f>
        <v>0.77053140096618356</v>
      </c>
      <c r="BQ24" s="19">
        <f>'Firm Retail'!D23/D24</f>
        <v>0.79318618042226485</v>
      </c>
      <c r="BR24" s="19">
        <f>'Firm Retail'!E23/E24</f>
        <v>0.8041666666666667</v>
      </c>
      <c r="BS24" s="19">
        <f>'Firm Retail'!F23/F24</f>
        <v>0.80687830687830686</v>
      </c>
      <c r="BT24" s="19">
        <f>'Firm Retail'!G23/G24</f>
        <v>0.81094706517824988</v>
      </c>
      <c r="BU24" s="19">
        <f>'Firm Retail'!H23/H24</f>
        <v>0.81878698224852076</v>
      </c>
      <c r="BV24" s="19">
        <f>'Firm Retail'!I23/I24</f>
        <v>0.82963232617400806</v>
      </c>
      <c r="BW24" s="19">
        <f>'Firm Retail'!J23/J24</f>
        <v>0.81291269258987531</v>
      </c>
      <c r="BX24" s="19">
        <f>'Firm Retail'!K23/K24</f>
        <v>0.81971514242878563</v>
      </c>
      <c r="BY24" s="19">
        <f>'Firm Retail'!L23/L24</f>
        <v>0.8096997690531178</v>
      </c>
      <c r="BZ24" s="19">
        <f>'Firm Retail'!M23/M24</f>
        <v>0.80580840918942354</v>
      </c>
    </row>
    <row r="25" spans="1:78" ht="15.75">
      <c r="A25" s="323">
        <v>1991</v>
      </c>
      <c r="B25" s="3">
        <v>2444</v>
      </c>
      <c r="C25" s="3">
        <v>2562</v>
      </c>
      <c r="D25" s="3">
        <v>2370</v>
      </c>
      <c r="E25" s="3">
        <v>2604</v>
      </c>
      <c r="F25" s="3">
        <v>2620</v>
      </c>
      <c r="G25" s="3">
        <v>2652</v>
      </c>
      <c r="H25" s="3">
        <v>2733</v>
      </c>
      <c r="I25" s="168">
        <v>2796</v>
      </c>
      <c r="J25" s="3">
        <v>2784</v>
      </c>
      <c r="K25" s="3">
        <v>2514</v>
      </c>
      <c r="L25" s="3">
        <v>2526</v>
      </c>
      <c r="M25" s="3">
        <v>2492</v>
      </c>
      <c r="N25"/>
      <c r="O25" s="26" t="s">
        <v>38</v>
      </c>
      <c r="P25" s="12">
        <f t="shared" si="2"/>
        <v>2562</v>
      </c>
      <c r="Q25" s="13">
        <f t="shared" si="0"/>
        <v>2796</v>
      </c>
      <c r="R25" s="12">
        <f t="shared" si="31"/>
        <v>2307</v>
      </c>
      <c r="S25" s="177">
        <f t="shared" si="1"/>
        <v>2562</v>
      </c>
      <c r="T25" s="399">
        <f t="shared" si="33"/>
        <v>31097</v>
      </c>
      <c r="U25" s="400"/>
      <c r="V25" s="398">
        <f t="shared" si="32"/>
        <v>31097</v>
      </c>
      <c r="W25" s="423"/>
      <c r="X25" s="3">
        <f t="shared" si="3"/>
        <v>1991</v>
      </c>
      <c r="Y25" s="18">
        <f t="shared" si="29"/>
        <v>0.95394223263075717</v>
      </c>
      <c r="Z25" s="19">
        <f t="shared" si="4"/>
        <v>1</v>
      </c>
      <c r="AA25" s="19">
        <f t="shared" si="5"/>
        <v>0.92505854800936771</v>
      </c>
      <c r="AB25" s="18">
        <f t="shared" si="6"/>
        <v>0.93133047210300424</v>
      </c>
      <c r="AC25" s="19">
        <f t="shared" si="7"/>
        <v>0.93705293276108725</v>
      </c>
      <c r="AD25" s="19">
        <f t="shared" si="8"/>
        <v>0.94849785407725318</v>
      </c>
      <c r="AE25" s="19">
        <f t="shared" si="9"/>
        <v>0.97746781115879833</v>
      </c>
      <c r="AF25" s="19">
        <f t="shared" si="10"/>
        <v>1</v>
      </c>
      <c r="AG25" s="19">
        <f t="shared" si="11"/>
        <v>0.99570815450643779</v>
      </c>
      <c r="AH25" s="18">
        <f t="shared" si="12"/>
        <v>0.86066415611092095</v>
      </c>
      <c r="AI25" s="19">
        <f t="shared" si="13"/>
        <v>0.86477233824032862</v>
      </c>
      <c r="AJ25" s="19">
        <f t="shared" si="14"/>
        <v>0.85313248887367343</v>
      </c>
      <c r="AK25" s="9"/>
      <c r="AL25" s="3">
        <f t="shared" si="15"/>
        <v>1991</v>
      </c>
      <c r="AM25" s="9">
        <f t="shared" si="30"/>
        <v>252</v>
      </c>
      <c r="AN25" s="3">
        <f t="shared" si="16"/>
        <v>492</v>
      </c>
      <c r="AO25" s="3">
        <f t="shared" si="17"/>
        <v>286</v>
      </c>
      <c r="AP25" s="3">
        <f t="shared" si="18"/>
        <v>204</v>
      </c>
      <c r="AQ25" s="3">
        <f t="shared" si="19"/>
        <v>-26</v>
      </c>
      <c r="AR25" s="3">
        <f t="shared" si="20"/>
        <v>-125</v>
      </c>
      <c r="AS25" s="3">
        <f t="shared" si="21"/>
        <v>29</v>
      </c>
      <c r="AT25" s="3">
        <f t="shared" si="22"/>
        <v>49</v>
      </c>
      <c r="AU25" s="3">
        <f t="shared" si="23"/>
        <v>58</v>
      </c>
      <c r="AV25" s="3">
        <f t="shared" si="24"/>
        <v>-154</v>
      </c>
      <c r="AW25" s="3">
        <f t="shared" si="25"/>
        <v>361</v>
      </c>
      <c r="AX25" s="3">
        <f t="shared" si="26"/>
        <v>185</v>
      </c>
      <c r="AY25" s="3"/>
      <c r="AZ25" s="3">
        <f t="shared" si="27"/>
        <v>1991</v>
      </c>
      <c r="BA25" s="18">
        <f>'Total Retail'!B25/B25</f>
        <v>0.92594108019639931</v>
      </c>
      <c r="BB25" s="19">
        <f>'Total Retail'!C25/C25</f>
        <v>0.94535519125683065</v>
      </c>
      <c r="BC25" s="19">
        <f>'Total Retail'!D25/D25</f>
        <v>0.94514767932489452</v>
      </c>
      <c r="BD25" s="19">
        <f>'Total Retail'!E25/E25</f>
        <v>0.94585253456221197</v>
      </c>
      <c r="BE25" s="19">
        <f>'Total Retail'!F25/F25</f>
        <v>0.94580152671755724</v>
      </c>
      <c r="BF25" s="19">
        <f>'Total Retail'!G25/G25</f>
        <v>0.94042232277526394</v>
      </c>
      <c r="BG25" s="19">
        <f>'Total Retail'!H25/H25</f>
        <v>0.94291986827661911</v>
      </c>
      <c r="BH25" s="19">
        <f>'Total Retail'!I25/I25</f>
        <v>0.95779685264663805</v>
      </c>
      <c r="BI25" s="19">
        <f>'Total Retail'!J25/J25</f>
        <v>0.94971264367816088</v>
      </c>
      <c r="BJ25" s="19">
        <f>'Total Retail'!K25/K25</f>
        <v>0.94431185361972947</v>
      </c>
      <c r="BK25" s="19">
        <f>'Total Retail'!L25/L25</f>
        <v>0.93586698337292162</v>
      </c>
      <c r="BL25" s="19">
        <f>'Total Retail'!M25/M25</f>
        <v>0.9313804173354735</v>
      </c>
      <c r="BM25" s="3"/>
      <c r="BN25" s="3">
        <f t="shared" si="28"/>
        <v>1991</v>
      </c>
      <c r="BO25" s="18">
        <f>'Firm Retail'!B24/B25</f>
        <v>0.79091653027823239</v>
      </c>
      <c r="BP25" s="19">
        <f>'Firm Retail'!C24/C25</f>
        <v>0.80249804839968775</v>
      </c>
      <c r="BQ25" s="19">
        <f>'Firm Retail'!D24/D25</f>
        <v>0.80210970464135023</v>
      </c>
      <c r="BR25" s="19">
        <f>'Firm Retail'!E24/E25</f>
        <v>0.83141321044546856</v>
      </c>
      <c r="BS25" s="19">
        <f>'Firm Retail'!F24/F25</f>
        <v>0.80916030534351147</v>
      </c>
      <c r="BT25" s="19">
        <f>'Firm Retail'!G24/G25</f>
        <v>0.84389140271493213</v>
      </c>
      <c r="BU25" s="19">
        <f>'Firm Retail'!H24/H25</f>
        <v>0.84778631540431759</v>
      </c>
      <c r="BV25" s="19">
        <f>'Firm Retail'!I24/I25</f>
        <v>0.8372675250357654</v>
      </c>
      <c r="BW25" s="19">
        <f>'Firm Retail'!J24/J25</f>
        <v>0.83369252873563215</v>
      </c>
      <c r="BX25" s="19">
        <f>'Firm Retail'!K24/K25</f>
        <v>0.81901352426412088</v>
      </c>
      <c r="BY25" s="19">
        <f>'Firm Retail'!L24/L25</f>
        <v>0.79374505146476648</v>
      </c>
      <c r="BZ25" s="19">
        <f>'Firm Retail'!M24/M25</f>
        <v>0.8053772070626003</v>
      </c>
    </row>
    <row r="26" spans="1:78" ht="15.75">
      <c r="A26" s="323">
        <v>1992</v>
      </c>
      <c r="B26" s="174">
        <v>2921</v>
      </c>
      <c r="C26" s="3">
        <v>2293</v>
      </c>
      <c r="D26" s="3">
        <v>2279</v>
      </c>
      <c r="E26" s="3">
        <v>2342</v>
      </c>
      <c r="F26" s="3">
        <v>2553</v>
      </c>
      <c r="G26" s="3">
        <v>2792</v>
      </c>
      <c r="H26" s="168">
        <v>2989</v>
      </c>
      <c r="I26" s="3">
        <v>2885</v>
      </c>
      <c r="J26" s="3">
        <v>2840</v>
      </c>
      <c r="K26" s="3">
        <v>2463</v>
      </c>
      <c r="L26" s="3">
        <v>2406</v>
      </c>
      <c r="M26" s="3">
        <v>2379</v>
      </c>
      <c r="N26"/>
      <c r="O26" s="26" t="s">
        <v>39</v>
      </c>
      <c r="P26" s="12">
        <f t="shared" si="2"/>
        <v>2921</v>
      </c>
      <c r="Q26" s="13">
        <f t="shared" si="0"/>
        <v>2989</v>
      </c>
      <c r="R26" s="12">
        <f t="shared" si="31"/>
        <v>2526</v>
      </c>
      <c r="S26" s="177">
        <f t="shared" si="1"/>
        <v>2921</v>
      </c>
      <c r="T26" s="399">
        <f t="shared" si="33"/>
        <v>31142</v>
      </c>
      <c r="U26" s="400"/>
      <c r="V26" s="398">
        <f t="shared" si="32"/>
        <v>31142</v>
      </c>
      <c r="W26" s="423"/>
      <c r="X26" s="3">
        <f t="shared" si="3"/>
        <v>1992</v>
      </c>
      <c r="Y26" s="18">
        <f t="shared" si="29"/>
        <v>1</v>
      </c>
      <c r="Z26" s="19">
        <f t="shared" si="4"/>
        <v>0.7850051352276618</v>
      </c>
      <c r="AA26" s="19">
        <f t="shared" si="5"/>
        <v>0.78021225607668609</v>
      </c>
      <c r="AB26" s="18">
        <f t="shared" si="6"/>
        <v>0.78353964536634324</v>
      </c>
      <c r="AC26" s="19">
        <f t="shared" si="7"/>
        <v>0.85413181666109061</v>
      </c>
      <c r="AD26" s="19">
        <f t="shared" si="8"/>
        <v>0.93409166945466715</v>
      </c>
      <c r="AE26" s="19">
        <f t="shared" si="9"/>
        <v>1</v>
      </c>
      <c r="AF26" s="19">
        <f t="shared" si="10"/>
        <v>0.96520575443292067</v>
      </c>
      <c r="AG26" s="19">
        <f t="shared" si="11"/>
        <v>0.95015055202408827</v>
      </c>
      <c r="AH26" s="18">
        <f t="shared" si="12"/>
        <v>0.85313474194665739</v>
      </c>
      <c r="AI26" s="19">
        <f t="shared" si="13"/>
        <v>0.83339106338759961</v>
      </c>
      <c r="AJ26" s="19">
        <f t="shared" si="14"/>
        <v>0.82403879459646689</v>
      </c>
      <c r="AK26" s="9"/>
      <c r="AL26" s="3">
        <f t="shared" si="15"/>
        <v>1992</v>
      </c>
      <c r="AM26" s="9">
        <f t="shared" si="30"/>
        <v>477</v>
      </c>
      <c r="AN26" s="3">
        <f t="shared" si="16"/>
        <v>-269</v>
      </c>
      <c r="AO26" s="3">
        <f t="shared" si="17"/>
        <v>-91</v>
      </c>
      <c r="AP26" s="3">
        <f t="shared" si="18"/>
        <v>-262</v>
      </c>
      <c r="AQ26" s="3">
        <f t="shared" si="19"/>
        <v>-67</v>
      </c>
      <c r="AR26" s="3">
        <f t="shared" si="20"/>
        <v>140</v>
      </c>
      <c r="AS26" s="3">
        <f t="shared" si="21"/>
        <v>256</v>
      </c>
      <c r="AT26" s="3">
        <f t="shared" si="22"/>
        <v>89</v>
      </c>
      <c r="AU26" s="3">
        <f t="shared" si="23"/>
        <v>56</v>
      </c>
      <c r="AV26" s="3">
        <f t="shared" si="24"/>
        <v>-51</v>
      </c>
      <c r="AW26" s="3">
        <f t="shared" si="25"/>
        <v>-120</v>
      </c>
      <c r="AX26" s="3">
        <f t="shared" si="26"/>
        <v>-113</v>
      </c>
      <c r="AY26" s="3"/>
      <c r="AZ26" s="3">
        <f t="shared" si="27"/>
        <v>1992</v>
      </c>
      <c r="BA26" s="18">
        <f>'Total Retail'!B26/B26</f>
        <v>0.94556658678534744</v>
      </c>
      <c r="BB26" s="19">
        <f>'Total Retail'!C26/C26</f>
        <v>0.93720017444395987</v>
      </c>
      <c r="BC26" s="19">
        <f>'Total Retail'!D26/D26</f>
        <v>0.93111013602457215</v>
      </c>
      <c r="BD26" s="19">
        <f>'Total Retail'!E26/E26</f>
        <v>0.93894107600341592</v>
      </c>
      <c r="BE26" s="19">
        <f>'Total Retail'!F26/F26</f>
        <v>0.93693693693693691</v>
      </c>
      <c r="BF26" s="19">
        <f>'Total Retail'!G26/G26</f>
        <v>0.94090257879656158</v>
      </c>
      <c r="BG26" s="19">
        <f>'Total Retail'!H26/H26</f>
        <v>0.92706590833054536</v>
      </c>
      <c r="BH26" s="19">
        <f>'Total Retail'!I26/I26</f>
        <v>0.93934142114384744</v>
      </c>
      <c r="BI26" s="19">
        <f>'Total Retail'!J26/J26</f>
        <v>0.92183098591549295</v>
      </c>
      <c r="BJ26" s="19">
        <f>'Total Retail'!K26/K26</f>
        <v>0.9183922046285018</v>
      </c>
      <c r="BK26" s="19">
        <f>'Total Retail'!L26/L26</f>
        <v>0.9177057356608479</v>
      </c>
      <c r="BL26" s="19">
        <f>'Total Retail'!M26/M26</f>
        <v>0.91298865069356872</v>
      </c>
      <c r="BM26" s="3"/>
      <c r="BN26" s="3">
        <f t="shared" si="28"/>
        <v>1992</v>
      </c>
      <c r="BO26" s="18">
        <f>'Firm Retail'!B25/B26</f>
        <v>0.79287915097569328</v>
      </c>
      <c r="BP26" s="19">
        <f>'Firm Retail'!C25/C26</f>
        <v>0.75577845617095507</v>
      </c>
      <c r="BQ26" s="19">
        <f>'Firm Retail'!D25/D26</f>
        <v>0.75910487055726195</v>
      </c>
      <c r="BR26" s="19">
        <f>'Firm Retail'!E25/E26</f>
        <v>0.77412467976088817</v>
      </c>
      <c r="BS26" s="19">
        <f>'Firm Retail'!F25/F26</f>
        <v>0.78926752839796321</v>
      </c>
      <c r="BT26" s="19">
        <f>'Firm Retail'!G25/G26</f>
        <v>0.833810888252149</v>
      </c>
      <c r="BU26" s="19">
        <f>'Firm Retail'!H25/H26</f>
        <v>0.80327868852459017</v>
      </c>
      <c r="BV26" s="19">
        <f>'Firm Retail'!I25/I26</f>
        <v>0.81421143847486999</v>
      </c>
      <c r="BW26" s="19">
        <f>'Firm Retail'!J25/J26</f>
        <v>0.7954225352112676</v>
      </c>
      <c r="BX26" s="19">
        <f>'Firm Retail'!K25/K26</f>
        <v>0.78156719447827849</v>
      </c>
      <c r="BY26" s="19">
        <f>'Firm Retail'!L25/L26</f>
        <v>0.80922693266832912</v>
      </c>
      <c r="BZ26" s="19">
        <f>'Firm Retail'!M25/M26</f>
        <v>0.76965111391340901</v>
      </c>
    </row>
    <row r="27" spans="1:78" ht="15.75">
      <c r="A27" s="323">
        <v>1993</v>
      </c>
      <c r="B27" s="3">
        <v>2524</v>
      </c>
      <c r="C27" s="3">
        <v>2662</v>
      </c>
      <c r="D27" s="174">
        <v>2887</v>
      </c>
      <c r="E27" s="3">
        <v>2171</v>
      </c>
      <c r="F27" s="3">
        <v>2479</v>
      </c>
      <c r="G27" s="3">
        <v>2850</v>
      </c>
      <c r="H27" s="3">
        <v>2995</v>
      </c>
      <c r="I27" s="168">
        <v>3086</v>
      </c>
      <c r="J27" s="3">
        <v>2819</v>
      </c>
      <c r="K27" s="3">
        <v>2569</v>
      </c>
      <c r="L27" s="3">
        <v>2378</v>
      </c>
      <c r="M27" s="3">
        <v>2691</v>
      </c>
      <c r="N27"/>
      <c r="O27" s="26" t="s">
        <v>40</v>
      </c>
      <c r="P27" s="12">
        <f t="shared" si="2"/>
        <v>2887</v>
      </c>
      <c r="Q27" s="13">
        <f t="shared" si="0"/>
        <v>3086</v>
      </c>
      <c r="R27" s="12">
        <f t="shared" si="31"/>
        <v>2406</v>
      </c>
      <c r="S27" s="177">
        <f t="shared" si="1"/>
        <v>2887</v>
      </c>
      <c r="T27" s="399">
        <f t="shared" si="33"/>
        <v>32111</v>
      </c>
      <c r="U27" s="400"/>
      <c r="V27" s="398">
        <f t="shared" si="32"/>
        <v>32111</v>
      </c>
      <c r="W27" s="423"/>
      <c r="X27" s="3">
        <f t="shared" si="3"/>
        <v>1993</v>
      </c>
      <c r="Y27" s="18">
        <f t="shared" si="29"/>
        <v>0.87426394180810529</v>
      </c>
      <c r="Z27" s="19">
        <f t="shared" si="4"/>
        <v>0.9220644267405611</v>
      </c>
      <c r="AA27" s="19">
        <f t="shared" si="5"/>
        <v>1</v>
      </c>
      <c r="AB27" s="18">
        <f t="shared" si="6"/>
        <v>0.70349967595592999</v>
      </c>
      <c r="AC27" s="19">
        <f t="shared" si="7"/>
        <v>0.80330524951393389</v>
      </c>
      <c r="AD27" s="19">
        <f t="shared" si="8"/>
        <v>0.92352559948152946</v>
      </c>
      <c r="AE27" s="19">
        <f t="shared" si="9"/>
        <v>0.97051198963058971</v>
      </c>
      <c r="AF27" s="19">
        <f t="shared" si="10"/>
        <v>1</v>
      </c>
      <c r="AG27" s="19">
        <f t="shared" si="11"/>
        <v>0.91348023331173045</v>
      </c>
      <c r="AH27" s="18">
        <f t="shared" si="12"/>
        <v>0.90617283950617289</v>
      </c>
      <c r="AI27" s="19">
        <f t="shared" si="13"/>
        <v>0.83880070546737218</v>
      </c>
      <c r="AJ27" s="19">
        <f t="shared" si="14"/>
        <v>0.94920634920634916</v>
      </c>
      <c r="AK27" s="9"/>
      <c r="AL27" s="3">
        <f t="shared" si="15"/>
        <v>1993</v>
      </c>
      <c r="AM27" s="9">
        <f t="shared" si="30"/>
        <v>-397</v>
      </c>
      <c r="AN27" s="3">
        <f t="shared" si="16"/>
        <v>369</v>
      </c>
      <c r="AO27" s="3">
        <f t="shared" si="17"/>
        <v>608</v>
      </c>
      <c r="AP27" s="3">
        <f t="shared" si="18"/>
        <v>-171</v>
      </c>
      <c r="AQ27" s="3">
        <f t="shared" si="19"/>
        <v>-74</v>
      </c>
      <c r="AR27" s="3">
        <f t="shared" si="20"/>
        <v>58</v>
      </c>
      <c r="AS27" s="3">
        <f t="shared" si="21"/>
        <v>6</v>
      </c>
      <c r="AT27" s="3">
        <f t="shared" si="22"/>
        <v>201</v>
      </c>
      <c r="AU27" s="3">
        <f t="shared" si="23"/>
        <v>-21</v>
      </c>
      <c r="AV27" s="3">
        <f t="shared" si="24"/>
        <v>106</v>
      </c>
      <c r="AW27" s="3">
        <f t="shared" si="25"/>
        <v>-28</v>
      </c>
      <c r="AX27" s="3">
        <f t="shared" si="26"/>
        <v>312</v>
      </c>
      <c r="AY27" s="3"/>
      <c r="AZ27" s="3">
        <f t="shared" si="27"/>
        <v>1993</v>
      </c>
      <c r="BA27" s="18">
        <f>'Total Retail'!B27/B27</f>
        <v>0.91204437400950866</v>
      </c>
      <c r="BB27" s="19">
        <f>'Total Retail'!C27/C27</f>
        <v>0.91547708489857249</v>
      </c>
      <c r="BC27" s="19">
        <f>'Total Retail'!D27/D27</f>
        <v>0.97783165916175963</v>
      </c>
      <c r="BD27" s="19">
        <f>'Total Retail'!E27/E27</f>
        <v>0.90695532012897284</v>
      </c>
      <c r="BE27" s="19">
        <f>'Total Retail'!F27/F27</f>
        <v>0.92698668818071805</v>
      </c>
      <c r="BF27" s="19">
        <f>'Total Retail'!G27/G27</f>
        <v>0.93368421052631578</v>
      </c>
      <c r="BG27" s="19">
        <f>'Total Retail'!H27/H27</f>
        <v>0.92721202003338898</v>
      </c>
      <c r="BH27" s="19">
        <f>'Total Retail'!I27/I27</f>
        <v>0.92417368762151653</v>
      </c>
      <c r="BI27" s="19">
        <f>'Total Retail'!J27/J27</f>
        <v>0.93756651294785387</v>
      </c>
      <c r="BJ27" s="19">
        <f>'Total Retail'!K27/K27</f>
        <v>0.9458933437135072</v>
      </c>
      <c r="BK27" s="19">
        <f>'Total Retail'!L27/L27</f>
        <v>0.9318755256518082</v>
      </c>
      <c r="BL27" s="19">
        <f>'Total Retail'!M27/M27</f>
        <v>0.92716462281679668</v>
      </c>
      <c r="BM27" s="3"/>
      <c r="BN27" s="3">
        <f t="shared" si="28"/>
        <v>1993</v>
      </c>
      <c r="BO27" s="18">
        <f>'Firm Retail'!B26/B27</f>
        <v>0.7721870047543582</v>
      </c>
      <c r="BP27" s="19">
        <f>'Firm Retail'!C26/C27</f>
        <v>0.77009767092411718</v>
      </c>
      <c r="BQ27" s="19">
        <f>'Firm Retail'!D26/D27</f>
        <v>0.82092137166608936</v>
      </c>
      <c r="BR27" s="19">
        <f>'Firm Retail'!E26/E27</f>
        <v>0.77107323813910644</v>
      </c>
      <c r="BS27" s="19">
        <f>'Firm Retail'!F26/F27</f>
        <v>0.81645824929407018</v>
      </c>
      <c r="BT27" s="19">
        <f>'Firm Retail'!G26/G27</f>
        <v>0.84596491228070181</v>
      </c>
      <c r="BU27" s="19">
        <f>'Firm Retail'!H26/H27</f>
        <v>0.82070116861435727</v>
      </c>
      <c r="BV27" s="19">
        <f>'Firm Retail'!I26/I27</f>
        <v>0.80751782242384962</v>
      </c>
      <c r="BW27" s="19">
        <f>'Firm Retail'!J26/J27</f>
        <v>0.83682156793189078</v>
      </c>
      <c r="BX27" s="19">
        <f>'Firm Retail'!K26/K27</f>
        <v>0.83845854418061505</v>
      </c>
      <c r="BY27" s="19">
        <f>'Firm Retail'!L26/L27</f>
        <v>0.81791421362489491</v>
      </c>
      <c r="BZ27" s="19">
        <f>'Firm Retail'!M26/M27</f>
        <v>0.82014121144555929</v>
      </c>
    </row>
    <row r="28" spans="1:78" ht="15.75">
      <c r="A28" s="323">
        <v>1994</v>
      </c>
      <c r="B28" s="3">
        <v>2732</v>
      </c>
      <c r="C28" s="174">
        <v>2835</v>
      </c>
      <c r="D28" s="3">
        <v>2519</v>
      </c>
      <c r="E28" s="3">
        <v>2565</v>
      </c>
      <c r="F28" s="3">
        <v>2748</v>
      </c>
      <c r="G28" s="168">
        <v>2941</v>
      </c>
      <c r="H28" s="3">
        <v>2834</v>
      </c>
      <c r="I28" s="3">
        <v>2813</v>
      </c>
      <c r="J28" s="3">
        <v>2788</v>
      </c>
      <c r="K28" s="3">
        <v>2580</v>
      </c>
      <c r="L28" s="3">
        <v>2364</v>
      </c>
      <c r="M28" s="3">
        <v>2219</v>
      </c>
      <c r="N28"/>
      <c r="O28" s="26" t="s">
        <v>41</v>
      </c>
      <c r="P28" s="12">
        <f t="shared" si="2"/>
        <v>2835</v>
      </c>
      <c r="Q28" s="13">
        <f t="shared" si="0"/>
        <v>2941</v>
      </c>
      <c r="R28" s="12">
        <f t="shared" si="31"/>
        <v>2691</v>
      </c>
      <c r="S28" s="177">
        <f t="shared" si="1"/>
        <v>2835</v>
      </c>
      <c r="T28" s="399">
        <f t="shared" si="33"/>
        <v>31938</v>
      </c>
      <c r="U28" s="400"/>
      <c r="V28" s="398">
        <f t="shared" si="32"/>
        <v>31938</v>
      </c>
      <c r="W28" s="423"/>
      <c r="X28" s="3">
        <f t="shared" si="3"/>
        <v>1994</v>
      </c>
      <c r="Y28" s="18">
        <f t="shared" si="29"/>
        <v>0.96366843033509697</v>
      </c>
      <c r="Z28" s="19">
        <f t="shared" si="4"/>
        <v>1</v>
      </c>
      <c r="AA28" s="19">
        <f t="shared" si="5"/>
        <v>0.88853615520282192</v>
      </c>
      <c r="AB28" s="18">
        <f t="shared" si="6"/>
        <v>0.87215232913974838</v>
      </c>
      <c r="AC28" s="19">
        <f t="shared" si="7"/>
        <v>0.93437606256375383</v>
      </c>
      <c r="AD28" s="19">
        <f t="shared" si="8"/>
        <v>1</v>
      </c>
      <c r="AE28" s="19">
        <f t="shared" si="9"/>
        <v>0.96361781706902416</v>
      </c>
      <c r="AF28" s="19">
        <f t="shared" si="10"/>
        <v>0.95647738864331855</v>
      </c>
      <c r="AG28" s="19">
        <f t="shared" si="11"/>
        <v>0.94797687861271673</v>
      </c>
      <c r="AH28" s="18">
        <f t="shared" si="12"/>
        <v>0.77268643306379159</v>
      </c>
      <c r="AI28" s="19">
        <f t="shared" si="13"/>
        <v>0.70799640610961367</v>
      </c>
      <c r="AJ28" s="19">
        <f t="shared" si="14"/>
        <v>0.66457023060796649</v>
      </c>
      <c r="AK28" s="9"/>
      <c r="AL28" s="3">
        <f t="shared" si="15"/>
        <v>1994</v>
      </c>
      <c r="AM28" s="9">
        <f t="shared" si="30"/>
        <v>208</v>
      </c>
      <c r="AN28" s="3">
        <f t="shared" si="16"/>
        <v>173</v>
      </c>
      <c r="AO28" s="3">
        <f t="shared" si="17"/>
        <v>-368</v>
      </c>
      <c r="AP28" s="3">
        <f t="shared" si="18"/>
        <v>394</v>
      </c>
      <c r="AQ28" s="3">
        <f t="shared" si="19"/>
        <v>269</v>
      </c>
      <c r="AR28" s="3">
        <f t="shared" si="20"/>
        <v>91</v>
      </c>
      <c r="AS28" s="3">
        <f t="shared" si="21"/>
        <v>-161</v>
      </c>
      <c r="AT28" s="3">
        <f t="shared" si="22"/>
        <v>-273</v>
      </c>
      <c r="AU28" s="3">
        <f t="shared" si="23"/>
        <v>-31</v>
      </c>
      <c r="AV28" s="3">
        <f t="shared" si="24"/>
        <v>11</v>
      </c>
      <c r="AW28" s="3">
        <f t="shared" si="25"/>
        <v>-14</v>
      </c>
      <c r="AX28" s="3">
        <f t="shared" si="26"/>
        <v>-472</v>
      </c>
      <c r="AY28" s="3"/>
      <c r="AZ28" s="3">
        <f t="shared" si="27"/>
        <v>1994</v>
      </c>
      <c r="BA28" s="18">
        <f>'Total Retail'!B28/B28</f>
        <v>0.9282576866764275</v>
      </c>
      <c r="BB28" s="19">
        <f>'Total Retail'!C28/C28</f>
        <v>0.9410934744268078</v>
      </c>
      <c r="BC28" s="19">
        <f>'Total Retail'!D28/D28</f>
        <v>0.93687971417229055</v>
      </c>
      <c r="BD28" s="19">
        <f>'Total Retail'!E28/E28</f>
        <v>0.92709551656920075</v>
      </c>
      <c r="BE28" s="19">
        <f>'Total Retail'!F28/F28</f>
        <v>0.93340611353711789</v>
      </c>
      <c r="BF28" s="19">
        <f>'Total Retail'!G28/G28</f>
        <v>0.93641618497109824</v>
      </c>
      <c r="BG28" s="19">
        <f>'Total Retail'!H28/H28</f>
        <v>0.93754410726887794</v>
      </c>
      <c r="BH28" s="19">
        <f>'Total Retail'!I28/I28</f>
        <v>0.93103448275862066</v>
      </c>
      <c r="BI28" s="19">
        <f>'Total Retail'!J28/J28</f>
        <v>0.94440459110473463</v>
      </c>
      <c r="BJ28" s="19">
        <f>'Total Retail'!K28/K28</f>
        <v>0.93565891472868212</v>
      </c>
      <c r="BK28" s="19">
        <f>'Total Retail'!L28/L28</f>
        <v>0.94331641285956003</v>
      </c>
      <c r="BL28" s="19">
        <f>'Total Retail'!M28/M28</f>
        <v>0.92654348805768361</v>
      </c>
      <c r="BM28" s="3"/>
      <c r="BN28" s="3">
        <f t="shared" si="28"/>
        <v>1994</v>
      </c>
      <c r="BO28" s="18">
        <f>'Firm Retail'!B27/B28</f>
        <v>0.81918008784773055</v>
      </c>
      <c r="BP28" s="19">
        <f>'Firm Retail'!C27/C28</f>
        <v>0.81234567901234567</v>
      </c>
      <c r="BQ28" s="19">
        <f>'Firm Retail'!D27/D28</f>
        <v>0.81699086939261611</v>
      </c>
      <c r="BR28" s="19">
        <f>'Firm Retail'!E27/E28</f>
        <v>0.81637426900584797</v>
      </c>
      <c r="BS28" s="19">
        <f>'Firm Retail'!F27/F28</f>
        <v>0.83333333333333337</v>
      </c>
      <c r="BT28" s="19">
        <f>'Firm Retail'!G27/G28</f>
        <v>0.83339000340020397</v>
      </c>
      <c r="BU28" s="19">
        <f>'Firm Retail'!H27/H28</f>
        <v>0.8359209597741708</v>
      </c>
      <c r="BV28" s="19">
        <f>'Firm Retail'!I27/I28</f>
        <v>0.83256309989335231</v>
      </c>
      <c r="BW28" s="19">
        <f>'Firm Retail'!J27/J28</f>
        <v>0.83967001434720234</v>
      </c>
      <c r="BX28" s="19">
        <f>'Firm Retail'!K27/K28</f>
        <v>0.82403100775193794</v>
      </c>
      <c r="BY28" s="19">
        <f>'Firm Retail'!L27/L28</f>
        <v>0.8430626057529611</v>
      </c>
      <c r="BZ28" s="19">
        <f>'Firm Retail'!M27/M28</f>
        <v>0.80081117620549802</v>
      </c>
    </row>
    <row r="29" spans="1:78" ht="15.75">
      <c r="A29" s="323">
        <v>1995</v>
      </c>
      <c r="B29" s="3">
        <v>2917</v>
      </c>
      <c r="C29" s="174">
        <v>3339</v>
      </c>
      <c r="D29" s="3">
        <v>2238</v>
      </c>
      <c r="E29" s="3">
        <v>2588</v>
      </c>
      <c r="F29" s="3">
        <v>3074</v>
      </c>
      <c r="G29" s="3">
        <v>2991</v>
      </c>
      <c r="H29" s="3">
        <v>3057</v>
      </c>
      <c r="I29" s="168">
        <v>3146</v>
      </c>
      <c r="J29" s="3">
        <v>2967</v>
      </c>
      <c r="K29" s="3">
        <v>2819</v>
      </c>
      <c r="L29" s="3">
        <v>2586</v>
      </c>
      <c r="M29" s="3">
        <v>2854</v>
      </c>
      <c r="N29"/>
      <c r="O29" s="26" t="s">
        <v>42</v>
      </c>
      <c r="P29" s="12">
        <f t="shared" si="2"/>
        <v>3339</v>
      </c>
      <c r="Q29" s="13">
        <f t="shared" si="0"/>
        <v>3146</v>
      </c>
      <c r="R29" s="12">
        <f t="shared" si="31"/>
        <v>2364</v>
      </c>
      <c r="S29" s="177">
        <f t="shared" si="1"/>
        <v>3339</v>
      </c>
      <c r="T29" s="399">
        <f t="shared" si="33"/>
        <v>34576</v>
      </c>
      <c r="U29" s="400"/>
      <c r="V29" s="398">
        <f t="shared" si="32"/>
        <v>34576</v>
      </c>
      <c r="W29" s="423"/>
      <c r="X29" s="3">
        <f t="shared" si="3"/>
        <v>1995</v>
      </c>
      <c r="Y29" s="18">
        <f t="shared" si="29"/>
        <v>0.87361485474693024</v>
      </c>
      <c r="Z29" s="19">
        <f t="shared" si="4"/>
        <v>1</v>
      </c>
      <c r="AA29" s="19">
        <f t="shared" si="5"/>
        <v>0.67026055705300991</v>
      </c>
      <c r="AB29" s="18">
        <f t="shared" si="6"/>
        <v>0.8226319135410044</v>
      </c>
      <c r="AC29" s="19">
        <f t="shared" si="7"/>
        <v>0.97711379529561349</v>
      </c>
      <c r="AD29" s="19">
        <f t="shared" si="8"/>
        <v>0.95073108709472343</v>
      </c>
      <c r="AE29" s="19">
        <f t="shared" si="9"/>
        <v>0.97171010807374447</v>
      </c>
      <c r="AF29" s="19">
        <f t="shared" si="10"/>
        <v>1</v>
      </c>
      <c r="AG29" s="19">
        <f t="shared" si="11"/>
        <v>0.94310235219326133</v>
      </c>
      <c r="AH29" s="18">
        <f t="shared" si="12"/>
        <v>0.77445054945054947</v>
      </c>
      <c r="AI29" s="19">
        <f t="shared" si="13"/>
        <v>0.71043956043956047</v>
      </c>
      <c r="AJ29" s="19">
        <f t="shared" si="14"/>
        <v>0.78406593406593406</v>
      </c>
      <c r="AK29" s="9"/>
      <c r="AL29" s="3">
        <f t="shared" si="15"/>
        <v>1995</v>
      </c>
      <c r="AM29" s="9">
        <f t="shared" si="30"/>
        <v>185</v>
      </c>
      <c r="AN29" s="3">
        <f t="shared" si="16"/>
        <v>504</v>
      </c>
      <c r="AO29" s="3">
        <f t="shared" si="17"/>
        <v>-281</v>
      </c>
      <c r="AP29" s="3">
        <f t="shared" si="18"/>
        <v>23</v>
      </c>
      <c r="AQ29" s="3">
        <f t="shared" si="19"/>
        <v>326</v>
      </c>
      <c r="AR29" s="3">
        <f t="shared" si="20"/>
        <v>50</v>
      </c>
      <c r="AS29" s="3">
        <f t="shared" si="21"/>
        <v>223</v>
      </c>
      <c r="AT29" s="3">
        <f t="shared" si="22"/>
        <v>333</v>
      </c>
      <c r="AU29" s="3">
        <f t="shared" si="23"/>
        <v>179</v>
      </c>
      <c r="AV29" s="3">
        <f t="shared" si="24"/>
        <v>239</v>
      </c>
      <c r="AW29" s="3">
        <f t="shared" si="25"/>
        <v>222</v>
      </c>
      <c r="AX29" s="3">
        <f t="shared" si="26"/>
        <v>635</v>
      </c>
      <c r="AY29" s="3"/>
      <c r="AZ29" s="3">
        <f t="shared" si="27"/>
        <v>1995</v>
      </c>
      <c r="BA29" s="18">
        <f>'Total Retail'!B29/B29</f>
        <v>0.94617757970517657</v>
      </c>
      <c r="BB29" s="19">
        <f>'Total Retail'!C29/C29</f>
        <v>0.94938604372566637</v>
      </c>
      <c r="BC29" s="19">
        <f>'Total Retail'!D29/D29</f>
        <v>0.94414655942806081</v>
      </c>
      <c r="BD29" s="19">
        <f>'Total Retail'!E29/E29</f>
        <v>0.9667697063369397</v>
      </c>
      <c r="BE29" s="19">
        <f>'Total Retail'!F29/F29</f>
        <v>0.94307091737150295</v>
      </c>
      <c r="BF29" s="19">
        <f>'Total Retail'!G29/G29</f>
        <v>0.94182547642928782</v>
      </c>
      <c r="BG29" s="19">
        <f>'Total Retail'!H29/H29</f>
        <v>0.94471704285246971</v>
      </c>
      <c r="BH29" s="19">
        <f>'Total Retail'!I29/I29</f>
        <v>0.92180546726001267</v>
      </c>
      <c r="BI29" s="19">
        <f>'Total Retail'!J29/J29</f>
        <v>0.94539939332659251</v>
      </c>
      <c r="BJ29" s="19">
        <f>'Total Retail'!K29/K29</f>
        <v>0.94998226321390566</v>
      </c>
      <c r="BK29" s="19">
        <f>'Total Retail'!L29/L29</f>
        <v>0.92846094354215003</v>
      </c>
      <c r="BL29" s="19">
        <f>'Total Retail'!M29/M29</f>
        <v>0.94288717589348281</v>
      </c>
      <c r="BM29" s="3"/>
      <c r="BN29" s="3">
        <f t="shared" si="28"/>
        <v>1995</v>
      </c>
      <c r="BO29" s="18">
        <f>'Firm Retail'!B28/B29</f>
        <v>0.81213575591360987</v>
      </c>
      <c r="BP29" s="19">
        <f>'Firm Retail'!C28/C29</f>
        <v>0.80712788259958068</v>
      </c>
      <c r="BQ29" s="19">
        <f>'Firm Retail'!D28/D29</f>
        <v>0.8047363717605005</v>
      </c>
      <c r="BR29" s="19">
        <f>'Firm Retail'!E28/E29</f>
        <v>0.8508500772797527</v>
      </c>
      <c r="BS29" s="19">
        <f>'Firm Retail'!F28/F29</f>
        <v>0.84385165907612236</v>
      </c>
      <c r="BT29" s="19">
        <f>'Firm Retail'!G28/G29</f>
        <v>0.8465396188565697</v>
      </c>
      <c r="BU29" s="19">
        <f>'Firm Retail'!H28/H29</f>
        <v>0.84887144259077529</v>
      </c>
      <c r="BV29" s="19">
        <f>'Firm Retail'!I28/I29</f>
        <v>0.83407501589319766</v>
      </c>
      <c r="BW29" s="19">
        <f>'Firm Retail'!J28/J29</f>
        <v>0.84496124031007747</v>
      </c>
      <c r="BX29" s="19">
        <f>'Firm Retail'!K28/K29</f>
        <v>0.82937211777225972</v>
      </c>
      <c r="BY29" s="19">
        <f>'Firm Retail'!L28/L29</f>
        <v>0.82637277648878582</v>
      </c>
      <c r="BZ29" s="19">
        <f>'Firm Retail'!M28/M29</f>
        <v>0.79011913104414855</v>
      </c>
    </row>
    <row r="30" spans="1:78" ht="15.75">
      <c r="A30" s="323">
        <v>1996</v>
      </c>
      <c r="B30" s="3">
        <v>3526</v>
      </c>
      <c r="C30" s="174">
        <v>3640</v>
      </c>
      <c r="D30" s="3">
        <v>2866</v>
      </c>
      <c r="E30" s="3">
        <v>2760</v>
      </c>
      <c r="F30" s="3">
        <v>2871</v>
      </c>
      <c r="G30" s="3">
        <v>3012</v>
      </c>
      <c r="H30" s="168">
        <v>3178</v>
      </c>
      <c r="I30" s="3">
        <v>3109</v>
      </c>
      <c r="J30" s="3">
        <v>3120</v>
      </c>
      <c r="K30" s="3">
        <v>2804</v>
      </c>
      <c r="L30" s="3">
        <v>2666</v>
      </c>
      <c r="M30" s="3">
        <v>3201</v>
      </c>
      <c r="N30"/>
      <c r="O30" s="26" t="s">
        <v>43</v>
      </c>
      <c r="P30" s="12">
        <f t="shared" si="2"/>
        <v>3640</v>
      </c>
      <c r="Q30" s="13">
        <f t="shared" si="0"/>
        <v>3178</v>
      </c>
      <c r="R30" s="12">
        <f t="shared" si="31"/>
        <v>2854</v>
      </c>
      <c r="S30" s="177">
        <f t="shared" si="1"/>
        <v>3640</v>
      </c>
      <c r="T30" s="399">
        <f t="shared" si="33"/>
        <v>36753</v>
      </c>
      <c r="U30" s="400"/>
      <c r="V30" s="398">
        <f t="shared" si="32"/>
        <v>36753</v>
      </c>
      <c r="W30" s="423"/>
      <c r="X30" s="3">
        <f t="shared" si="3"/>
        <v>1996</v>
      </c>
      <c r="Y30" s="18">
        <f t="shared" si="29"/>
        <v>0.96868131868131868</v>
      </c>
      <c r="Z30" s="19">
        <f t="shared" si="4"/>
        <v>1</v>
      </c>
      <c r="AA30" s="19">
        <f t="shared" si="5"/>
        <v>0.78736263736263734</v>
      </c>
      <c r="AB30" s="18">
        <f t="shared" si="6"/>
        <v>0.868470736312146</v>
      </c>
      <c r="AC30" s="19">
        <f t="shared" si="7"/>
        <v>0.90339836375078664</v>
      </c>
      <c r="AD30" s="19">
        <f t="shared" si="8"/>
        <v>0.94776589049716808</v>
      </c>
      <c r="AE30" s="19">
        <f t="shared" si="9"/>
        <v>1</v>
      </c>
      <c r="AF30" s="19">
        <f t="shared" si="10"/>
        <v>0.97828823159219636</v>
      </c>
      <c r="AG30" s="19">
        <f t="shared" si="11"/>
        <v>0.98174952800503457</v>
      </c>
      <c r="AH30" s="18">
        <f t="shared" si="12"/>
        <v>0.84356197352587248</v>
      </c>
      <c r="AI30" s="19">
        <f t="shared" si="13"/>
        <v>0.80204572803850782</v>
      </c>
      <c r="AJ30" s="19">
        <f t="shared" si="14"/>
        <v>0.96299638989169678</v>
      </c>
      <c r="AK30" s="9"/>
      <c r="AL30" s="3">
        <f t="shared" si="15"/>
        <v>1996</v>
      </c>
      <c r="AM30" s="9">
        <f t="shared" si="30"/>
        <v>609</v>
      </c>
      <c r="AN30" s="3">
        <f t="shared" si="16"/>
        <v>301</v>
      </c>
      <c r="AO30" s="3">
        <f t="shared" si="17"/>
        <v>628</v>
      </c>
      <c r="AP30" s="3">
        <f t="shared" si="18"/>
        <v>172</v>
      </c>
      <c r="AQ30" s="3">
        <f t="shared" si="19"/>
        <v>-203</v>
      </c>
      <c r="AR30" s="3">
        <f t="shared" si="20"/>
        <v>21</v>
      </c>
      <c r="AS30" s="3">
        <f t="shared" si="21"/>
        <v>121</v>
      </c>
      <c r="AT30" s="3">
        <f t="shared" si="22"/>
        <v>-37</v>
      </c>
      <c r="AU30" s="3">
        <f t="shared" si="23"/>
        <v>153</v>
      </c>
      <c r="AV30" s="3">
        <f t="shared" si="24"/>
        <v>-15</v>
      </c>
      <c r="AW30" s="3">
        <f t="shared" si="25"/>
        <v>80</v>
      </c>
      <c r="AX30" s="3">
        <f t="shared" si="26"/>
        <v>347</v>
      </c>
      <c r="AY30" s="3"/>
      <c r="AZ30" s="3">
        <f t="shared" si="27"/>
        <v>1996</v>
      </c>
      <c r="BA30" s="18">
        <f>'Total Retail'!B30/B30</f>
        <v>0.92370958593306862</v>
      </c>
      <c r="BB30" s="19">
        <f>'Total Retail'!C30/C30</f>
        <v>0.92060439560439555</v>
      </c>
      <c r="BC30" s="19">
        <f>'Total Retail'!D30/D30</f>
        <v>0.93545010467550593</v>
      </c>
      <c r="BD30" s="19">
        <f>'Total Retail'!E30/E30</f>
        <v>0.93043478260869561</v>
      </c>
      <c r="BE30" s="19">
        <f>'Total Retail'!F30/F30</f>
        <v>0.94357366771159878</v>
      </c>
      <c r="BF30" s="19">
        <f>'Total Retail'!G30/G30</f>
        <v>0.93293492695883129</v>
      </c>
      <c r="BG30" s="19">
        <f>'Total Retail'!H30/H30</f>
        <v>0.94304594084329763</v>
      </c>
      <c r="BH30" s="19">
        <f>'Total Retail'!I30/I30</f>
        <v>0.94564168542939853</v>
      </c>
      <c r="BI30" s="19">
        <f>'Total Retail'!J30/J30</f>
        <v>0.95480769230769236</v>
      </c>
      <c r="BJ30" s="19">
        <f>'Total Retail'!K30/K30</f>
        <v>0.96255349500713272</v>
      </c>
      <c r="BK30" s="19">
        <f>'Total Retail'!L30/L30</f>
        <v>0.96586646661665421</v>
      </c>
      <c r="BL30" s="19">
        <f>'Total Retail'!M30/M30</f>
        <v>0.93002186816619803</v>
      </c>
      <c r="BM30" s="3"/>
      <c r="BN30" s="3">
        <f t="shared" si="28"/>
        <v>1996</v>
      </c>
      <c r="BO30" s="18">
        <f>'Firm Retail'!B29/B30</f>
        <v>0.81395348837209303</v>
      </c>
      <c r="BP30" s="19">
        <f>'Firm Retail'!C29/C30</f>
        <v>0.80934065934065935</v>
      </c>
      <c r="BQ30" s="19">
        <f>'Firm Retail'!D29/D30</f>
        <v>0.79483600837404045</v>
      </c>
      <c r="BR30" s="19">
        <f>'Firm Retail'!E29/E30</f>
        <v>0.80072463768115942</v>
      </c>
      <c r="BS30" s="19">
        <f>'Firm Retail'!F29/F30</f>
        <v>0.83803552769070011</v>
      </c>
      <c r="BT30" s="19">
        <f>'Firm Retail'!G29/G30</f>
        <v>0.83499335989375834</v>
      </c>
      <c r="BU30" s="19">
        <f>'Firm Retail'!H29/H30</f>
        <v>0.83291378225298929</v>
      </c>
      <c r="BV30" s="19">
        <f>'Firm Retail'!I29/I30</f>
        <v>0.82952717915728535</v>
      </c>
      <c r="BW30" s="19">
        <f>'Firm Retail'!J29/J30</f>
        <v>0.84551282051282051</v>
      </c>
      <c r="BX30" s="19">
        <f>'Firm Retail'!K29/K30</f>
        <v>0.84486447931526387</v>
      </c>
      <c r="BY30" s="19">
        <f>'Firm Retail'!L29/L30</f>
        <v>0.80682670667666911</v>
      </c>
      <c r="BZ30" s="19">
        <f>'Firm Retail'!M29/M30</f>
        <v>0.79381443298969068</v>
      </c>
    </row>
    <row r="31" spans="1:78" ht="15.75">
      <c r="A31" s="323">
        <v>1997</v>
      </c>
      <c r="B31" s="174">
        <v>3324</v>
      </c>
      <c r="C31" s="3">
        <v>2518</v>
      </c>
      <c r="D31" s="3">
        <v>2563</v>
      </c>
      <c r="E31" s="3">
        <v>2523</v>
      </c>
      <c r="F31" s="3">
        <v>3125</v>
      </c>
      <c r="G31" s="3">
        <v>3170</v>
      </c>
      <c r="H31" s="3">
        <v>3201</v>
      </c>
      <c r="I31" s="168">
        <v>3229</v>
      </c>
      <c r="J31" s="3">
        <v>3111</v>
      </c>
      <c r="K31" s="3">
        <v>2933</v>
      </c>
      <c r="L31" s="3">
        <v>2336</v>
      </c>
      <c r="M31" s="3">
        <v>2732</v>
      </c>
      <c r="N31"/>
      <c r="O31" s="26" t="s">
        <v>44</v>
      </c>
      <c r="P31" s="12">
        <f t="shared" si="2"/>
        <v>3324</v>
      </c>
      <c r="Q31" s="13">
        <f t="shared" si="0"/>
        <v>3229</v>
      </c>
      <c r="R31" s="12">
        <f t="shared" si="31"/>
        <v>3201</v>
      </c>
      <c r="S31" s="177">
        <f t="shared" si="1"/>
        <v>3324</v>
      </c>
      <c r="T31" s="399">
        <f t="shared" si="33"/>
        <v>34765</v>
      </c>
      <c r="U31" s="400"/>
      <c r="V31" s="398">
        <f t="shared" si="32"/>
        <v>34765</v>
      </c>
      <c r="W31" s="423"/>
      <c r="X31" s="3">
        <f t="shared" si="3"/>
        <v>1997</v>
      </c>
      <c r="Y31" s="18">
        <f t="shared" si="29"/>
        <v>1</v>
      </c>
      <c r="Z31" s="19">
        <f t="shared" si="4"/>
        <v>0.75752105896510225</v>
      </c>
      <c r="AA31" s="19">
        <f t="shared" si="5"/>
        <v>0.77105896510228644</v>
      </c>
      <c r="AB31" s="18">
        <f t="shared" si="6"/>
        <v>0.7813564571074636</v>
      </c>
      <c r="AC31" s="19">
        <f t="shared" si="7"/>
        <v>0.96779188603282751</v>
      </c>
      <c r="AD31" s="19">
        <f t="shared" si="8"/>
        <v>0.98172808919170018</v>
      </c>
      <c r="AE31" s="19">
        <f t="shared" si="9"/>
        <v>0.99132858470114582</v>
      </c>
      <c r="AF31" s="19">
        <f t="shared" si="10"/>
        <v>1</v>
      </c>
      <c r="AG31" s="19">
        <f t="shared" si="11"/>
        <v>0.96345617838340047</v>
      </c>
      <c r="AH31" s="18">
        <f t="shared" si="12"/>
        <v>0.97766666666666668</v>
      </c>
      <c r="AI31" s="19">
        <f t="shared" si="13"/>
        <v>0.77866666666666662</v>
      </c>
      <c r="AJ31" s="19">
        <f t="shared" si="14"/>
        <v>0.91066666666666662</v>
      </c>
      <c r="AK31" s="9"/>
      <c r="AL31" s="3">
        <f t="shared" si="15"/>
        <v>1997</v>
      </c>
      <c r="AM31" s="9">
        <f t="shared" si="30"/>
        <v>-202</v>
      </c>
      <c r="AN31" s="3">
        <f t="shared" si="16"/>
        <v>-1122</v>
      </c>
      <c r="AO31" s="3">
        <f t="shared" si="17"/>
        <v>-303</v>
      </c>
      <c r="AP31" s="3">
        <f t="shared" si="18"/>
        <v>-237</v>
      </c>
      <c r="AQ31" s="3">
        <f t="shared" si="19"/>
        <v>254</v>
      </c>
      <c r="AR31" s="3">
        <f t="shared" si="20"/>
        <v>158</v>
      </c>
      <c r="AS31" s="3">
        <f t="shared" si="21"/>
        <v>23</v>
      </c>
      <c r="AT31" s="3">
        <f t="shared" si="22"/>
        <v>120</v>
      </c>
      <c r="AU31" s="3">
        <f t="shared" si="23"/>
        <v>-9</v>
      </c>
      <c r="AV31" s="3">
        <f t="shared" si="24"/>
        <v>129</v>
      </c>
      <c r="AW31" s="3">
        <f t="shared" si="25"/>
        <v>-330</v>
      </c>
      <c r="AX31" s="3">
        <f t="shared" si="26"/>
        <v>-469</v>
      </c>
      <c r="AY31" s="3"/>
      <c r="AZ31" s="3">
        <f t="shared" si="27"/>
        <v>1997</v>
      </c>
      <c r="BA31" s="18">
        <f>'Total Retail'!B31/B31</f>
        <v>0.93802647412755713</v>
      </c>
      <c r="BB31" s="19">
        <f>'Total Retail'!C31/C31</f>
        <v>0.93050039714058774</v>
      </c>
      <c r="BC31" s="19">
        <f>'Total Retail'!D31/D31</f>
        <v>0.91299258681232931</v>
      </c>
      <c r="BD31" s="19">
        <f>'Total Retail'!E31/E31</f>
        <v>0.95521204914783986</v>
      </c>
      <c r="BE31" s="19">
        <f>'Total Retail'!F31/F31</f>
        <v>0.96031999999999995</v>
      </c>
      <c r="BF31" s="19">
        <f>'Total Retail'!G31/G31</f>
        <v>0.9413249211356467</v>
      </c>
      <c r="BG31" s="19">
        <f>'Total Retail'!H31/H31</f>
        <v>0.92877225866916591</v>
      </c>
      <c r="BH31" s="19">
        <f>'Total Retail'!I31/I31</f>
        <v>0.9200991018891298</v>
      </c>
      <c r="BI31" s="19">
        <f>'Total Retail'!J31/J31</f>
        <v>0.93860495017679202</v>
      </c>
      <c r="BJ31" s="19">
        <f>'Total Retail'!K31/K31</f>
        <v>0.91271735424480049</v>
      </c>
      <c r="BK31" s="19">
        <f>'Total Retail'!L31/L31</f>
        <v>0.89640410958904104</v>
      </c>
      <c r="BL31" s="19">
        <f>'Total Retail'!M31/M31</f>
        <v>0.90812591508052709</v>
      </c>
      <c r="BM31" s="3"/>
      <c r="BN31" s="3">
        <f t="shared" si="28"/>
        <v>1997</v>
      </c>
      <c r="BO31" s="18">
        <f>'Firm Retail'!B30/B31</f>
        <v>0.81799037304452471</v>
      </c>
      <c r="BP31" s="19">
        <f>'Firm Retail'!C30/C31</f>
        <v>0.78991262907069104</v>
      </c>
      <c r="BQ31" s="19">
        <f>'Firm Retail'!D30/D31</f>
        <v>0.80140460397971125</v>
      </c>
      <c r="BR31" s="19">
        <f>'Firm Retail'!E30/E31</f>
        <v>0.835909631391201</v>
      </c>
      <c r="BS31" s="19">
        <f>'Firm Retail'!F30/F31</f>
        <v>0.85440000000000005</v>
      </c>
      <c r="BT31" s="19">
        <f>'Firm Retail'!G30/G31</f>
        <v>0.84195583596214507</v>
      </c>
      <c r="BU31" s="19">
        <f>'Firm Retail'!H30/H31</f>
        <v>0.83630115588878473</v>
      </c>
      <c r="BV31" s="19">
        <f>'Firm Retail'!I30/I31</f>
        <v>0.82037782595230724</v>
      </c>
      <c r="BW31" s="19">
        <f>'Firm Retail'!J30/J31</f>
        <v>0.83799421407907426</v>
      </c>
      <c r="BX31" s="19">
        <f>'Firm Retail'!K30/K31</f>
        <v>0.83600409137401976</v>
      </c>
      <c r="BY31" s="19">
        <f>'Firm Retail'!L30/L31</f>
        <v>0.77397260273972601</v>
      </c>
      <c r="BZ31" s="19">
        <f>'Firm Retail'!M30/M31</f>
        <v>0.79612005856515378</v>
      </c>
    </row>
    <row r="32" spans="1:78" ht="15.75">
      <c r="A32" s="323">
        <v>1998</v>
      </c>
      <c r="B32" s="3">
        <v>2634</v>
      </c>
      <c r="C32" s="3">
        <v>2780</v>
      </c>
      <c r="D32" s="174">
        <v>3000</v>
      </c>
      <c r="E32" s="3">
        <v>2679</v>
      </c>
      <c r="F32" s="3">
        <v>3048</v>
      </c>
      <c r="G32" s="3">
        <v>3469</v>
      </c>
      <c r="H32" s="3">
        <v>3420</v>
      </c>
      <c r="I32" s="168">
        <v>3476</v>
      </c>
      <c r="J32" s="3">
        <v>3266</v>
      </c>
      <c r="K32" s="3">
        <v>3193</v>
      </c>
      <c r="L32" s="3">
        <v>2655</v>
      </c>
      <c r="M32" s="3">
        <v>2557</v>
      </c>
      <c r="N32"/>
      <c r="O32" s="26" t="s">
        <v>45</v>
      </c>
      <c r="P32" s="12">
        <f t="shared" si="2"/>
        <v>3000</v>
      </c>
      <c r="Q32" s="13">
        <f t="shared" si="0"/>
        <v>3476</v>
      </c>
      <c r="R32" s="12">
        <f t="shared" si="31"/>
        <v>2732</v>
      </c>
      <c r="S32" s="177">
        <f t="shared" si="1"/>
        <v>3000</v>
      </c>
      <c r="T32" s="399">
        <f t="shared" si="33"/>
        <v>36177</v>
      </c>
      <c r="U32" s="400"/>
      <c r="V32" s="398">
        <f t="shared" si="32"/>
        <v>36177</v>
      </c>
      <c r="W32" s="423"/>
      <c r="X32" s="3">
        <f t="shared" si="3"/>
        <v>1998</v>
      </c>
      <c r="Y32" s="18">
        <f t="shared" si="29"/>
        <v>0.878</v>
      </c>
      <c r="Z32" s="19">
        <f t="shared" si="4"/>
        <v>0.92666666666666664</v>
      </c>
      <c r="AA32" s="19">
        <f t="shared" si="5"/>
        <v>1</v>
      </c>
      <c r="AB32" s="18">
        <f t="shared" si="6"/>
        <v>0.77071346375143845</v>
      </c>
      <c r="AC32" s="19">
        <f t="shared" si="7"/>
        <v>0.87686996547756046</v>
      </c>
      <c r="AD32" s="19">
        <f t="shared" si="8"/>
        <v>0.99798619102416575</v>
      </c>
      <c r="AE32" s="19">
        <f t="shared" si="9"/>
        <v>0.98388952819332565</v>
      </c>
      <c r="AF32" s="19">
        <f t="shared" si="10"/>
        <v>1</v>
      </c>
      <c r="AG32" s="19">
        <f t="shared" si="11"/>
        <v>0.9395857307249712</v>
      </c>
      <c r="AH32" s="18">
        <f t="shared" si="12"/>
        <v>0.923633207983801</v>
      </c>
      <c r="AI32" s="19">
        <f t="shared" si="13"/>
        <v>0.76800694243563783</v>
      </c>
      <c r="AJ32" s="19">
        <f t="shared" si="14"/>
        <v>0.73965866358113974</v>
      </c>
      <c r="AK32" s="9"/>
      <c r="AL32" s="3">
        <f t="shared" si="15"/>
        <v>1998</v>
      </c>
      <c r="AM32" s="9">
        <f t="shared" si="30"/>
        <v>-690</v>
      </c>
      <c r="AN32" s="3">
        <f t="shared" si="16"/>
        <v>262</v>
      </c>
      <c r="AO32" s="3">
        <f t="shared" si="17"/>
        <v>437</v>
      </c>
      <c r="AP32" s="3">
        <f t="shared" si="18"/>
        <v>156</v>
      </c>
      <c r="AQ32" s="3">
        <f t="shared" si="19"/>
        <v>-77</v>
      </c>
      <c r="AR32" s="3">
        <f t="shared" si="20"/>
        <v>299</v>
      </c>
      <c r="AS32" s="3">
        <f t="shared" si="21"/>
        <v>219</v>
      </c>
      <c r="AT32" s="3">
        <f t="shared" si="22"/>
        <v>247</v>
      </c>
      <c r="AU32" s="3">
        <f t="shared" si="23"/>
        <v>155</v>
      </c>
      <c r="AV32" s="3">
        <f t="shared" si="24"/>
        <v>260</v>
      </c>
      <c r="AW32" s="3">
        <f t="shared" si="25"/>
        <v>319</v>
      </c>
      <c r="AX32" s="3">
        <f t="shared" si="26"/>
        <v>-175</v>
      </c>
      <c r="AY32" s="3"/>
      <c r="AZ32" s="3">
        <f t="shared" si="27"/>
        <v>1998</v>
      </c>
      <c r="BA32" s="18">
        <f>'Total Retail'!B32/B32</f>
        <v>0.8929384965831435</v>
      </c>
      <c r="BB32" s="19">
        <f>'Total Retail'!C32/C32</f>
        <v>0.90791366906474824</v>
      </c>
      <c r="BC32" s="19">
        <f>'Total Retail'!D32/D32</f>
        <v>0.90333333333333332</v>
      </c>
      <c r="BD32" s="19">
        <f>'Total Retail'!E32/E32</f>
        <v>0.94326241134751776</v>
      </c>
      <c r="BE32" s="19">
        <f>'Total Retail'!F32/F32</f>
        <v>0.95800524934383202</v>
      </c>
      <c r="BF32" s="19">
        <f>'Total Retail'!G32/G32</f>
        <v>0.92706831940040357</v>
      </c>
      <c r="BG32" s="19">
        <f>'Total Retail'!H32/H32</f>
        <v>0.92982456140350878</v>
      </c>
      <c r="BH32" s="19">
        <f>'Total Retail'!I32/I32</f>
        <v>0.9395857307249712</v>
      </c>
      <c r="BI32" s="19">
        <f>'Total Retail'!J32/J32</f>
        <v>0.91947336191059403</v>
      </c>
      <c r="BJ32" s="19">
        <f>'Total Retail'!K32/K32</f>
        <v>0.94331349827748201</v>
      </c>
      <c r="BK32" s="19">
        <f>'Total Retail'!L32/L32</f>
        <v>0.93258003766478348</v>
      </c>
      <c r="BL32" s="19">
        <f>'Total Retail'!M32/M32</f>
        <v>0.92100117324990227</v>
      </c>
      <c r="BM32" s="3"/>
      <c r="BN32" s="3">
        <f t="shared" si="28"/>
        <v>1998</v>
      </c>
      <c r="BO32" s="18">
        <f>'Firm Retail'!B31/B32</f>
        <v>0.75968109339407741</v>
      </c>
      <c r="BP32" s="19">
        <f>'Firm Retail'!C31/C32</f>
        <v>0.78561151079136693</v>
      </c>
      <c r="BQ32" s="19">
        <f>'Firm Retail'!D31/D32</f>
        <v>0.77733333333333332</v>
      </c>
      <c r="BR32" s="19">
        <f>'Firm Retail'!E31/E32</f>
        <v>0.82493467711832769</v>
      </c>
      <c r="BS32" s="19">
        <f>'Firm Retail'!F31/F32</f>
        <v>0.85334645669291342</v>
      </c>
      <c r="BT32" s="19">
        <f>'Firm Retail'!G31/G32</f>
        <v>0.84202940328624964</v>
      </c>
      <c r="BU32" s="19">
        <f>'Firm Retail'!H31/H32</f>
        <v>0.84532163742690059</v>
      </c>
      <c r="BV32" s="19">
        <f>'Firm Retail'!I31/I32</f>
        <v>0.84723820483314149</v>
      </c>
      <c r="BW32" s="19">
        <f>'Firm Retail'!J31/J32</f>
        <v>0.82302510716472754</v>
      </c>
      <c r="BX32" s="19">
        <f>'Firm Retail'!K31/K32</f>
        <v>0.83463827121829004</v>
      </c>
      <c r="BY32" s="19">
        <f>'Firm Retail'!L31/L32</f>
        <v>0.82448210922787191</v>
      </c>
      <c r="BZ32" s="19">
        <f>'Firm Retail'!M31/M32</f>
        <v>0.80719593273367229</v>
      </c>
    </row>
    <row r="33" spans="1:78" ht="15.75">
      <c r="A33" s="323">
        <v>1999</v>
      </c>
      <c r="B33" s="174">
        <v>3457</v>
      </c>
      <c r="C33" s="3">
        <v>2988</v>
      </c>
      <c r="D33" s="3">
        <v>2634</v>
      </c>
      <c r="E33" s="3">
        <v>2975</v>
      </c>
      <c r="F33" s="3">
        <v>3102</v>
      </c>
      <c r="G33" s="3">
        <v>3219</v>
      </c>
      <c r="H33" s="3">
        <v>3434</v>
      </c>
      <c r="I33" s="168">
        <v>3452</v>
      </c>
      <c r="J33" s="3">
        <v>3303</v>
      </c>
      <c r="K33" s="3">
        <v>3060</v>
      </c>
      <c r="L33" s="3">
        <v>2503</v>
      </c>
      <c r="M33" s="3">
        <v>2875</v>
      </c>
      <c r="N33"/>
      <c r="O33" s="26" t="s">
        <v>46</v>
      </c>
      <c r="P33" s="12">
        <f t="shared" si="2"/>
        <v>3457</v>
      </c>
      <c r="Q33" s="13">
        <f t="shared" si="0"/>
        <v>3452</v>
      </c>
      <c r="R33" s="12">
        <f t="shared" si="31"/>
        <v>2655</v>
      </c>
      <c r="S33" s="177">
        <f t="shared" si="1"/>
        <v>3457</v>
      </c>
      <c r="T33" s="399">
        <f t="shared" si="33"/>
        <v>37002</v>
      </c>
      <c r="U33" s="400"/>
      <c r="V33" s="398">
        <f t="shared" si="32"/>
        <v>37002</v>
      </c>
      <c r="W33" s="423"/>
      <c r="X33" s="3">
        <f t="shared" si="3"/>
        <v>1999</v>
      </c>
      <c r="Y33" s="18">
        <f t="shared" si="29"/>
        <v>1</v>
      </c>
      <c r="Z33" s="19">
        <f t="shared" si="4"/>
        <v>0.86433323691061614</v>
      </c>
      <c r="AA33" s="19">
        <f t="shared" si="5"/>
        <v>0.76193231125253114</v>
      </c>
      <c r="AB33" s="18">
        <f t="shared" si="6"/>
        <v>0.86181923522595594</v>
      </c>
      <c r="AC33" s="19">
        <f t="shared" si="7"/>
        <v>0.89860950173812282</v>
      </c>
      <c r="AD33" s="19">
        <f t="shared" si="8"/>
        <v>0.93250289687137888</v>
      </c>
      <c r="AE33" s="19">
        <f t="shared" si="9"/>
        <v>0.99478563151796062</v>
      </c>
      <c r="AF33" s="19">
        <f t="shared" si="10"/>
        <v>1</v>
      </c>
      <c r="AG33" s="19">
        <f t="shared" si="11"/>
        <v>0.95683661645422946</v>
      </c>
      <c r="AH33" s="18">
        <f t="shared" si="12"/>
        <v>0.81927710843373491</v>
      </c>
      <c r="AI33" s="19">
        <f t="shared" si="13"/>
        <v>0.67014725568942435</v>
      </c>
      <c r="AJ33" s="19">
        <f t="shared" si="14"/>
        <v>0.76974564926372158</v>
      </c>
      <c r="AK33" s="9"/>
      <c r="AL33" s="3">
        <f t="shared" si="15"/>
        <v>1999</v>
      </c>
      <c r="AM33" s="9">
        <f t="shared" si="30"/>
        <v>823</v>
      </c>
      <c r="AN33" s="3">
        <f t="shared" si="16"/>
        <v>208</v>
      </c>
      <c r="AO33" s="3">
        <f t="shared" si="17"/>
        <v>-366</v>
      </c>
      <c r="AP33" s="3">
        <f t="shared" si="18"/>
        <v>296</v>
      </c>
      <c r="AQ33" s="3">
        <f t="shared" si="19"/>
        <v>54</v>
      </c>
      <c r="AR33" s="3">
        <f t="shared" si="20"/>
        <v>-250</v>
      </c>
      <c r="AS33" s="3">
        <f t="shared" si="21"/>
        <v>14</v>
      </c>
      <c r="AT33" s="3">
        <f t="shared" si="22"/>
        <v>-24</v>
      </c>
      <c r="AU33" s="3">
        <f t="shared" si="23"/>
        <v>37</v>
      </c>
      <c r="AV33" s="3">
        <f t="shared" si="24"/>
        <v>-133</v>
      </c>
      <c r="AW33" s="3">
        <f t="shared" si="25"/>
        <v>-152</v>
      </c>
      <c r="AX33" s="3">
        <f t="shared" si="26"/>
        <v>318</v>
      </c>
      <c r="AY33" s="3"/>
      <c r="AZ33" s="3">
        <f t="shared" si="27"/>
        <v>1999</v>
      </c>
      <c r="BA33" s="18">
        <f>'Total Retail'!B33/B33</f>
        <v>0.98611512872432749</v>
      </c>
      <c r="BB33" s="19">
        <f>'Total Retail'!C33/C33</f>
        <v>0.91265060240963858</v>
      </c>
      <c r="BC33" s="19">
        <f>'Total Retail'!D33/D33</f>
        <v>0.91533788914198932</v>
      </c>
      <c r="BD33" s="19">
        <f>'Total Retail'!E33/E33</f>
        <v>0.99126050420168066</v>
      </c>
      <c r="BE33" s="19">
        <f>'Total Retail'!F33/F33</f>
        <v>0.93262411347517726</v>
      </c>
      <c r="BF33" s="19">
        <f>'Total Retail'!G33/G33</f>
        <v>0.94004349176762969</v>
      </c>
      <c r="BG33" s="19">
        <f>'Total Retail'!H33/H33</f>
        <v>0.96680256260920205</v>
      </c>
      <c r="BH33" s="19">
        <f>'Total Retail'!I33/I33</f>
        <v>0.97682502896871382</v>
      </c>
      <c r="BI33" s="19">
        <f>'Total Retail'!J33/J33</f>
        <v>0.92552225249772935</v>
      </c>
      <c r="BJ33" s="19">
        <f>'Total Retail'!K33/K33</f>
        <v>0.92549019607843142</v>
      </c>
      <c r="BK33" s="19">
        <f>'Total Retail'!L33/L33</f>
        <v>0.92608869356771872</v>
      </c>
      <c r="BL33" s="19">
        <f>'Total Retail'!M33/M33</f>
        <v>0.90782608695652178</v>
      </c>
      <c r="BM33" s="3"/>
      <c r="BN33" s="3">
        <f t="shared" si="28"/>
        <v>1999</v>
      </c>
      <c r="BO33" s="18">
        <f>'Firm Retail'!B32/B33</f>
        <v>0.86491177321376922</v>
      </c>
      <c r="BP33" s="19">
        <f>'Firm Retail'!C32/C33</f>
        <v>0.79852744310575641</v>
      </c>
      <c r="BQ33" s="19">
        <f>'Firm Retail'!D32/D33</f>
        <v>0.79119210326499623</v>
      </c>
      <c r="BR33" s="19">
        <f>'Firm Retail'!E32/E33</f>
        <v>0.89445378151260502</v>
      </c>
      <c r="BS33" s="19">
        <f>'Firm Retail'!F32/F33</f>
        <v>0.85235332043842682</v>
      </c>
      <c r="BT33" s="19">
        <f>'Firm Retail'!G32/G33</f>
        <v>0.84249767008387699</v>
      </c>
      <c r="BU33" s="19">
        <f>'Firm Retail'!H32/H33</f>
        <v>0.86895748398369244</v>
      </c>
      <c r="BV33" s="19">
        <f>'Firm Retail'!I32/I33</f>
        <v>0.88904982618771722</v>
      </c>
      <c r="BW33" s="19">
        <f>'Firm Retail'!J32/J33</f>
        <v>0.84831970935513168</v>
      </c>
      <c r="BX33" s="19">
        <f>'Firm Retail'!K32/K33</f>
        <v>0.83333333333333337</v>
      </c>
      <c r="BY33" s="19">
        <f>'Firm Retail'!L32/L33</f>
        <v>0.83339992009588493</v>
      </c>
      <c r="BZ33" s="19">
        <f>'Firm Retail'!M32/M33</f>
        <v>0.78260869565217395</v>
      </c>
    </row>
    <row r="34" spans="1:78" ht="15.75">
      <c r="A34" s="323">
        <v>2000</v>
      </c>
      <c r="B34" s="174">
        <v>3735</v>
      </c>
      <c r="C34" s="3">
        <v>3113</v>
      </c>
      <c r="D34" s="3">
        <v>2826</v>
      </c>
      <c r="E34" s="3">
        <v>2743</v>
      </c>
      <c r="F34" s="3">
        <v>3433</v>
      </c>
      <c r="G34" s="3">
        <v>3493</v>
      </c>
      <c r="H34" s="3">
        <v>3463</v>
      </c>
      <c r="I34" s="168">
        <v>3556</v>
      </c>
      <c r="J34" s="3">
        <v>3402</v>
      </c>
      <c r="K34" s="3">
        <v>3218</v>
      </c>
      <c r="L34" s="3">
        <v>2815</v>
      </c>
      <c r="M34" s="3">
        <v>3573</v>
      </c>
      <c r="N34"/>
      <c r="O34" s="26" t="s">
        <v>47</v>
      </c>
      <c r="P34" s="12">
        <f t="shared" si="2"/>
        <v>3735</v>
      </c>
      <c r="Q34" s="13">
        <f t="shared" si="0"/>
        <v>3556</v>
      </c>
      <c r="R34" s="12">
        <f t="shared" si="31"/>
        <v>2875</v>
      </c>
      <c r="S34" s="177">
        <f t="shared" si="1"/>
        <v>3735</v>
      </c>
      <c r="T34" s="399">
        <f t="shared" si="33"/>
        <v>39370</v>
      </c>
      <c r="U34" s="400"/>
      <c r="V34" s="398">
        <f t="shared" si="32"/>
        <v>39370</v>
      </c>
      <c r="W34" s="423"/>
      <c r="X34" s="3">
        <f t="shared" si="3"/>
        <v>2000</v>
      </c>
      <c r="Y34" s="18">
        <f t="shared" si="29"/>
        <v>1</v>
      </c>
      <c r="Z34" s="19">
        <f t="shared" si="4"/>
        <v>0.83346720214190095</v>
      </c>
      <c r="AA34" s="19">
        <f t="shared" si="5"/>
        <v>0.75662650602409642</v>
      </c>
      <c r="AB34" s="18">
        <f t="shared" si="6"/>
        <v>0.77137232845894266</v>
      </c>
      <c r="AC34" s="19">
        <f t="shared" si="7"/>
        <v>0.9654105736782902</v>
      </c>
      <c r="AD34" s="19">
        <f t="shared" si="8"/>
        <v>0.98228346456692917</v>
      </c>
      <c r="AE34" s="19">
        <f t="shared" si="9"/>
        <v>0.97384701912260963</v>
      </c>
      <c r="AF34" s="19">
        <f t="shared" si="10"/>
        <v>1</v>
      </c>
      <c r="AG34" s="19">
        <f t="shared" si="11"/>
        <v>0.95669291338582674</v>
      </c>
      <c r="AH34" s="18">
        <f t="shared" si="12"/>
        <v>0.8063142069656728</v>
      </c>
      <c r="AI34" s="19">
        <f t="shared" si="13"/>
        <v>0.70533700826860435</v>
      </c>
      <c r="AJ34" s="19">
        <f t="shared" si="14"/>
        <v>0.89526434477574546</v>
      </c>
      <c r="AK34" s="9"/>
      <c r="AL34" s="3">
        <f t="shared" si="15"/>
        <v>2000</v>
      </c>
      <c r="AM34" s="9">
        <f t="shared" si="30"/>
        <v>278</v>
      </c>
      <c r="AN34" s="3">
        <f t="shared" ref="AN34:AX39" si="34">C34-C33</f>
        <v>125</v>
      </c>
      <c r="AO34" s="3">
        <f t="shared" si="34"/>
        <v>192</v>
      </c>
      <c r="AP34" s="3">
        <f t="shared" si="34"/>
        <v>-232</v>
      </c>
      <c r="AQ34" s="3">
        <f t="shared" si="34"/>
        <v>331</v>
      </c>
      <c r="AR34" s="3">
        <f t="shared" si="34"/>
        <v>274</v>
      </c>
      <c r="AS34" s="3">
        <f t="shared" si="34"/>
        <v>29</v>
      </c>
      <c r="AT34" s="3">
        <f t="shared" si="34"/>
        <v>104</v>
      </c>
      <c r="AU34" s="3">
        <f t="shared" si="34"/>
        <v>99</v>
      </c>
      <c r="AV34" s="3">
        <f t="shared" si="34"/>
        <v>158</v>
      </c>
      <c r="AW34" s="3">
        <f t="shared" si="34"/>
        <v>312</v>
      </c>
      <c r="AX34" s="3">
        <f t="shared" si="34"/>
        <v>698</v>
      </c>
      <c r="AY34" s="3"/>
      <c r="AZ34" s="3">
        <f t="shared" si="27"/>
        <v>2000</v>
      </c>
      <c r="BA34" s="18">
        <f>'Total Retail'!B34/B34</f>
        <v>0.91967871485943775</v>
      </c>
      <c r="BB34" s="19">
        <f>'Total Retail'!C34/C34</f>
        <v>0.918406681657565</v>
      </c>
      <c r="BC34" s="19">
        <f>'Total Retail'!D34/D34</f>
        <v>0.92993630573248409</v>
      </c>
      <c r="BD34" s="19">
        <f>'Total Retail'!E34/E34</f>
        <v>0.93036820998906311</v>
      </c>
      <c r="BE34" s="19">
        <f>'Total Retail'!F34/F34</f>
        <v>0.92484707253131371</v>
      </c>
      <c r="BF34" s="19">
        <f>'Total Retail'!G34/G34</f>
        <v>0.92900085886057826</v>
      </c>
      <c r="BG34" s="19">
        <f>'Total Retail'!H34/H34</f>
        <v>0.93444989893156227</v>
      </c>
      <c r="BH34" s="19">
        <f>'Total Retail'!I34/I34</f>
        <v>0.92885264341957252</v>
      </c>
      <c r="BI34" s="19">
        <f>'Total Retail'!J34/J34</f>
        <v>0.94914756025867142</v>
      </c>
      <c r="BJ34" s="19">
        <f>'Total Retail'!K34/K34</f>
        <v>0.91205717837165945</v>
      </c>
      <c r="BK34" s="19">
        <f>'Total Retail'!L34/L34</f>
        <v>0.93037300177619897</v>
      </c>
      <c r="BL34" s="19">
        <f>'Total Retail'!M34/M34</f>
        <v>0.93087041701651274</v>
      </c>
      <c r="BM34" s="3"/>
      <c r="BN34" s="3">
        <f t="shared" si="28"/>
        <v>2000</v>
      </c>
      <c r="BO34" s="18">
        <f>'Firm Retail'!B33/B34</f>
        <v>0.80562248995983932</v>
      </c>
      <c r="BP34" s="19">
        <f>'Firm Retail'!C33/C34</f>
        <v>0.81464824927722457</v>
      </c>
      <c r="BQ34" s="19">
        <f>'Firm Retail'!D33/D34</f>
        <v>0.84642604387827314</v>
      </c>
      <c r="BR34" s="19">
        <f>'Firm Retail'!E33/E34</f>
        <v>0.83120670798395913</v>
      </c>
      <c r="BS34" s="19">
        <f>'Firm Retail'!F33/F34</f>
        <v>0.82930381590445679</v>
      </c>
      <c r="BT34" s="19">
        <f>'Firm Retail'!G33/G34</f>
        <v>0.83423990838820494</v>
      </c>
      <c r="BU34" s="19">
        <f>'Firm Retail'!H33/H34</f>
        <v>0.88564828183655786</v>
      </c>
      <c r="BV34" s="19">
        <f>'Firm Retail'!I33/I34</f>
        <v>0.85151856017997751</v>
      </c>
      <c r="BW34" s="19">
        <f>'Firm Retail'!J33/J34</f>
        <v>0.84509112286890065</v>
      </c>
      <c r="BX34" s="19">
        <f>'Firm Retail'!K33/K34</f>
        <v>0.88533250466128033</v>
      </c>
      <c r="BY34" s="19">
        <f>'Firm Retail'!L33/L34</f>
        <v>0.8162095914742451</v>
      </c>
      <c r="BZ34" s="19">
        <f>'Firm Retail'!M33/M34</f>
        <v>0.83202264203750342</v>
      </c>
    </row>
    <row r="35" spans="1:78" ht="15.75">
      <c r="A35" s="323">
        <v>2001</v>
      </c>
      <c r="B35" s="174">
        <v>3991</v>
      </c>
      <c r="C35" s="3">
        <v>3077</v>
      </c>
      <c r="D35" s="3">
        <v>2700</v>
      </c>
      <c r="E35" s="3">
        <v>3106</v>
      </c>
      <c r="F35" s="3">
        <v>3455</v>
      </c>
      <c r="G35" s="3">
        <v>3600</v>
      </c>
      <c r="H35" s="3">
        <v>3442</v>
      </c>
      <c r="I35" s="168">
        <v>3636</v>
      </c>
      <c r="J35" s="3">
        <v>3408</v>
      </c>
      <c r="K35" s="3">
        <v>3140</v>
      </c>
      <c r="L35" s="3">
        <v>2694</v>
      </c>
      <c r="M35" s="3">
        <v>2875</v>
      </c>
      <c r="N35"/>
      <c r="O35" s="26" t="s">
        <v>235</v>
      </c>
      <c r="P35" s="12">
        <f t="shared" ref="P35:P40" si="35">MAX(R35:S35)</f>
        <v>3991</v>
      </c>
      <c r="Q35" s="13">
        <f t="shared" ref="Q35:Q40" si="36">MAX(E35:J35)</f>
        <v>3636</v>
      </c>
      <c r="R35" s="12">
        <f t="shared" si="31"/>
        <v>3573</v>
      </c>
      <c r="S35" s="177">
        <f t="shared" ref="S35:S40" si="37">MAX(B35:D35)</f>
        <v>3991</v>
      </c>
      <c r="T35" s="399">
        <f t="shared" si="33"/>
        <v>39124</v>
      </c>
      <c r="U35" s="400"/>
      <c r="V35" s="398">
        <f t="shared" si="32"/>
        <v>39124</v>
      </c>
      <c r="W35" s="423"/>
      <c r="X35" s="3">
        <f t="shared" si="3"/>
        <v>2001</v>
      </c>
      <c r="Y35" s="18">
        <f t="shared" si="29"/>
        <v>1</v>
      </c>
      <c r="Z35" s="19">
        <f t="shared" si="4"/>
        <v>0.77098471561012283</v>
      </c>
      <c r="AA35" s="19">
        <f t="shared" si="5"/>
        <v>0.67652217489351041</v>
      </c>
      <c r="AB35" s="18">
        <f t="shared" si="6"/>
        <v>0.85423542354235427</v>
      </c>
      <c r="AC35" s="19">
        <f t="shared" si="7"/>
        <v>0.95022002200220024</v>
      </c>
      <c r="AD35" s="19">
        <f t="shared" si="8"/>
        <v>0.99009900990099009</v>
      </c>
      <c r="AE35" s="19">
        <f t="shared" si="9"/>
        <v>0.94664466446644668</v>
      </c>
      <c r="AF35" s="19">
        <f t="shared" si="10"/>
        <v>1</v>
      </c>
      <c r="AG35" s="19">
        <f t="shared" si="11"/>
        <v>0.93729372937293731</v>
      </c>
      <c r="AH35" s="18">
        <f t="shared" si="12"/>
        <v>0.80636877247046734</v>
      </c>
      <c r="AI35" s="19">
        <f t="shared" si="13"/>
        <v>0.69183359013867485</v>
      </c>
      <c r="AJ35" s="19">
        <f t="shared" si="14"/>
        <v>0.73831535695942474</v>
      </c>
      <c r="AK35" s="9"/>
      <c r="AL35" s="3">
        <f t="shared" si="15"/>
        <v>2001</v>
      </c>
      <c r="AM35" s="9">
        <f t="shared" si="30"/>
        <v>256</v>
      </c>
      <c r="AN35" s="3">
        <f t="shared" si="34"/>
        <v>-36</v>
      </c>
      <c r="AO35" s="3">
        <f t="shared" si="34"/>
        <v>-126</v>
      </c>
      <c r="AP35" s="3">
        <f t="shared" si="34"/>
        <v>363</v>
      </c>
      <c r="AQ35" s="3">
        <f t="shared" si="34"/>
        <v>22</v>
      </c>
      <c r="AR35" s="3">
        <f t="shared" si="34"/>
        <v>107</v>
      </c>
      <c r="AS35" s="3">
        <f t="shared" si="34"/>
        <v>-21</v>
      </c>
      <c r="AT35" s="3">
        <f t="shared" si="34"/>
        <v>80</v>
      </c>
      <c r="AU35" s="3">
        <f t="shared" si="34"/>
        <v>6</v>
      </c>
      <c r="AV35" s="3">
        <f t="shared" si="34"/>
        <v>-78</v>
      </c>
      <c r="AW35" s="3">
        <f t="shared" si="34"/>
        <v>-121</v>
      </c>
      <c r="AX35" s="3">
        <f t="shared" si="34"/>
        <v>-698</v>
      </c>
      <c r="AY35" s="3"/>
      <c r="AZ35" s="3">
        <f t="shared" si="27"/>
        <v>2001</v>
      </c>
      <c r="BA35" s="18">
        <f>'Total Retail'!B35/B35</f>
        <v>0.95239288398897515</v>
      </c>
      <c r="BB35" s="19">
        <f>'Total Retail'!C35/C35</f>
        <v>0.93630159246018851</v>
      </c>
      <c r="BC35" s="19">
        <f>'Total Retail'!D35/D35</f>
        <v>0.93</v>
      </c>
      <c r="BD35" s="19">
        <f>'Total Retail'!E35/E35</f>
        <v>0.93464262717321311</v>
      </c>
      <c r="BE35" s="19">
        <f>'Total Retail'!F35/F35</f>
        <v>0.9426917510853835</v>
      </c>
      <c r="BF35" s="19">
        <f>'Total Retail'!G35/G35</f>
        <v>0.95194444444444448</v>
      </c>
      <c r="BG35" s="19">
        <f>'Total Retail'!H35/H35</f>
        <v>0.96019755955839625</v>
      </c>
      <c r="BH35" s="19">
        <f>'Total Retail'!I35/I35</f>
        <v>0.9482948294829483</v>
      </c>
      <c r="BI35" s="19">
        <f>'Total Retail'!J35/J35</f>
        <v>0.96068075117370888</v>
      </c>
      <c r="BJ35" s="19">
        <f>'Total Retail'!K35/K35</f>
        <v>0.96273885350318467</v>
      </c>
      <c r="BK35" s="19">
        <f>'Total Retail'!L35/L35</f>
        <v>0.91165553080920569</v>
      </c>
      <c r="BL35" s="19">
        <f>'Total Retail'!M35/M35</f>
        <v>0.88139130434782609</v>
      </c>
      <c r="BM35" s="3"/>
      <c r="BN35" s="3">
        <f t="shared" si="28"/>
        <v>2001</v>
      </c>
      <c r="BO35" s="18">
        <f>'Firm Retail'!B34/B35</f>
        <v>0.85367075920821844</v>
      </c>
      <c r="BP35" s="19">
        <f>'Firm Retail'!C34/C35</f>
        <v>0.81637959051023723</v>
      </c>
      <c r="BQ35" s="19">
        <f>'Firm Retail'!D34/D35</f>
        <v>0.82814814814814819</v>
      </c>
      <c r="BR35" s="19">
        <f>'Firm Retail'!E34/E35</f>
        <v>0.83097231165486152</v>
      </c>
      <c r="BS35" s="19">
        <f>'Firm Retail'!F34/F35</f>
        <v>0.85180897250361798</v>
      </c>
      <c r="BT35" s="19">
        <f>'Firm Retail'!G34/G35</f>
        <v>0.85916666666666663</v>
      </c>
      <c r="BU35" s="19">
        <f>'Firm Retail'!H34/H35</f>
        <v>0.9020918070889018</v>
      </c>
      <c r="BV35" s="19">
        <f>'Firm Retail'!I34/I35</f>
        <v>0.87046204620462042</v>
      </c>
      <c r="BW35" s="19">
        <f>'Firm Retail'!J34/J35</f>
        <v>0.87705399061032863</v>
      </c>
      <c r="BX35" s="19">
        <f>'Firm Retail'!K34/K35</f>
        <v>0.87738853503184711</v>
      </c>
      <c r="BY35" s="19">
        <f>'Firm Retail'!L34/L35</f>
        <v>0.81737193763919824</v>
      </c>
      <c r="BZ35" s="19">
        <f>'Firm Retail'!M34/M35</f>
        <v>0.83026086956521739</v>
      </c>
    </row>
    <row r="36" spans="1:78" ht="15.75">
      <c r="A36" s="323">
        <v>2002</v>
      </c>
      <c r="B36" s="174">
        <v>3894</v>
      </c>
      <c r="C36" s="3">
        <v>3529</v>
      </c>
      <c r="D36" s="3">
        <v>3339</v>
      </c>
      <c r="E36" s="3">
        <v>3448</v>
      </c>
      <c r="F36" s="3">
        <v>3622</v>
      </c>
      <c r="G36" s="3">
        <v>3677</v>
      </c>
      <c r="H36" s="168">
        <v>3887</v>
      </c>
      <c r="I36" s="3">
        <v>3699</v>
      </c>
      <c r="J36" s="3">
        <v>3756</v>
      </c>
      <c r="K36" s="3">
        <v>3560</v>
      </c>
      <c r="L36" s="3">
        <v>3168</v>
      </c>
      <c r="M36" s="3">
        <v>3205</v>
      </c>
      <c r="N36"/>
      <c r="O36" s="26" t="s">
        <v>92</v>
      </c>
      <c r="P36" s="12">
        <f t="shared" si="35"/>
        <v>3894</v>
      </c>
      <c r="Q36" s="13">
        <f t="shared" si="36"/>
        <v>3887</v>
      </c>
      <c r="R36" s="12">
        <f t="shared" si="31"/>
        <v>2875</v>
      </c>
      <c r="S36" s="177">
        <f t="shared" si="37"/>
        <v>3894</v>
      </c>
      <c r="T36" s="399">
        <f t="shared" si="33"/>
        <v>42784</v>
      </c>
      <c r="U36" s="400"/>
      <c r="V36" s="398">
        <f t="shared" si="32"/>
        <v>42784</v>
      </c>
      <c r="W36" s="423"/>
      <c r="X36" s="3">
        <f t="shared" si="3"/>
        <v>2002</v>
      </c>
      <c r="Y36" s="18">
        <f t="shared" si="29"/>
        <v>1</v>
      </c>
      <c r="Z36" s="19">
        <f t="shared" si="4"/>
        <v>0.906266050333847</v>
      </c>
      <c r="AA36" s="19">
        <f t="shared" si="5"/>
        <v>0.85747303543913711</v>
      </c>
      <c r="AB36" s="18">
        <f t="shared" si="6"/>
        <v>0.88705942886544897</v>
      </c>
      <c r="AC36" s="19">
        <f t="shared" si="7"/>
        <v>0.9318240288139954</v>
      </c>
      <c r="AD36" s="19">
        <f t="shared" si="8"/>
        <v>0.94597375868278877</v>
      </c>
      <c r="AE36" s="19">
        <f t="shared" si="9"/>
        <v>1</v>
      </c>
      <c r="AF36" s="19">
        <f t="shared" si="10"/>
        <v>0.95163365063030614</v>
      </c>
      <c r="AG36" s="19">
        <f t="shared" si="11"/>
        <v>0.96629791613069205</v>
      </c>
      <c r="AH36" s="18">
        <f t="shared" si="12"/>
        <v>0.86999022482893451</v>
      </c>
      <c r="AI36" s="19">
        <f t="shared" si="13"/>
        <v>0.77419354838709675</v>
      </c>
      <c r="AJ36" s="19">
        <f t="shared" si="14"/>
        <v>0.78323558162267837</v>
      </c>
      <c r="AK36" s="9"/>
      <c r="AL36" s="3">
        <f t="shared" si="15"/>
        <v>2002</v>
      </c>
      <c r="AM36" s="9">
        <f t="shared" si="30"/>
        <v>-97</v>
      </c>
      <c r="AN36" s="3">
        <f t="shared" si="34"/>
        <v>452</v>
      </c>
      <c r="AO36" s="3">
        <f t="shared" si="34"/>
        <v>639</v>
      </c>
      <c r="AP36" s="3">
        <f t="shared" si="34"/>
        <v>342</v>
      </c>
      <c r="AQ36" s="3">
        <f t="shared" si="34"/>
        <v>167</v>
      </c>
      <c r="AR36" s="3">
        <f t="shared" si="34"/>
        <v>77</v>
      </c>
      <c r="AS36" s="3">
        <f t="shared" si="34"/>
        <v>445</v>
      </c>
      <c r="AT36" s="3">
        <f t="shared" si="34"/>
        <v>63</v>
      </c>
      <c r="AU36" s="3">
        <f t="shared" si="34"/>
        <v>348</v>
      </c>
      <c r="AV36" s="3">
        <f t="shared" si="34"/>
        <v>420</v>
      </c>
      <c r="AW36" s="3">
        <f t="shared" si="34"/>
        <v>474</v>
      </c>
      <c r="AX36" s="3">
        <f t="shared" si="34"/>
        <v>330</v>
      </c>
      <c r="AY36" s="3"/>
      <c r="AZ36" s="3">
        <f t="shared" si="27"/>
        <v>2002</v>
      </c>
      <c r="BA36" s="18">
        <f>'Total Retail'!B36/B36</f>
        <v>0.92758089368258856</v>
      </c>
      <c r="BB36" s="19">
        <f>'Total Retail'!C36/C36</f>
        <v>0.91697364692547467</v>
      </c>
      <c r="BC36" s="19">
        <f>'Total Retail'!D36/D36</f>
        <v>0.91883797544174906</v>
      </c>
      <c r="BD36" s="19">
        <f>'Total Retail'!E36/E36</f>
        <v>0.95765661252900236</v>
      </c>
      <c r="BE36" s="19">
        <f>'Total Retail'!F36/F36</f>
        <v>0.96631695196024292</v>
      </c>
      <c r="BF36" s="19">
        <f>'Total Retail'!G36/G36</f>
        <v>0.94071253739461513</v>
      </c>
      <c r="BG36" s="19">
        <f>'Total Retail'!H36/H36</f>
        <v>0.9349112426035503</v>
      </c>
      <c r="BH36" s="19">
        <f>'Total Retail'!I36/I36</f>
        <v>0.93052176263855091</v>
      </c>
      <c r="BI36" s="19">
        <f>'Total Retail'!J36/J36</f>
        <v>0.92492012779552712</v>
      </c>
      <c r="BJ36" s="19">
        <f>'Total Retail'!K36/K36</f>
        <v>0.92808988764044942</v>
      </c>
      <c r="BK36" s="19">
        <f>'Total Retail'!L36/L36</f>
        <v>0.9507575757575758</v>
      </c>
      <c r="BL36" s="19">
        <f>'Total Retail'!M36/M36</f>
        <v>0.9335413416536662</v>
      </c>
      <c r="BM36" s="3"/>
      <c r="BN36" s="3">
        <f t="shared" si="28"/>
        <v>2002</v>
      </c>
      <c r="BO36" s="18">
        <f>'Firm Retail'!B35/B36</f>
        <v>0.83692860811504877</v>
      </c>
      <c r="BP36" s="19">
        <f>'Firm Retail'!C35/C36</f>
        <v>0.81524511192972515</v>
      </c>
      <c r="BQ36" s="19">
        <f>'Firm Retail'!D35/D36</f>
        <v>0.80652890086852347</v>
      </c>
      <c r="BR36" s="19">
        <f>'Firm Retail'!E35/E36</f>
        <v>0.85817865429234341</v>
      </c>
      <c r="BS36" s="19">
        <f>'Firm Retail'!F35/F36</f>
        <v>0.8677526228602982</v>
      </c>
      <c r="BT36" s="19">
        <f>'Firm Retail'!G35/G36</f>
        <v>0.87462605384824588</v>
      </c>
      <c r="BU36" s="19">
        <f>'Firm Retail'!H35/H36</f>
        <v>0.85361461281193718</v>
      </c>
      <c r="BV36" s="19">
        <f>'Firm Retail'!I35/I36</f>
        <v>0.86050283860502841</v>
      </c>
      <c r="BW36" s="19">
        <f>'Firm Retail'!J35/J36</f>
        <v>0.85117145899893498</v>
      </c>
      <c r="BX36" s="19">
        <f>'Firm Retail'!K35/K36</f>
        <v>0.85365168539325842</v>
      </c>
      <c r="BY36" s="19">
        <f>'Firm Retail'!L35/L36</f>
        <v>0.86111111111111116</v>
      </c>
      <c r="BZ36" s="19">
        <f>'Firm Retail'!M35/M36</f>
        <v>0.83525741029641187</v>
      </c>
    </row>
    <row r="37" spans="1:78" ht="15.75">
      <c r="A37" s="323">
        <v>2003</v>
      </c>
      <c r="B37" s="174">
        <v>4092</v>
      </c>
      <c r="C37" s="3">
        <v>2849</v>
      </c>
      <c r="D37" s="3">
        <v>3196</v>
      </c>
      <c r="E37" s="3">
        <v>3294</v>
      </c>
      <c r="F37" s="3">
        <v>3686</v>
      </c>
      <c r="G37" s="3">
        <v>3707</v>
      </c>
      <c r="H37" s="168">
        <v>3886</v>
      </c>
      <c r="I37" s="3">
        <v>3730</v>
      </c>
      <c r="J37" s="3">
        <v>3624</v>
      </c>
      <c r="K37" s="3">
        <v>3477</v>
      </c>
      <c r="L37" s="3">
        <v>3317</v>
      </c>
      <c r="M37" s="3">
        <v>3354</v>
      </c>
      <c r="N37"/>
      <c r="O37" s="26" t="s">
        <v>233</v>
      </c>
      <c r="P37" s="12">
        <f t="shared" si="35"/>
        <v>4092</v>
      </c>
      <c r="Q37" s="13">
        <f t="shared" si="36"/>
        <v>3886</v>
      </c>
      <c r="R37" s="12">
        <f t="shared" si="31"/>
        <v>3205</v>
      </c>
      <c r="S37" s="177">
        <f t="shared" si="37"/>
        <v>4092</v>
      </c>
      <c r="T37" s="399">
        <f t="shared" si="33"/>
        <v>42212</v>
      </c>
      <c r="U37" s="400"/>
      <c r="V37" s="398">
        <f t="shared" si="32"/>
        <v>42212</v>
      </c>
      <c r="W37" s="423"/>
      <c r="X37" s="3">
        <f t="shared" si="3"/>
        <v>2003</v>
      </c>
      <c r="Y37" s="18">
        <f t="shared" si="29"/>
        <v>1</v>
      </c>
      <c r="Z37" s="19">
        <f t="shared" si="4"/>
        <v>0.69623655913978499</v>
      </c>
      <c r="AA37" s="19">
        <f t="shared" si="5"/>
        <v>0.7810361681329423</v>
      </c>
      <c r="AB37" s="18">
        <f t="shared" si="6"/>
        <v>0.84765826042202774</v>
      </c>
      <c r="AC37" s="19">
        <f t="shared" si="7"/>
        <v>0.94853319608852293</v>
      </c>
      <c r="AD37" s="19">
        <f t="shared" si="8"/>
        <v>0.95393721049922797</v>
      </c>
      <c r="AE37" s="19">
        <f t="shared" si="9"/>
        <v>1</v>
      </c>
      <c r="AF37" s="19">
        <f t="shared" si="10"/>
        <v>0.95985589294904783</v>
      </c>
      <c r="AG37" s="19">
        <f t="shared" si="11"/>
        <v>0.93257848687596501</v>
      </c>
      <c r="AH37" s="18">
        <f t="shared" si="12"/>
        <v>0.96933370504599947</v>
      </c>
      <c r="AI37" s="19">
        <f t="shared" si="13"/>
        <v>0.92472818511290777</v>
      </c>
      <c r="AJ37" s="19">
        <f t="shared" si="14"/>
        <v>0.9350432115974352</v>
      </c>
      <c r="AK37" s="9"/>
      <c r="AL37" s="3">
        <f t="shared" si="15"/>
        <v>2003</v>
      </c>
      <c r="AM37" s="9">
        <f t="shared" si="30"/>
        <v>198</v>
      </c>
      <c r="AN37" s="3">
        <f t="shared" si="34"/>
        <v>-680</v>
      </c>
      <c r="AO37" s="3">
        <f t="shared" si="34"/>
        <v>-143</v>
      </c>
      <c r="AP37" s="3">
        <f t="shared" si="34"/>
        <v>-154</v>
      </c>
      <c r="AQ37" s="3">
        <f t="shared" si="34"/>
        <v>64</v>
      </c>
      <c r="AR37" s="3">
        <f t="shared" si="34"/>
        <v>30</v>
      </c>
      <c r="AS37" s="3">
        <f t="shared" si="34"/>
        <v>-1</v>
      </c>
      <c r="AT37" s="3">
        <f t="shared" si="34"/>
        <v>31</v>
      </c>
      <c r="AU37" s="3">
        <f t="shared" si="34"/>
        <v>-132</v>
      </c>
      <c r="AV37" s="3">
        <f t="shared" si="34"/>
        <v>-83</v>
      </c>
      <c r="AW37" s="3">
        <f t="shared" si="34"/>
        <v>149</v>
      </c>
      <c r="AX37" s="3">
        <f t="shared" si="34"/>
        <v>149</v>
      </c>
      <c r="AY37" s="3"/>
      <c r="AZ37" s="3">
        <f t="shared" si="27"/>
        <v>2003</v>
      </c>
      <c r="BA37" s="18">
        <f>'Total Retail'!B37/B37</f>
        <v>0.94843597262952106</v>
      </c>
      <c r="BB37" s="19">
        <f>'Total Retail'!C37/C37</f>
        <v>0.92839592839592844</v>
      </c>
      <c r="BC37" s="19">
        <f>'Total Retail'!D37/D37</f>
        <v>0.94055068836045053</v>
      </c>
      <c r="BD37" s="19">
        <f>'Total Retail'!E37/E37</f>
        <v>0.93928354584092288</v>
      </c>
      <c r="BE37" s="19">
        <f>'Total Retail'!F37/F37</f>
        <v>0.94302767227346718</v>
      </c>
      <c r="BF37" s="19">
        <f>'Total Retail'!G37/G37</f>
        <v>0.93660642028594554</v>
      </c>
      <c r="BG37" s="19">
        <f>'Total Retail'!H37/H37</f>
        <v>0.9323211528564076</v>
      </c>
      <c r="BH37" s="19">
        <f>'Total Retail'!I37/I37</f>
        <v>0.93270777479892764</v>
      </c>
      <c r="BI37" s="19">
        <f>'Total Retail'!J37/J37</f>
        <v>0.94619205298013243</v>
      </c>
      <c r="BJ37" s="19">
        <f>'Total Retail'!K37/K37</f>
        <v>0.94736842105263153</v>
      </c>
      <c r="BK37" s="19">
        <f>'Total Retail'!L37/L37</f>
        <v>0.93729273439855287</v>
      </c>
      <c r="BL37" s="19">
        <f>'Total Retail'!M37/M37</f>
        <v>0.92814549791293977</v>
      </c>
      <c r="BM37" s="3"/>
      <c r="BN37" s="3">
        <f t="shared" si="28"/>
        <v>2003</v>
      </c>
      <c r="BO37" s="18">
        <f>'Firm Retail'!B36/B37</f>
        <v>0.84433040078201371</v>
      </c>
      <c r="BP37" s="19">
        <f>'Firm Retail'!C36/C37</f>
        <v>0.80905580905580909</v>
      </c>
      <c r="BQ37" s="19">
        <f>'Firm Retail'!D36/D37</f>
        <v>0.88485607008760947</v>
      </c>
      <c r="BR37" s="19">
        <f>'Firm Retail'!E36/E37</f>
        <v>0.85458409228901033</v>
      </c>
      <c r="BS37" s="19">
        <f>'Firm Retail'!F36/F37</f>
        <v>0.85838307107976131</v>
      </c>
      <c r="BT37" s="19">
        <f>'Firm Retail'!G36/G37</f>
        <v>0.85864580523334233</v>
      </c>
      <c r="BU37" s="19">
        <f>'Firm Retail'!H36/H37</f>
        <v>0.86232629953679873</v>
      </c>
      <c r="BV37" s="19">
        <f>'Firm Retail'!I36/I37</f>
        <v>0.85871313672922256</v>
      </c>
      <c r="BW37" s="19">
        <f>'Firm Retail'!J36/J37</f>
        <v>0.87003311258278149</v>
      </c>
      <c r="BX37" s="19">
        <f>'Firm Retail'!K36/K37</f>
        <v>0.87230371009490937</v>
      </c>
      <c r="BY37" s="19">
        <f>'Firm Retail'!L36/L37</f>
        <v>0.85709978896593308</v>
      </c>
      <c r="BZ37" s="19">
        <f>'Firm Retail'!M36/M37</f>
        <v>0.82766845557543234</v>
      </c>
    </row>
    <row r="38" spans="1:78" ht="15.75">
      <c r="A38" s="323">
        <v>2004</v>
      </c>
      <c r="B38" s="174">
        <v>3587</v>
      </c>
      <c r="C38" s="3">
        <v>3318</v>
      </c>
      <c r="D38" s="3">
        <v>2770</v>
      </c>
      <c r="E38" s="3">
        <v>3353</v>
      </c>
      <c r="F38" s="3">
        <v>3731</v>
      </c>
      <c r="G38" s="168">
        <v>3964</v>
      </c>
      <c r="H38" s="3">
        <v>3868</v>
      </c>
      <c r="I38" s="3">
        <v>3908</v>
      </c>
      <c r="J38" s="3">
        <v>3814</v>
      </c>
      <c r="K38" s="3">
        <v>3615</v>
      </c>
      <c r="L38" s="3">
        <v>3286</v>
      </c>
      <c r="M38" s="3">
        <v>3539</v>
      </c>
      <c r="N38"/>
      <c r="O38" s="26" t="s">
        <v>234</v>
      </c>
      <c r="P38" s="12">
        <f t="shared" si="35"/>
        <v>3587</v>
      </c>
      <c r="Q38" s="13">
        <f t="shared" si="36"/>
        <v>3964</v>
      </c>
      <c r="R38" s="12">
        <f t="shared" si="31"/>
        <v>3354</v>
      </c>
      <c r="S38" s="177">
        <f t="shared" si="37"/>
        <v>3587</v>
      </c>
      <c r="T38" s="399">
        <f t="shared" si="33"/>
        <v>42753</v>
      </c>
      <c r="U38" s="400"/>
      <c r="V38" s="398">
        <f t="shared" si="32"/>
        <v>42753</v>
      </c>
      <c r="W38" s="423"/>
      <c r="X38" s="3">
        <f t="shared" si="3"/>
        <v>2004</v>
      </c>
      <c r="Y38" s="18">
        <f t="shared" si="29"/>
        <v>1</v>
      </c>
      <c r="Z38" s="19">
        <f t="shared" si="4"/>
        <v>0.92500696961248952</v>
      </c>
      <c r="AA38" s="19">
        <f t="shared" si="5"/>
        <v>0.77223306384165036</v>
      </c>
      <c r="AB38" s="18">
        <f t="shared" si="6"/>
        <v>0.84586276488395562</v>
      </c>
      <c r="AC38" s="19">
        <f t="shared" si="7"/>
        <v>0.94122098890010086</v>
      </c>
      <c r="AD38" s="19">
        <f t="shared" si="8"/>
        <v>1</v>
      </c>
      <c r="AE38" s="19">
        <f t="shared" si="9"/>
        <v>0.97578203834510591</v>
      </c>
      <c r="AF38" s="19">
        <f t="shared" si="10"/>
        <v>0.98587285570131178</v>
      </c>
      <c r="AG38" s="19">
        <f t="shared" si="11"/>
        <v>0.96215943491422806</v>
      </c>
      <c r="AH38" s="18">
        <f t="shared" si="12"/>
        <v>0.93290322580645157</v>
      </c>
      <c r="AI38" s="19">
        <f t="shared" si="13"/>
        <v>0.84799999999999998</v>
      </c>
      <c r="AJ38" s="19">
        <f t="shared" si="14"/>
        <v>0.91329032258064513</v>
      </c>
      <c r="AK38" s="9"/>
      <c r="AL38" s="3">
        <f t="shared" si="15"/>
        <v>2004</v>
      </c>
      <c r="AM38" s="9">
        <f t="shared" si="30"/>
        <v>-505</v>
      </c>
      <c r="AN38" s="3">
        <f t="shared" si="34"/>
        <v>469</v>
      </c>
      <c r="AO38" s="3">
        <f t="shared" si="34"/>
        <v>-426</v>
      </c>
      <c r="AP38" s="3">
        <f t="shared" si="34"/>
        <v>59</v>
      </c>
      <c r="AQ38" s="3">
        <f t="shared" si="34"/>
        <v>45</v>
      </c>
      <c r="AR38" s="3">
        <f t="shared" si="34"/>
        <v>257</v>
      </c>
      <c r="AS38" s="3">
        <f t="shared" si="34"/>
        <v>-18</v>
      </c>
      <c r="AT38" s="3">
        <f t="shared" si="34"/>
        <v>178</v>
      </c>
      <c r="AU38" s="3">
        <f t="shared" si="34"/>
        <v>190</v>
      </c>
      <c r="AV38" s="3">
        <f t="shared" si="34"/>
        <v>138</v>
      </c>
      <c r="AW38" s="3">
        <f t="shared" si="34"/>
        <v>-31</v>
      </c>
      <c r="AX38" s="3">
        <f t="shared" si="34"/>
        <v>185</v>
      </c>
      <c r="AY38" s="3"/>
      <c r="AZ38" s="3">
        <f t="shared" si="27"/>
        <v>2004</v>
      </c>
      <c r="BA38" s="18">
        <f>'Total Retail'!B38/B38</f>
        <v>0.9322553666016169</v>
      </c>
      <c r="BB38" s="19">
        <f>'Total Retail'!C38/C38</f>
        <v>0.92013261000602775</v>
      </c>
      <c r="BC38" s="19">
        <f>'Total Retail'!D38/D38</f>
        <v>0.9245487364620939</v>
      </c>
      <c r="BD38" s="19">
        <f>'Total Retail'!E38/E38</f>
        <v>0.94482552937667763</v>
      </c>
      <c r="BE38" s="19">
        <f>'Total Retail'!F38/F38</f>
        <v>0.93915840257303673</v>
      </c>
      <c r="BF38" s="19">
        <f>'Total Retail'!G38/G38</f>
        <v>0.94273461150353177</v>
      </c>
      <c r="BG38" s="19">
        <f>'Total Retail'!H38/H38</f>
        <v>0.93510858324715618</v>
      </c>
      <c r="BH38" s="19">
        <f>'Total Retail'!I38/I38</f>
        <v>0.93858751279426822</v>
      </c>
      <c r="BI38" s="19">
        <f>'Total Retail'!J38/J38</f>
        <v>0.93156790770844256</v>
      </c>
      <c r="BJ38" s="19">
        <f>'Total Retail'!K38/K38</f>
        <v>0.93775933609958506</v>
      </c>
      <c r="BK38" s="19">
        <f>'Total Retail'!L38/L38</f>
        <v>0.92635423006695072</v>
      </c>
      <c r="BL38" s="19">
        <f>'Total Retail'!M38/M38</f>
        <v>0.92879344447584067</v>
      </c>
      <c r="BM38" s="3"/>
      <c r="BN38" s="3">
        <f t="shared" si="28"/>
        <v>2004</v>
      </c>
      <c r="BO38" s="18">
        <f>'Firm Retail'!B37/B38</f>
        <v>0.81851129077223306</v>
      </c>
      <c r="BP38" s="19">
        <f>'Firm Retail'!C37/C38</f>
        <v>0.82067510548523204</v>
      </c>
      <c r="BQ38" s="19">
        <f>'Firm Retail'!D37/D38</f>
        <v>0.82490974729241873</v>
      </c>
      <c r="BR38" s="19">
        <f>'Firm Retail'!E37/E38</f>
        <v>0.84819564569042649</v>
      </c>
      <c r="BS38" s="19">
        <f>'Firm Retail'!F37/F38</f>
        <v>0.87402841061377645</v>
      </c>
      <c r="BT38" s="19">
        <f>'Firm Retail'!G37/G38</f>
        <v>0.86907164480322907</v>
      </c>
      <c r="BU38" s="19">
        <f>'Firm Retail'!H37/H38</f>
        <v>0.8678903826266805</v>
      </c>
      <c r="BV38" s="19">
        <f>'Firm Retail'!I37/I38</f>
        <v>0.86924257932446269</v>
      </c>
      <c r="BW38" s="19">
        <f>'Firm Retail'!J37/J38</f>
        <v>0.87152595700052438</v>
      </c>
      <c r="BX38" s="19">
        <f>'Firm Retail'!K37/K38</f>
        <v>0.86141078838174279</v>
      </c>
      <c r="BY38" s="19">
        <f>'Firm Retail'!L37/L38</f>
        <v>0.85362142422398057</v>
      </c>
      <c r="BZ38" s="19">
        <f>'Firm Retail'!M37/M38</f>
        <v>0.82396157106527268</v>
      </c>
    </row>
    <row r="39" spans="1:78" ht="15.75">
      <c r="A39" s="323">
        <v>2005</v>
      </c>
      <c r="B39" s="174">
        <v>3875</v>
      </c>
      <c r="C39" s="3">
        <v>2996</v>
      </c>
      <c r="D39" s="3">
        <v>3079</v>
      </c>
      <c r="E39" s="3">
        <v>3157</v>
      </c>
      <c r="F39" s="3">
        <v>3674</v>
      </c>
      <c r="G39" s="3">
        <v>3999</v>
      </c>
      <c r="H39" s="3">
        <v>4175</v>
      </c>
      <c r="I39" s="168">
        <v>4204</v>
      </c>
      <c r="J39" s="3">
        <v>3930</v>
      </c>
      <c r="K39" s="3">
        <v>3699</v>
      </c>
      <c r="L39" s="3">
        <v>3066</v>
      </c>
      <c r="M39" s="3">
        <v>3255</v>
      </c>
      <c r="N39"/>
      <c r="O39" s="26" t="s">
        <v>236</v>
      </c>
      <c r="P39" s="12">
        <f t="shared" si="35"/>
        <v>3875</v>
      </c>
      <c r="Q39" s="13">
        <f t="shared" si="36"/>
        <v>4204</v>
      </c>
      <c r="R39" s="12">
        <f t="shared" si="31"/>
        <v>3539</v>
      </c>
      <c r="S39" s="177">
        <f t="shared" si="37"/>
        <v>3875</v>
      </c>
      <c r="T39" s="399">
        <f t="shared" si="33"/>
        <v>43109</v>
      </c>
      <c r="U39" s="400"/>
      <c r="V39" s="398">
        <f t="shared" si="32"/>
        <v>43109</v>
      </c>
      <c r="W39" s="423"/>
      <c r="X39" s="3">
        <f t="shared" si="3"/>
        <v>2005</v>
      </c>
      <c r="Y39" s="18">
        <f t="shared" si="29"/>
        <v>1</v>
      </c>
      <c r="Z39" s="19">
        <f t="shared" si="4"/>
        <v>0.77316129032258063</v>
      </c>
      <c r="AA39" s="19">
        <f t="shared" si="5"/>
        <v>0.79458064516129034</v>
      </c>
      <c r="AB39" s="18">
        <f t="shared" si="6"/>
        <v>0.75095147478591817</v>
      </c>
      <c r="AC39" s="19">
        <f t="shared" si="7"/>
        <v>0.8739295908658421</v>
      </c>
      <c r="AD39" s="19">
        <f t="shared" si="8"/>
        <v>0.95123691722169368</v>
      </c>
      <c r="AE39" s="19">
        <f t="shared" si="9"/>
        <v>0.99310180780209323</v>
      </c>
      <c r="AF39" s="19">
        <f t="shared" si="10"/>
        <v>1</v>
      </c>
      <c r="AG39" s="19">
        <f t="shared" si="11"/>
        <v>0.93482397716460519</v>
      </c>
      <c r="AH39" s="18">
        <f t="shared" si="12"/>
        <v>0.93385508709921738</v>
      </c>
      <c r="AI39" s="19">
        <f t="shared" si="13"/>
        <v>0.77404695783892952</v>
      </c>
      <c r="AJ39" s="178">
        <f t="shared" si="14"/>
        <v>0.82176218126735667</v>
      </c>
      <c r="AK39" s="3"/>
      <c r="AL39" s="3">
        <f t="shared" si="15"/>
        <v>2005</v>
      </c>
      <c r="AM39" s="9">
        <f t="shared" si="30"/>
        <v>288</v>
      </c>
      <c r="AN39" s="3">
        <f t="shared" si="34"/>
        <v>-322</v>
      </c>
      <c r="AO39" s="3">
        <f t="shared" si="34"/>
        <v>309</v>
      </c>
      <c r="AP39" s="3">
        <f t="shared" si="34"/>
        <v>-196</v>
      </c>
      <c r="AQ39" s="3">
        <f t="shared" si="34"/>
        <v>-57</v>
      </c>
      <c r="AR39" s="3">
        <f t="shared" si="34"/>
        <v>35</v>
      </c>
      <c r="AS39" s="3">
        <f t="shared" si="34"/>
        <v>307</v>
      </c>
      <c r="AT39" s="3">
        <f t="shared" si="34"/>
        <v>296</v>
      </c>
      <c r="AU39" s="3">
        <f t="shared" si="34"/>
        <v>116</v>
      </c>
      <c r="AV39" s="3">
        <f t="shared" si="34"/>
        <v>84</v>
      </c>
      <c r="AW39" s="3">
        <f t="shared" si="34"/>
        <v>-220</v>
      </c>
      <c r="AX39" s="3">
        <f t="shared" si="34"/>
        <v>-284</v>
      </c>
      <c r="AY39" s="3"/>
      <c r="AZ39" s="3">
        <f t="shared" si="27"/>
        <v>2005</v>
      </c>
      <c r="BA39" s="18">
        <f>'Total Retail'!B39/B39</f>
        <v>0.95122580645161292</v>
      </c>
      <c r="BB39" s="19">
        <f>'Total Retail'!C39/C39</f>
        <v>0.93991989319092117</v>
      </c>
      <c r="BC39" s="19">
        <f>'Total Retail'!D39/D39</f>
        <v>0.95972718415069824</v>
      </c>
      <c r="BD39" s="19">
        <f>'Total Retail'!E39/E39</f>
        <v>0.93189737092176117</v>
      </c>
      <c r="BE39" s="19">
        <f>'Total Retail'!F39/F39</f>
        <v>0.94855743059335873</v>
      </c>
      <c r="BF39" s="19">
        <f>'Total Retail'!G39/G39</f>
        <v>0.93923480870217557</v>
      </c>
      <c r="BG39" s="19">
        <f>'Total Retail'!H39/H39</f>
        <v>0.94131736526946108</v>
      </c>
      <c r="BH39" s="19">
        <f>'Total Retail'!I39/I39</f>
        <v>0.94386298763082777</v>
      </c>
      <c r="BI39" s="19">
        <f>'Total Retail'!J39/J39</f>
        <v>0.9391857506361323</v>
      </c>
      <c r="BJ39" s="19">
        <f>'Total Retail'!K39/K39</f>
        <v>0.94133549608002165</v>
      </c>
      <c r="BK39" s="19">
        <f>'Total Retail'!L39/L39</f>
        <v>0.9269406392694064</v>
      </c>
      <c r="BL39" s="19">
        <f>'Total Retail'!M39/M39</f>
        <v>0.92995391705069119</v>
      </c>
      <c r="BM39" s="3"/>
      <c r="BN39" s="3">
        <f t="shared" si="28"/>
        <v>2005</v>
      </c>
      <c r="BO39" s="18">
        <f>'Firm Retail'!B38/B39</f>
        <v>0.84825806451612906</v>
      </c>
      <c r="BP39" s="19">
        <f>'Firm Retail'!C38/C39</f>
        <v>0.83277703604806408</v>
      </c>
      <c r="BQ39" s="19">
        <f>'Firm Retail'!D38/D39</f>
        <v>0.86878856771679114</v>
      </c>
      <c r="BR39" s="19">
        <f>'Firm Retail'!E38/E39</f>
        <v>0.86347798542920495</v>
      </c>
      <c r="BS39" s="19">
        <f>'Firm Retail'!F38/F39</f>
        <v>0.87234621665759393</v>
      </c>
      <c r="BT39" s="19">
        <f>'Firm Retail'!G38/G39</f>
        <v>0.86871717929482373</v>
      </c>
      <c r="BU39" s="19">
        <f>'Firm Retail'!H38/H39</f>
        <v>0.87185628742514965</v>
      </c>
      <c r="BV39" s="19">
        <f>'Firm Retail'!I38/I39</f>
        <v>0.88606089438629876</v>
      </c>
      <c r="BW39" s="19">
        <f>'Firm Retail'!J38/J39</f>
        <v>0.87353689567430026</v>
      </c>
      <c r="BX39" s="19">
        <f>'Firm Retail'!K38/K39</f>
        <v>0.87645309543119765</v>
      </c>
      <c r="BY39" s="19">
        <f>'Firm Retail'!L38/L39</f>
        <v>0.84866275277234182</v>
      </c>
      <c r="BZ39" s="19">
        <f>'Firm Retail'!M38/M39</f>
        <v>0.83471582181259596</v>
      </c>
    </row>
    <row r="40" spans="1:78" ht="15.75">
      <c r="A40" s="323">
        <v>2006</v>
      </c>
      <c r="B40" s="167">
        <v>3340</v>
      </c>
      <c r="C40" s="174">
        <v>3961</v>
      </c>
      <c r="D40" s="3">
        <v>3012</v>
      </c>
      <c r="E40" s="3">
        <v>3579</v>
      </c>
      <c r="F40" s="3">
        <v>3860</v>
      </c>
      <c r="G40" s="3">
        <v>4063</v>
      </c>
      <c r="H40" s="3">
        <v>4182</v>
      </c>
      <c r="I40" s="168">
        <v>4233</v>
      </c>
      <c r="J40" s="3">
        <v>3949</v>
      </c>
      <c r="K40" s="3">
        <v>3773</v>
      </c>
      <c r="L40" s="3">
        <v>3137</v>
      </c>
      <c r="M40" s="3">
        <v>2881</v>
      </c>
      <c r="N40"/>
      <c r="O40" s="26" t="s">
        <v>241</v>
      </c>
      <c r="P40" s="12">
        <f t="shared" si="35"/>
        <v>3961</v>
      </c>
      <c r="Q40" s="13">
        <f t="shared" si="36"/>
        <v>4233</v>
      </c>
      <c r="R40" s="12">
        <f t="shared" si="31"/>
        <v>3255</v>
      </c>
      <c r="S40" s="177">
        <f t="shared" si="37"/>
        <v>3961</v>
      </c>
      <c r="T40" s="399">
        <f t="shared" si="33"/>
        <v>43970</v>
      </c>
      <c r="U40" s="400"/>
      <c r="V40" s="398">
        <f t="shared" si="32"/>
        <v>43970</v>
      </c>
      <c r="W40" s="423"/>
      <c r="X40" s="3">
        <f t="shared" si="3"/>
        <v>2006</v>
      </c>
      <c r="Y40" s="18">
        <f t="shared" si="29"/>
        <v>0.84322140873516793</v>
      </c>
      <c r="Z40" s="19">
        <f t="shared" si="4"/>
        <v>1</v>
      </c>
      <c r="AA40" s="19">
        <f t="shared" si="5"/>
        <v>0.76041403685937892</v>
      </c>
      <c r="AB40" s="18">
        <f t="shared" si="6"/>
        <v>0.84549964564138913</v>
      </c>
      <c r="AC40" s="19">
        <f t="shared" si="7"/>
        <v>0.91188282541932431</v>
      </c>
      <c r="AD40" s="19">
        <f t="shared" si="8"/>
        <v>0.95983935742971882</v>
      </c>
      <c r="AE40" s="19">
        <f t="shared" si="9"/>
        <v>0.98795180722891562</v>
      </c>
      <c r="AF40" s="19">
        <f t="shared" si="10"/>
        <v>1</v>
      </c>
      <c r="AG40" s="19">
        <f t="shared" si="11"/>
        <v>0.93290810300023619</v>
      </c>
      <c r="AH40" s="18">
        <f t="shared" ref="AH40:AJ44" si="38">K40/$P41</f>
        <v>1.0325670498084292</v>
      </c>
      <c r="AI40" s="19">
        <f t="shared" si="38"/>
        <v>0.85851122058018614</v>
      </c>
      <c r="AJ40" s="178">
        <f t="shared" si="38"/>
        <v>0.78845101258894368</v>
      </c>
      <c r="AK40" s="3"/>
      <c r="AL40" s="3">
        <f t="shared" ref="AL40:AL54" si="39">X40</f>
        <v>2006</v>
      </c>
      <c r="AM40" s="9">
        <f t="shared" ref="AM40:AM45" si="40">B40-B39</f>
        <v>-535</v>
      </c>
      <c r="AN40" s="3">
        <f t="shared" ref="AN40:AN45" si="41">C40-C39</f>
        <v>965</v>
      </c>
      <c r="AO40" s="3">
        <f t="shared" ref="AO40:AO45" si="42">D40-D39</f>
        <v>-67</v>
      </c>
      <c r="AP40" s="3">
        <f t="shared" ref="AP40:AP45" si="43">E40-E39</f>
        <v>422</v>
      </c>
      <c r="AQ40" s="3">
        <f t="shared" ref="AQ40:AQ45" si="44">F40-F39</f>
        <v>186</v>
      </c>
      <c r="AR40" s="3">
        <f t="shared" ref="AR40:AR45" si="45">G40-G39</f>
        <v>64</v>
      </c>
      <c r="AS40" s="3">
        <f t="shared" ref="AS40:AS45" si="46">H40-H39</f>
        <v>7</v>
      </c>
      <c r="AT40" s="3">
        <f t="shared" ref="AT40:AT45" si="47">I40-I39</f>
        <v>29</v>
      </c>
      <c r="AU40" s="3">
        <f t="shared" ref="AU40:AU45" si="48">J40-J39</f>
        <v>19</v>
      </c>
      <c r="AV40" s="3">
        <f t="shared" ref="AV40:AV45" si="49">K40-K39</f>
        <v>74</v>
      </c>
      <c r="AW40" s="3">
        <f t="shared" ref="AW40:AW45" si="50">L40-L39</f>
        <v>71</v>
      </c>
      <c r="AX40" s="3">
        <f t="shared" ref="AX40:AX45" si="51">M40-M39</f>
        <v>-374</v>
      </c>
      <c r="AY40" s="3"/>
      <c r="AZ40" s="3">
        <f t="shared" ref="AZ40:AZ53" si="52">AL40</f>
        <v>2006</v>
      </c>
      <c r="BA40" s="18">
        <f>'Total Retail'!B40/B40</f>
        <v>0.91047904191616769</v>
      </c>
      <c r="BB40" s="19">
        <f>'Total Retail'!C40/C40</f>
        <v>0.94319616258520578</v>
      </c>
      <c r="BC40" s="19">
        <f>'Total Retail'!D40/D40</f>
        <v>0.92529880478087645</v>
      </c>
      <c r="BD40" s="19">
        <f>'Total Retail'!E40/E40</f>
        <v>0.95920648225761385</v>
      </c>
      <c r="BE40" s="19">
        <f>'Total Retail'!F40/F40</f>
        <v>0.9398963730569948</v>
      </c>
      <c r="BF40" s="19">
        <f>'Total Retail'!G40/G40</f>
        <v>0.94117647058823528</v>
      </c>
      <c r="BG40" s="19">
        <f>'Total Retail'!H40/H40</f>
        <v>0.93711142993782881</v>
      </c>
      <c r="BH40" s="19">
        <f>'Total Retail'!I40/I40</f>
        <v>0.94731868651074891</v>
      </c>
      <c r="BI40" s="19">
        <f>'Total Retail'!J40/J40</f>
        <v>0.94049126361104074</v>
      </c>
      <c r="BJ40" s="19">
        <f>'Total Retail'!K40/K40</f>
        <v>0.93824542804134636</v>
      </c>
      <c r="BK40" s="19">
        <f>'Total Retail'!L40/L40</f>
        <v>0.94931463181383491</v>
      </c>
      <c r="BL40" s="19">
        <f>'Total Retail'!M40/M40</f>
        <v>0.92988545643873655</v>
      </c>
      <c r="BM40" s="3"/>
      <c r="BN40" s="3">
        <f t="shared" ref="BN40:BN53" si="53">AZ40</f>
        <v>2006</v>
      </c>
      <c r="BO40" s="18">
        <f>'Firm Retail'!B39/B40</f>
        <v>0.82275449101796405</v>
      </c>
      <c r="BP40" s="19">
        <f>'Firm Retail'!C39/C40</f>
        <v>0.88942186316586724</v>
      </c>
      <c r="BQ40" s="19">
        <f>'Firm Retail'!D39/D40</f>
        <v>0.84495351925630813</v>
      </c>
      <c r="BR40" s="19">
        <f>'Firm Retail'!E39/E40</f>
        <v>0.89829561329980445</v>
      </c>
      <c r="BS40" s="19">
        <f>'Firm Retail'!F39/F40</f>
        <v>0.87797927461139902</v>
      </c>
      <c r="BT40" s="19">
        <f>'Firm Retail'!G39/G40</f>
        <v>0.88210681762244647</v>
      </c>
      <c r="BU40" s="19">
        <f>'Firm Retail'!H39/H40</f>
        <v>0.88307030129124819</v>
      </c>
      <c r="BV40" s="19">
        <f>'Firm Retail'!I39/I40</f>
        <v>0.89038506969052678</v>
      </c>
      <c r="BW40" s="19">
        <f>'Firm Retail'!J39/J40</f>
        <v>0.87819701190174726</v>
      </c>
      <c r="BX40" s="19">
        <f>'Firm Retail'!K39/K40</f>
        <v>0.87781606148953084</v>
      </c>
      <c r="BY40" s="19">
        <f>'Firm Retail'!L39/L40</f>
        <v>0.87248963978323235</v>
      </c>
      <c r="BZ40" s="19">
        <f>'Firm Retail'!M39/M40</f>
        <v>0.85109337035751476</v>
      </c>
    </row>
    <row r="41" spans="1:78" ht="15.75">
      <c r="A41" s="323">
        <v>2007</v>
      </c>
      <c r="B41">
        <v>3505</v>
      </c>
      <c r="C41" s="226">
        <v>3654</v>
      </c>
      <c r="D41">
        <v>3161</v>
      </c>
      <c r="E41">
        <v>3487</v>
      </c>
      <c r="F41">
        <v>3676</v>
      </c>
      <c r="G41">
        <v>3980</v>
      </c>
      <c r="H41">
        <v>4213</v>
      </c>
      <c r="I41" s="168">
        <v>4352</v>
      </c>
      <c r="J41">
        <v>4076</v>
      </c>
      <c r="K41">
        <v>3980</v>
      </c>
      <c r="L41">
        <v>3114</v>
      </c>
      <c r="M41">
        <v>3053</v>
      </c>
      <c r="N41"/>
      <c r="O41" s="183" t="s">
        <v>244</v>
      </c>
      <c r="P41" s="12">
        <f>MAX(R41:S41)</f>
        <v>3654</v>
      </c>
      <c r="Q41" s="13">
        <f>MAX(E41:J41)</f>
        <v>4352</v>
      </c>
      <c r="R41" s="12">
        <f t="shared" si="31"/>
        <v>3137</v>
      </c>
      <c r="S41" s="177">
        <f>MAX(B41:D41)</f>
        <v>3654</v>
      </c>
      <c r="T41" s="399">
        <f t="shared" si="33"/>
        <v>44251</v>
      </c>
      <c r="U41" s="400"/>
      <c r="V41" s="398">
        <f t="shared" si="32"/>
        <v>44251</v>
      </c>
      <c r="W41" s="423"/>
      <c r="X41" s="3">
        <f t="shared" ref="X41:X54" si="54">A41</f>
        <v>2007</v>
      </c>
      <c r="Y41" s="18">
        <f t="shared" ref="Y41:AA44" si="55">B41/$P41</f>
        <v>0.95922276956759711</v>
      </c>
      <c r="Z41" s="19">
        <f t="shared" si="55"/>
        <v>1</v>
      </c>
      <c r="AA41" s="19">
        <f t="shared" si="55"/>
        <v>0.86507936507936511</v>
      </c>
      <c r="AB41" s="18">
        <f t="shared" ref="AB41:AG44" si="56">E41/$Q41</f>
        <v>0.80124080882352944</v>
      </c>
      <c r="AC41" s="19">
        <f t="shared" si="56"/>
        <v>0.84466911764705888</v>
      </c>
      <c r="AD41" s="19">
        <f t="shared" si="56"/>
        <v>0.91452205882352944</v>
      </c>
      <c r="AE41" s="19">
        <f t="shared" si="56"/>
        <v>0.96806066176470584</v>
      </c>
      <c r="AF41" s="19">
        <f t="shared" si="56"/>
        <v>1</v>
      </c>
      <c r="AG41" s="19">
        <f t="shared" si="56"/>
        <v>0.93658088235294112</v>
      </c>
      <c r="AH41" s="18">
        <f t="shared" si="38"/>
        <v>1.0060667340748231</v>
      </c>
      <c r="AI41" s="19">
        <f t="shared" si="38"/>
        <v>0.78715874620829118</v>
      </c>
      <c r="AJ41" s="178">
        <f t="shared" si="38"/>
        <v>0.77173913043478259</v>
      </c>
      <c r="AL41" s="3">
        <f t="shared" si="39"/>
        <v>2007</v>
      </c>
      <c r="AM41" s="9">
        <f t="shared" si="40"/>
        <v>165</v>
      </c>
      <c r="AN41" s="3">
        <f t="shared" si="41"/>
        <v>-307</v>
      </c>
      <c r="AO41" s="3">
        <f t="shared" si="42"/>
        <v>149</v>
      </c>
      <c r="AP41" s="3">
        <f t="shared" si="43"/>
        <v>-92</v>
      </c>
      <c r="AQ41" s="3">
        <f t="shared" si="44"/>
        <v>-184</v>
      </c>
      <c r="AR41" s="3">
        <f t="shared" si="45"/>
        <v>-83</v>
      </c>
      <c r="AS41" s="3">
        <f t="shared" si="46"/>
        <v>31</v>
      </c>
      <c r="AT41" s="3">
        <f t="shared" si="47"/>
        <v>119</v>
      </c>
      <c r="AU41" s="3">
        <f t="shared" si="48"/>
        <v>127</v>
      </c>
      <c r="AV41" s="3">
        <f t="shared" si="49"/>
        <v>207</v>
      </c>
      <c r="AW41" s="3">
        <f t="shared" si="50"/>
        <v>-23</v>
      </c>
      <c r="AX41" s="3">
        <f t="shared" si="51"/>
        <v>172</v>
      </c>
      <c r="AZ41" s="3">
        <f t="shared" si="52"/>
        <v>2007</v>
      </c>
      <c r="BA41" s="18">
        <f>'Total Retail'!B41/B41</f>
        <v>0.93086043835060439</v>
      </c>
      <c r="BB41" s="19">
        <f>'Total Retail'!C41/C41</f>
        <v>0.92983903886825581</v>
      </c>
      <c r="BC41" s="19">
        <f>'Total Retail'!D41/D41</f>
        <v>0.94127890977374085</v>
      </c>
      <c r="BD41" s="19">
        <f>'Total Retail'!E41/E41</f>
        <v>0.93174555943423643</v>
      </c>
      <c r="BE41" s="19">
        <f>'Total Retail'!F41/F41</f>
        <v>0.94835182488371039</v>
      </c>
      <c r="BF41" s="19">
        <f>'Total Retail'!G41/G41</f>
        <v>0.95669988763978697</v>
      </c>
      <c r="BG41" s="19">
        <f>'Total Retail'!H41/H41</f>
        <v>0.94590824092178905</v>
      </c>
      <c r="BH41" s="19">
        <f>'Total Retail'!I41/I41</f>
        <v>0.94728099796245768</v>
      </c>
      <c r="BI41" s="19">
        <f>'Total Retail'!J41/J41</f>
        <v>0.94191241557573768</v>
      </c>
      <c r="BJ41" s="19">
        <f>'Total Retail'!K41/K41</f>
        <v>0.94800611000358681</v>
      </c>
      <c r="BK41" s="19">
        <f>'Total Retail'!L41/L41</f>
        <v>0.9493120257550266</v>
      </c>
      <c r="BL41" s="19">
        <f>'Total Retail'!M41/M41</f>
        <v>0.94036689511299765</v>
      </c>
      <c r="BM41" s="3"/>
      <c r="BN41" s="3">
        <f t="shared" si="53"/>
        <v>2007</v>
      </c>
      <c r="BO41" s="18">
        <f>'Firm Retail'!B40/B41</f>
        <v>0.85031835561165992</v>
      </c>
      <c r="BP41" s="19">
        <f>'Firm Retail'!C40/C41</f>
        <v>0.85572847510251959</v>
      </c>
      <c r="BQ41" s="19">
        <f>'Firm Retail'!D40/D41</f>
        <v>0.86851712552824889</v>
      </c>
      <c r="BR41" s="19">
        <f>'Firm Retail'!E40/E41</f>
        <v>0.87611127043303705</v>
      </c>
      <c r="BS41" s="19">
        <f>'Firm Retail'!F40/F41</f>
        <v>0.88825933304475502</v>
      </c>
      <c r="BT41" s="19">
        <f>'Firm Retail'!G40/G41</f>
        <v>0.90804020100502514</v>
      </c>
      <c r="BU41" s="19">
        <f>'Firm Retail'!H40/H41</f>
        <v>0.89542165179290234</v>
      </c>
      <c r="BV41" s="19">
        <f>'Firm Retail'!I40/I41</f>
        <v>0.89073228472716359</v>
      </c>
      <c r="BW41" s="19">
        <f>'Firm Retail'!J40/J41</f>
        <v>0.90407262021589796</v>
      </c>
      <c r="BX41" s="19">
        <f>'Firm Retail'!K40/K41</f>
        <v>0.88697595924981798</v>
      </c>
      <c r="BY41" s="19">
        <f>'Firm Retail'!L40/L41</f>
        <v>0.88197098529259887</v>
      </c>
      <c r="BZ41" s="19">
        <f>'Firm Retail'!M40/M41</f>
        <v>0.86588278112675454</v>
      </c>
    </row>
    <row r="42" spans="1:78" ht="15.75">
      <c r="A42" s="323">
        <v>2008</v>
      </c>
      <c r="B42" s="226">
        <v>3956</v>
      </c>
      <c r="C42">
        <v>3203</v>
      </c>
      <c r="D42">
        <v>3012</v>
      </c>
      <c r="E42">
        <v>3354</v>
      </c>
      <c r="F42">
        <v>3903</v>
      </c>
      <c r="G42">
        <v>4104</v>
      </c>
      <c r="H42">
        <v>4111</v>
      </c>
      <c r="I42" s="168">
        <v>4126</v>
      </c>
      <c r="J42">
        <v>3978</v>
      </c>
      <c r="K42">
        <v>3629</v>
      </c>
      <c r="L42">
        <v>3199</v>
      </c>
      <c r="M42">
        <v>3385</v>
      </c>
      <c r="N42"/>
      <c r="O42" s="183" t="s">
        <v>245</v>
      </c>
      <c r="P42" s="12">
        <f>MAX(R42:S42)</f>
        <v>3956</v>
      </c>
      <c r="Q42" s="13">
        <f>MAX(E42:J42)</f>
        <v>4126</v>
      </c>
      <c r="R42" s="12">
        <f t="shared" ref="R42:R55" si="57">MAX(L41:M41)</f>
        <v>3114</v>
      </c>
      <c r="S42" s="177">
        <f t="shared" ref="S42:S55" si="58">MAX(B42:D42)</f>
        <v>3956</v>
      </c>
      <c r="T42" s="399">
        <f t="shared" si="33"/>
        <v>43960</v>
      </c>
      <c r="U42" s="400"/>
      <c r="V42" s="398">
        <f t="shared" si="32"/>
        <v>43960</v>
      </c>
      <c r="W42" s="423"/>
      <c r="X42" s="3">
        <f t="shared" si="54"/>
        <v>2008</v>
      </c>
      <c r="Y42" s="18">
        <f t="shared" si="55"/>
        <v>1</v>
      </c>
      <c r="Z42" s="19">
        <f t="shared" si="55"/>
        <v>0.80965621840242674</v>
      </c>
      <c r="AA42" s="19">
        <f t="shared" si="55"/>
        <v>0.76137512639029326</v>
      </c>
      <c r="AB42" s="18">
        <f t="shared" si="56"/>
        <v>0.81289384391662622</v>
      </c>
      <c r="AC42" s="19">
        <f t="shared" si="56"/>
        <v>0.94595249636451773</v>
      </c>
      <c r="AD42" s="19">
        <f t="shared" si="56"/>
        <v>0.99466795928259821</v>
      </c>
      <c r="AE42" s="19">
        <f t="shared" si="56"/>
        <v>0.99636451769268053</v>
      </c>
      <c r="AF42" s="19">
        <f t="shared" si="56"/>
        <v>1</v>
      </c>
      <c r="AG42" s="19">
        <f t="shared" si="56"/>
        <v>0.96412990790111486</v>
      </c>
      <c r="AH42" s="18">
        <f t="shared" si="38"/>
        <v>0.84948501872659177</v>
      </c>
      <c r="AI42" s="19">
        <f t="shared" si="38"/>
        <v>0.74882958801498123</v>
      </c>
      <c r="AJ42" s="178">
        <f t="shared" si="38"/>
        <v>0.79236891385767794</v>
      </c>
      <c r="AL42" s="3">
        <f t="shared" si="39"/>
        <v>2008</v>
      </c>
      <c r="AM42" s="9">
        <f t="shared" si="40"/>
        <v>451</v>
      </c>
      <c r="AN42" s="3">
        <f t="shared" si="41"/>
        <v>-451</v>
      </c>
      <c r="AO42" s="3">
        <f t="shared" si="42"/>
        <v>-149</v>
      </c>
      <c r="AP42" s="3">
        <f t="shared" si="43"/>
        <v>-133</v>
      </c>
      <c r="AQ42" s="3">
        <f t="shared" si="44"/>
        <v>227</v>
      </c>
      <c r="AR42" s="3">
        <f t="shared" si="45"/>
        <v>124</v>
      </c>
      <c r="AS42" s="3">
        <f t="shared" si="46"/>
        <v>-102</v>
      </c>
      <c r="AT42" s="3">
        <f t="shared" si="47"/>
        <v>-226</v>
      </c>
      <c r="AU42" s="3">
        <f t="shared" si="48"/>
        <v>-98</v>
      </c>
      <c r="AV42" s="3">
        <f t="shared" si="49"/>
        <v>-351</v>
      </c>
      <c r="AW42" s="3">
        <f t="shared" si="50"/>
        <v>85</v>
      </c>
      <c r="AX42" s="3">
        <f t="shared" si="51"/>
        <v>332</v>
      </c>
      <c r="AZ42" s="3">
        <f t="shared" si="52"/>
        <v>2008</v>
      </c>
      <c r="BA42" s="18">
        <f>'Total Retail'!B42/B42</f>
        <v>0.93764434698587162</v>
      </c>
      <c r="BB42" s="19">
        <f>'Total Retail'!C42/C42</f>
        <v>0.92779806883755167</v>
      </c>
      <c r="BC42" s="19">
        <f>'Total Retail'!D42/D42</f>
        <v>0.93915017519862187</v>
      </c>
      <c r="BD42" s="19">
        <f>'Total Retail'!E42/E42</f>
        <v>0.94043726141051476</v>
      </c>
      <c r="BE42" s="19">
        <f>'Total Retail'!F42/F42</f>
        <v>0.93488951652883046</v>
      </c>
      <c r="BF42" s="19">
        <f>'Total Retail'!G42/G42</f>
        <v>0.96303543213384901</v>
      </c>
      <c r="BG42" s="19">
        <f>'Total Retail'!H42/H42</f>
        <v>0.9474898691330278</v>
      </c>
      <c r="BH42" s="19">
        <f>'Total Retail'!I42/I42</f>
        <v>0.94646091247386244</v>
      </c>
      <c r="BI42" s="19">
        <f>'Total Retail'!J42/J42</f>
        <v>0.95383993620130303</v>
      </c>
      <c r="BJ42" s="19">
        <f>'Total Retail'!K42/K42</f>
        <v>0.94272473471072804</v>
      </c>
      <c r="BK42" s="19">
        <f>'Total Retail'!L42/L42</f>
        <v>0.93011497037679836</v>
      </c>
      <c r="BL42" s="19">
        <f>'Total Retail'!M42/M42</f>
        <v>0.93592508193221091</v>
      </c>
      <c r="BM42" s="3"/>
      <c r="BN42" s="3">
        <f t="shared" si="53"/>
        <v>2008</v>
      </c>
      <c r="BO42" s="18">
        <f>'Firm Retail'!B41/B42</f>
        <v>0.87022776457940054</v>
      </c>
      <c r="BP42" s="19">
        <f>'Firm Retail'!C41/C42</f>
        <v>0.84806032297429845</v>
      </c>
      <c r="BQ42" s="19">
        <f>'Firm Retail'!D41/D42</f>
        <v>0.87567075952797124</v>
      </c>
      <c r="BR42" s="19">
        <f>'Firm Retail'!E41/E42</f>
        <v>0.88152253272834424</v>
      </c>
      <c r="BS42" s="19">
        <f>'Firm Retail'!F41/F42</f>
        <v>0.88009223674096848</v>
      </c>
      <c r="BT42" s="19">
        <f>'Firm Retail'!G41/G42</f>
        <v>0.9071223926306885</v>
      </c>
      <c r="BU42" s="19">
        <f>'Firm Retail'!H41/H42</f>
        <v>0.89655335733541164</v>
      </c>
      <c r="BV42" s="19">
        <f>'Firm Retail'!I41/I42</f>
        <v>0.90128398566823953</v>
      </c>
      <c r="BW42" s="19">
        <f>'Firm Retail'!J41/J42</f>
        <v>0.90401590402432974</v>
      </c>
      <c r="BX42" s="19">
        <f>'Firm Retail'!K41/K42</f>
        <v>0.88867456599614214</v>
      </c>
      <c r="BY42" s="19">
        <f>'Firm Retail'!L41/L42</f>
        <v>0.86525095037054645</v>
      </c>
      <c r="BZ42" s="19">
        <f>'Firm Retail'!M41/M42</f>
        <v>0.85598416612718875</v>
      </c>
    </row>
    <row r="43" spans="1:78" ht="16.5" thickBot="1">
      <c r="A43" s="323">
        <v>2009</v>
      </c>
      <c r="B43">
        <v>4272</v>
      </c>
      <c r="C43">
        <v>4224</v>
      </c>
      <c r="D43">
        <v>3256</v>
      </c>
      <c r="E43">
        <v>3290</v>
      </c>
      <c r="F43">
        <v>3760</v>
      </c>
      <c r="G43" s="168">
        <v>4187</v>
      </c>
      <c r="H43">
        <v>4042</v>
      </c>
      <c r="I43">
        <v>4030</v>
      </c>
      <c r="J43">
        <v>3964</v>
      </c>
      <c r="K43">
        <v>3997</v>
      </c>
      <c r="L43">
        <v>3131</v>
      </c>
      <c r="M43">
        <v>3003</v>
      </c>
      <c r="N43"/>
      <c r="O43" s="183" t="s">
        <v>253</v>
      </c>
      <c r="P43" s="12">
        <f>MAX(R43:S43)</f>
        <v>4272</v>
      </c>
      <c r="Q43" s="13">
        <f>MAX(E43:J43)</f>
        <v>4187</v>
      </c>
      <c r="R43" s="12">
        <f t="shared" si="57"/>
        <v>3385</v>
      </c>
      <c r="S43" s="177">
        <f t="shared" si="58"/>
        <v>4272</v>
      </c>
      <c r="T43" s="399">
        <f t="shared" si="33"/>
        <v>45156</v>
      </c>
      <c r="U43" s="400"/>
      <c r="V43" s="398">
        <f t="shared" si="32"/>
        <v>45156</v>
      </c>
      <c r="W43" s="423"/>
      <c r="X43" s="3">
        <f t="shared" si="54"/>
        <v>2009</v>
      </c>
      <c r="Y43" s="18">
        <f t="shared" si="55"/>
        <v>1</v>
      </c>
      <c r="Z43" s="19">
        <f t="shared" si="55"/>
        <v>0.9887640449438202</v>
      </c>
      <c r="AA43" s="19">
        <f t="shared" si="55"/>
        <v>0.76217228464419473</v>
      </c>
      <c r="AB43" s="18">
        <f t="shared" si="56"/>
        <v>0.78576546453307861</v>
      </c>
      <c r="AC43" s="19">
        <f t="shared" si="56"/>
        <v>0.89801767375208985</v>
      </c>
      <c r="AD43" s="19">
        <f t="shared" si="56"/>
        <v>1</v>
      </c>
      <c r="AE43" s="19">
        <f t="shared" si="56"/>
        <v>0.96536899928349651</v>
      </c>
      <c r="AF43" s="19">
        <f t="shared" si="56"/>
        <v>0.96250298543109625</v>
      </c>
      <c r="AG43" s="19">
        <f t="shared" si="56"/>
        <v>0.94673990924289464</v>
      </c>
      <c r="AH43" s="18">
        <f t="shared" si="38"/>
        <v>0.83970588235294119</v>
      </c>
      <c r="AI43" s="19">
        <f t="shared" si="38"/>
        <v>0.65777310924369747</v>
      </c>
      <c r="AJ43" s="178">
        <f t="shared" si="38"/>
        <v>0.63088235294117645</v>
      </c>
      <c r="AL43" s="3">
        <f t="shared" si="39"/>
        <v>2009</v>
      </c>
      <c r="AM43" s="9">
        <f t="shared" si="40"/>
        <v>316</v>
      </c>
      <c r="AN43" s="3">
        <f t="shared" si="41"/>
        <v>1021</v>
      </c>
      <c r="AO43" s="3">
        <f t="shared" si="42"/>
        <v>244</v>
      </c>
      <c r="AP43" s="3">
        <f t="shared" si="43"/>
        <v>-64</v>
      </c>
      <c r="AQ43" s="3">
        <f t="shared" si="44"/>
        <v>-143</v>
      </c>
      <c r="AR43" s="3">
        <f t="shared" si="45"/>
        <v>83</v>
      </c>
      <c r="AS43" s="3">
        <f t="shared" si="46"/>
        <v>-69</v>
      </c>
      <c r="AT43" s="3">
        <f t="shared" si="47"/>
        <v>-96</v>
      </c>
      <c r="AU43" s="3">
        <f t="shared" si="48"/>
        <v>-14</v>
      </c>
      <c r="AV43" s="3">
        <f t="shared" si="49"/>
        <v>368</v>
      </c>
      <c r="AW43" s="3">
        <f t="shared" si="50"/>
        <v>-68</v>
      </c>
      <c r="AX43" s="3">
        <f t="shared" si="51"/>
        <v>-382</v>
      </c>
      <c r="AZ43" s="3">
        <f t="shared" si="52"/>
        <v>2009</v>
      </c>
      <c r="BA43" s="18">
        <f>'Total Retail'!B43/B43</f>
        <v>0.95498355391921019</v>
      </c>
      <c r="BB43" s="19">
        <f>'Total Retail'!C43/C43</f>
        <v>0.94069279734024724</v>
      </c>
      <c r="BC43" s="19">
        <f>'Total Retail'!D43/D43</f>
        <v>0.93931111907935805</v>
      </c>
      <c r="BD43" s="19">
        <f>'Total Retail'!E43/E43</f>
        <v>0.95224626004124224</v>
      </c>
      <c r="BE43" s="19">
        <f>'Total Retail'!F43/F43</f>
        <v>0.94274670955334949</v>
      </c>
      <c r="BF43" s="19">
        <f>'Total Retail'!G43/G43</f>
        <v>0.95892046811559595</v>
      </c>
      <c r="BG43" s="19">
        <f>'Total Retail'!H43/H43</f>
        <v>0.93913904007916871</v>
      </c>
      <c r="BH43" s="19">
        <f>'Total Retail'!I43/I43</f>
        <v>0.94540942928039706</v>
      </c>
      <c r="BI43" s="19">
        <f>'Total Retail'!J43/J43</f>
        <v>0.93544790928865729</v>
      </c>
      <c r="BJ43" s="19">
        <f>'Total Retail'!K43/K43</f>
        <v>0.93591488545503609</v>
      </c>
      <c r="BK43" s="19">
        <f>'Total Retail'!L43/L43</f>
        <v>0.93266726443726955</v>
      </c>
      <c r="BL43" s="19">
        <f>'Total Retail'!M43/M43</f>
        <v>0.93059521295855563</v>
      </c>
      <c r="BM43" s="3"/>
      <c r="BN43" s="3">
        <f t="shared" si="53"/>
        <v>2009</v>
      </c>
      <c r="BO43" s="18">
        <f>'Firm Retail'!B42/B43</f>
        <v>0.87871950897538986</v>
      </c>
      <c r="BP43" s="19">
        <f>'Firm Retail'!C42/C43</f>
        <v>0.86242676372101468</v>
      </c>
      <c r="BQ43" s="19">
        <f>'Firm Retail'!D42/D43</f>
        <v>0.86535534512358403</v>
      </c>
      <c r="BR43" s="19">
        <f>'Firm Retail'!E42/E43</f>
        <v>0.88802133602908406</v>
      </c>
      <c r="BS43" s="19">
        <f>'Firm Retail'!F42/F43</f>
        <v>0.88478336859251183</v>
      </c>
      <c r="BT43" s="19">
        <f>'Firm Retail'!G42/G43</f>
        <v>0.90735236467602687</v>
      </c>
      <c r="BU43" s="19">
        <f>'Firm Retail'!H42/H43</f>
        <v>0.88644235526966852</v>
      </c>
      <c r="BV43" s="19">
        <f>'Firm Retail'!I42/I43</f>
        <v>0.89175122993576339</v>
      </c>
      <c r="BW43" s="19">
        <f>'Firm Retail'!J42/J43</f>
        <v>0.88121615012533594</v>
      </c>
      <c r="BX43" s="19">
        <f>'Firm Retail'!K42/K43</f>
        <v>0.87594448047297813</v>
      </c>
      <c r="BY43" s="19">
        <f>'Firm Retail'!L42/L43</f>
        <v>0.85052698818268924</v>
      </c>
      <c r="BZ43" s="19">
        <f>'Firm Retail'!M42/M43</f>
        <v>0.86313686313686311</v>
      </c>
    </row>
    <row r="44" spans="1:78" ht="16.5" thickBot="1">
      <c r="A44" s="323">
        <f>+A43+1</f>
        <v>2010</v>
      </c>
      <c r="B44" s="420">
        <v>4760</v>
      </c>
      <c r="C44">
        <v>3657</v>
      </c>
      <c r="D44">
        <v>3555</v>
      </c>
      <c r="E44">
        <v>3144</v>
      </c>
      <c r="F44">
        <v>3872</v>
      </c>
      <c r="G44">
        <v>4116</v>
      </c>
      <c r="H44" s="168">
        <v>4178</v>
      </c>
      <c r="I44">
        <v>4157</v>
      </c>
      <c r="J44">
        <v>3934</v>
      </c>
      <c r="K44">
        <v>3591</v>
      </c>
      <c r="L44">
        <v>3200</v>
      </c>
      <c r="M44" s="226">
        <v>4319</v>
      </c>
      <c r="N44"/>
      <c r="O44" s="183" t="s">
        <v>254</v>
      </c>
      <c r="P44" s="263">
        <f>MAX(R44:S44)</f>
        <v>4760</v>
      </c>
      <c r="Q44" s="13">
        <f>MAX(E44:J44)</f>
        <v>4178</v>
      </c>
      <c r="R44" s="12">
        <f t="shared" si="57"/>
        <v>3131</v>
      </c>
      <c r="S44" s="177">
        <f t="shared" si="58"/>
        <v>4760</v>
      </c>
      <c r="T44" s="399">
        <f t="shared" si="33"/>
        <v>46483</v>
      </c>
      <c r="U44" s="400">
        <f>SUM('[1]System, Demand &amp; Generation Rep'!$C$3:$N$3)</f>
        <v>46483</v>
      </c>
      <c r="V44" s="398">
        <f t="shared" si="32"/>
        <v>0</v>
      </c>
      <c r="W44" s="423"/>
      <c r="X44" s="3">
        <f t="shared" si="54"/>
        <v>2010</v>
      </c>
      <c r="Y44" s="18">
        <f t="shared" si="55"/>
        <v>1</v>
      </c>
      <c r="Z44" s="19">
        <f t="shared" si="55"/>
        <v>0.76827731092436979</v>
      </c>
      <c r="AA44" s="19">
        <f t="shared" si="55"/>
        <v>0.74684873949579833</v>
      </c>
      <c r="AB44" s="18">
        <f t="shared" si="56"/>
        <v>0.75251316419339398</v>
      </c>
      <c r="AC44" s="19">
        <f t="shared" si="56"/>
        <v>0.92675921493537583</v>
      </c>
      <c r="AD44" s="19">
        <f t="shared" si="56"/>
        <v>0.98516036381043559</v>
      </c>
      <c r="AE44" s="19">
        <f t="shared" si="56"/>
        <v>1</v>
      </c>
      <c r="AF44" s="19">
        <f t="shared" si="56"/>
        <v>0.99497367161321204</v>
      </c>
      <c r="AG44" s="19">
        <f t="shared" si="56"/>
        <v>0.94159885112494013</v>
      </c>
      <c r="AH44" s="18">
        <f t="shared" si="38"/>
        <v>0.83144246353322526</v>
      </c>
      <c r="AI44" s="19">
        <f t="shared" si="38"/>
        <v>0.7409122482056032</v>
      </c>
      <c r="AJ44" s="178">
        <f t="shared" si="38"/>
        <v>1</v>
      </c>
      <c r="AL44" s="3">
        <f t="shared" si="39"/>
        <v>2010</v>
      </c>
      <c r="AM44" s="9">
        <f t="shared" si="40"/>
        <v>488</v>
      </c>
      <c r="AN44" s="3">
        <f t="shared" si="41"/>
        <v>-567</v>
      </c>
      <c r="AO44" s="3">
        <f t="shared" si="42"/>
        <v>299</v>
      </c>
      <c r="AP44" s="3">
        <f t="shared" si="43"/>
        <v>-146</v>
      </c>
      <c r="AQ44" s="3">
        <f t="shared" si="44"/>
        <v>112</v>
      </c>
      <c r="AR44" s="3">
        <f t="shared" si="45"/>
        <v>-71</v>
      </c>
      <c r="AS44" s="3">
        <f t="shared" si="46"/>
        <v>136</v>
      </c>
      <c r="AT44" s="3">
        <f t="shared" si="47"/>
        <v>127</v>
      </c>
      <c r="AU44" s="3">
        <f t="shared" si="48"/>
        <v>-30</v>
      </c>
      <c r="AV44" s="3">
        <f t="shared" si="49"/>
        <v>-406</v>
      </c>
      <c r="AW44" s="3">
        <f t="shared" si="50"/>
        <v>69</v>
      </c>
      <c r="AX44" s="3">
        <f t="shared" si="51"/>
        <v>1316</v>
      </c>
      <c r="AZ44" s="3">
        <f t="shared" si="52"/>
        <v>2010</v>
      </c>
      <c r="BA44" s="18">
        <f>'Total Retail'!B44/B44</f>
        <v>0.94792927414649764</v>
      </c>
      <c r="BB44" s="19">
        <f>'Total Retail'!C44/C44</f>
        <v>0.94256406311037944</v>
      </c>
      <c r="BC44" s="19">
        <f>'Total Retail'!D44/D44</f>
        <v>0.92967651195499301</v>
      </c>
      <c r="BD44" s="19">
        <f>'Total Retail'!E44/E44</f>
        <v>0.92533329656477636</v>
      </c>
      <c r="BE44" s="19">
        <f>'Total Retail'!F44/F44</f>
        <v>0.94252593524706807</v>
      </c>
      <c r="BF44" s="19">
        <f>'Total Retail'!G44/G44</f>
        <v>0.95172675445950394</v>
      </c>
      <c r="BG44" s="19">
        <f>'Total Retail'!H44/H44</f>
        <v>0.93642369366685829</v>
      </c>
      <c r="BH44" s="19">
        <f>'Total Retail'!I44/I44</f>
        <v>0.94010031829598384</v>
      </c>
      <c r="BI44" s="19">
        <f>'Total Retail'!J44/J44</f>
        <v>0.94104566174732007</v>
      </c>
      <c r="BJ44" s="19">
        <f>'Total Retail'!K44/K44</f>
        <v>0.93728508536896615</v>
      </c>
      <c r="BK44" s="19">
        <f>'Total Retail'!L44/L44</f>
        <v>0.92362128537628352</v>
      </c>
      <c r="BL44" s="19">
        <f>'Total Retail'!M44/M44</f>
        <v>0.9283763483258729</v>
      </c>
      <c r="BM44" s="3"/>
      <c r="BN44" s="3">
        <f t="shared" si="53"/>
        <v>2010</v>
      </c>
      <c r="BO44" s="18">
        <f>'Firm Retail'!B43/B44</f>
        <v>0.8919901985162455</v>
      </c>
      <c r="BP44" s="19">
        <f>'Firm Retail'!C43/C44</f>
        <v>0.86895181263184518</v>
      </c>
      <c r="BQ44" s="19">
        <f>'Firm Retail'!D43/D44</f>
        <v>0.86044527200638188</v>
      </c>
      <c r="BR44" s="19">
        <f>'Firm Retail'!E43/E44</f>
        <v>0.85542235508894937</v>
      </c>
      <c r="BS44" s="19">
        <f>'Firm Retail'!F43/F44</f>
        <v>0.87939049586776863</v>
      </c>
      <c r="BT44" s="19">
        <f>'Firm Retail'!G43/G44</f>
        <v>0.89278603531470324</v>
      </c>
      <c r="BU44" s="19">
        <f>'Firm Retail'!H43/H44</f>
        <v>0.87458113930110104</v>
      </c>
      <c r="BV44" s="19">
        <f>'Firm Retail'!I43/I44</f>
        <v>0.8924715045719146</v>
      </c>
      <c r="BW44" s="19">
        <f>'Firm Retail'!J43/J44</f>
        <v>0.89374012031366479</v>
      </c>
      <c r="BX44" s="19">
        <f>'Firm Retail'!K43/K44</f>
        <v>0.88042893599600736</v>
      </c>
      <c r="BY44" s="19">
        <f>'Firm Retail'!L43/L44</f>
        <v>0.83374999999999999</v>
      </c>
      <c r="BZ44" s="19">
        <f>'Firm Retail'!M43/M44</f>
        <v>0.86475050901121675</v>
      </c>
    </row>
    <row r="45" spans="1:78" ht="15.75">
      <c r="A45" s="323">
        <f>+A44+1</f>
        <v>2011</v>
      </c>
      <c r="B45">
        <v>4028</v>
      </c>
      <c r="C45">
        <v>3251</v>
      </c>
      <c r="D45">
        <v>2803</v>
      </c>
      <c r="E45">
        <v>3611</v>
      </c>
      <c r="F45">
        <v>3779</v>
      </c>
      <c r="G45">
        <v>4136</v>
      </c>
      <c r="H45">
        <v>4028</v>
      </c>
      <c r="I45" s="168">
        <v>4161</v>
      </c>
      <c r="J45">
        <v>3800</v>
      </c>
      <c r="K45">
        <v>3258</v>
      </c>
      <c r="L45">
        <v>3032</v>
      </c>
      <c r="M45">
        <v>2699</v>
      </c>
      <c r="N45"/>
      <c r="O45" s="26" t="s">
        <v>255</v>
      </c>
      <c r="P45" s="270">
        <f t="shared" ref="P45:P55" si="59">MAX(R45:S45)</f>
        <v>4319</v>
      </c>
      <c r="Q45" s="13">
        <f t="shared" ref="Q45:Q56" si="60">MAX(E45:J45)</f>
        <v>4161</v>
      </c>
      <c r="R45" s="12">
        <f t="shared" si="57"/>
        <v>4319</v>
      </c>
      <c r="S45" s="177">
        <f t="shared" si="58"/>
        <v>4028</v>
      </c>
      <c r="T45" s="399">
        <f t="shared" si="33"/>
        <v>42586</v>
      </c>
      <c r="U45" s="400">
        <f>SUM('[2]System, Demand &amp; Generation Rep'!$C$3:$N$3)</f>
        <v>42586</v>
      </c>
      <c r="V45" s="398">
        <f t="shared" si="32"/>
        <v>0</v>
      </c>
      <c r="W45" s="423"/>
      <c r="X45" s="3">
        <f t="shared" si="54"/>
        <v>2011</v>
      </c>
      <c r="Y45" s="18">
        <f>B45/$P45</f>
        <v>0.93262329242880293</v>
      </c>
      <c r="Z45" s="19">
        <f>C45/$P45</f>
        <v>0.75272053716137999</v>
      </c>
      <c r="AA45" s="19">
        <f>D45/$P45</f>
        <v>0.64899282241259548</v>
      </c>
      <c r="AB45" s="18">
        <f t="shared" ref="AB45:AG45" si="61">E45/$Q45</f>
        <v>0.86782023552030763</v>
      </c>
      <c r="AC45" s="19">
        <f t="shared" si="61"/>
        <v>0.90819514539774093</v>
      </c>
      <c r="AD45" s="19">
        <f t="shared" si="61"/>
        <v>0.99399182888728665</v>
      </c>
      <c r="AE45" s="19">
        <f t="shared" si="61"/>
        <v>0.96803652968036524</v>
      </c>
      <c r="AF45" s="19">
        <f t="shared" si="61"/>
        <v>1</v>
      </c>
      <c r="AG45" s="19">
        <f t="shared" si="61"/>
        <v>0.91324200913242004</v>
      </c>
      <c r="AH45" s="18">
        <f>K45/$P46</f>
        <v>0.86008447729672655</v>
      </c>
      <c r="AI45" s="19">
        <f>L45/$P46</f>
        <v>0.80042238648363251</v>
      </c>
      <c r="AJ45" s="178">
        <f>M45/$P46</f>
        <v>0.7125131995776135</v>
      </c>
      <c r="AL45" s="3">
        <f t="shared" si="39"/>
        <v>2011</v>
      </c>
      <c r="AM45" s="9">
        <f t="shared" si="40"/>
        <v>-732</v>
      </c>
      <c r="AN45" s="3">
        <f t="shared" si="41"/>
        <v>-406</v>
      </c>
      <c r="AO45" s="3">
        <f t="shared" si="42"/>
        <v>-752</v>
      </c>
      <c r="AP45" s="3">
        <f t="shared" si="43"/>
        <v>467</v>
      </c>
      <c r="AQ45" s="3">
        <f t="shared" si="44"/>
        <v>-93</v>
      </c>
      <c r="AR45" s="3">
        <f t="shared" si="45"/>
        <v>20</v>
      </c>
      <c r="AS45" s="3">
        <f t="shared" si="46"/>
        <v>-150</v>
      </c>
      <c r="AT45" s="3">
        <f t="shared" si="47"/>
        <v>4</v>
      </c>
      <c r="AU45" s="3">
        <f t="shared" si="48"/>
        <v>-134</v>
      </c>
      <c r="AV45" s="3">
        <f t="shared" si="49"/>
        <v>-333</v>
      </c>
      <c r="AW45" s="3">
        <f t="shared" si="50"/>
        <v>-168</v>
      </c>
      <c r="AX45" s="3">
        <f t="shared" si="51"/>
        <v>-1620</v>
      </c>
      <c r="AZ45" s="3">
        <f t="shared" si="52"/>
        <v>2011</v>
      </c>
      <c r="BA45" s="18">
        <f>'Total Retail'!B45/B45</f>
        <v>0.94636851851356485</v>
      </c>
      <c r="BB45" s="19">
        <f>'Total Retail'!C45/C45</f>
        <v>0.90429414258766705</v>
      </c>
      <c r="BC45" s="19">
        <f>'Total Retail'!D45/D45</f>
        <v>0.96207233434024553</v>
      </c>
      <c r="BD45" s="19">
        <f>'Total Retail'!E45/E45</f>
        <v>0.94699570331096461</v>
      </c>
      <c r="BE45" s="19">
        <f>'Total Retail'!F45/F45</f>
        <v>0.94530527001777909</v>
      </c>
      <c r="BF45" s="19">
        <f>'Total Retail'!G45/G45</f>
        <v>0.94023112779804419</v>
      </c>
      <c r="BG45" s="19">
        <f>'Total Retail'!H45/H45</f>
        <v>0.93553779620704414</v>
      </c>
      <c r="BH45" s="19">
        <f>'Total Retail'!I45/I45</f>
        <v>0.94473962097470987</v>
      </c>
      <c r="BI45" s="19">
        <f>'Total Retail'!J45/J45</f>
        <v>0.95200029147089826</v>
      </c>
      <c r="BJ45" s="19">
        <f>'Total Retail'!K45/K45</f>
        <v>0.9413302784992772</v>
      </c>
      <c r="BK45" s="19">
        <f>'Total Retail'!L45/L45</f>
        <v>0.92919457234880654</v>
      </c>
      <c r="BL45" s="19">
        <f>'Total Retail'!M45/M45</f>
        <v>0.90946424997228303</v>
      </c>
      <c r="BM45" s="3"/>
      <c r="BN45" s="3">
        <f t="shared" si="53"/>
        <v>2011</v>
      </c>
      <c r="BO45" s="18">
        <f>'Firm Retail'!B44/B45</f>
        <v>0.86873693956619646</v>
      </c>
      <c r="BP45" s="19">
        <f>'Firm Retail'!C44/C45</f>
        <v>0.82924031299677192</v>
      </c>
      <c r="BQ45" s="19">
        <f>'Firm Retail'!D44/D45</f>
        <v>0.89139805678048811</v>
      </c>
      <c r="BR45" s="19">
        <f>'Firm Retail'!E44/E45</f>
        <v>0.8806424813071172</v>
      </c>
      <c r="BS45" s="19">
        <f>'Firm Retail'!F44/F45</f>
        <v>0.88330246096851017</v>
      </c>
      <c r="BT45" s="19">
        <f>'Firm Retail'!G44/G45</f>
        <v>0.88201160541586077</v>
      </c>
      <c r="BU45" s="19">
        <f>'Firm Retail'!H44/H45</f>
        <v>0.87198268200644824</v>
      </c>
      <c r="BV45" s="19">
        <f>'Firm Retail'!I44/I45</f>
        <v>0.88895976036427971</v>
      </c>
      <c r="BW45" s="19">
        <f>'Firm Retail'!J44/J45</f>
        <v>0.88971081778668781</v>
      </c>
      <c r="BX45" s="19">
        <f>'Firm Retail'!K44/K45</f>
        <v>0.87691835481890734</v>
      </c>
      <c r="BY45" s="19">
        <f>'Firm Retail'!L44/L45</f>
        <v>0.85429351693983557</v>
      </c>
      <c r="BZ45" s="19">
        <f>'Firm Retail'!M44/M45</f>
        <v>0.82771396813634679</v>
      </c>
    </row>
    <row r="46" spans="1:78" ht="15.75">
      <c r="A46" s="323">
        <f>+A45+1</f>
        <v>2012</v>
      </c>
      <c r="B46" s="226">
        <v>3788</v>
      </c>
      <c r="C46">
        <v>3573</v>
      </c>
      <c r="D46">
        <v>3170</v>
      </c>
      <c r="E46">
        <v>3385</v>
      </c>
      <c r="F46">
        <v>3793</v>
      </c>
      <c r="G46">
        <v>3892</v>
      </c>
      <c r="H46">
        <v>3988</v>
      </c>
      <c r="I46" s="168">
        <v>4151</v>
      </c>
      <c r="J46">
        <v>3927</v>
      </c>
      <c r="K46">
        <v>3725</v>
      </c>
      <c r="L46">
        <v>2753</v>
      </c>
      <c r="M46">
        <v>2836</v>
      </c>
      <c r="N46"/>
      <c r="O46" s="26" t="s">
        <v>256</v>
      </c>
      <c r="P46" s="12">
        <f t="shared" si="59"/>
        <v>3788</v>
      </c>
      <c r="Q46" s="13">
        <f t="shared" si="60"/>
        <v>4151</v>
      </c>
      <c r="R46" s="12">
        <f t="shared" si="57"/>
        <v>3032</v>
      </c>
      <c r="S46" s="177">
        <f t="shared" si="58"/>
        <v>3788</v>
      </c>
      <c r="T46" s="399">
        <f t="shared" si="33"/>
        <v>42981</v>
      </c>
      <c r="U46" s="400">
        <f>SUM('[3]Peak Demand Report'!$C$3:$N$3)</f>
        <v>42981</v>
      </c>
      <c r="V46" s="398">
        <f t="shared" si="32"/>
        <v>0</v>
      </c>
      <c r="W46" s="423"/>
      <c r="X46" s="3">
        <f t="shared" si="54"/>
        <v>2012</v>
      </c>
      <c r="Y46" s="18">
        <f t="shared" ref="Y46:Y53" si="62">B46/$P46</f>
        <v>1</v>
      </c>
      <c r="Z46" s="19">
        <f t="shared" ref="Z46:Z53" si="63">C46/$P46</f>
        <v>0.94324181626187964</v>
      </c>
      <c r="AA46" s="19">
        <f t="shared" ref="AA46:AA54" si="64">D46/$P46</f>
        <v>0.83685322069693768</v>
      </c>
      <c r="AB46" s="18">
        <f t="shared" ref="AB46:AB53" si="65">E46/$Q46</f>
        <v>0.81546615273428091</v>
      </c>
      <c r="AC46" s="19">
        <f t="shared" ref="AC46:AC53" si="66">F46/$Q46</f>
        <v>0.91375572151288842</v>
      </c>
      <c r="AD46" s="19">
        <f t="shared" ref="AD46:AD53" si="67">G46/$Q46</f>
        <v>0.93760539629005057</v>
      </c>
      <c r="AE46" s="19">
        <f t="shared" ref="AE46:AE53" si="68">H46/$Q46</f>
        <v>0.96073235364972298</v>
      </c>
      <c r="AF46" s="19">
        <f t="shared" ref="AF46:AF53" si="69">I46/$Q46</f>
        <v>1</v>
      </c>
      <c r="AG46" s="19">
        <f t="shared" ref="AG46:AG53" si="70">J46/$Q46</f>
        <v>0.94603709949409776</v>
      </c>
      <c r="AH46" s="18">
        <f t="shared" ref="AH46:AH53" si="71">K46/$P47</f>
        <v>1.07939727615184</v>
      </c>
      <c r="AI46" s="19">
        <f t="shared" ref="AI46:AI53" si="72">L46/$P47</f>
        <v>0.79773978556940017</v>
      </c>
      <c r="AJ46" s="178">
        <f t="shared" ref="AJ46:AJ53" si="73">M46/$P47</f>
        <v>0.82179078527962912</v>
      </c>
      <c r="AL46" s="3">
        <f t="shared" si="39"/>
        <v>2012</v>
      </c>
      <c r="AM46" s="9">
        <f t="shared" ref="AM46:AM54" si="74">B46-B45</f>
        <v>-240</v>
      </c>
      <c r="AN46" s="3">
        <f t="shared" ref="AN46:AN54" si="75">C46-C45</f>
        <v>322</v>
      </c>
      <c r="AO46" s="3">
        <f t="shared" ref="AO46:AO53" si="76">D46-D45</f>
        <v>367</v>
      </c>
      <c r="AP46" s="3">
        <f t="shared" ref="AP46:AP53" si="77">E46-E45</f>
        <v>-226</v>
      </c>
      <c r="AQ46" s="3">
        <f t="shared" ref="AQ46:AQ53" si="78">F46-F45</f>
        <v>14</v>
      </c>
      <c r="AR46" s="3">
        <f t="shared" ref="AR46:AR53" si="79">G46-G45</f>
        <v>-244</v>
      </c>
      <c r="AS46" s="3">
        <f t="shared" ref="AS46:AS53" si="80">H46-H45</f>
        <v>-40</v>
      </c>
      <c r="AT46" s="3">
        <f t="shared" ref="AT46:AT53" si="81">I46-I45</f>
        <v>-10</v>
      </c>
      <c r="AU46" s="3">
        <f t="shared" ref="AU46:AU53" si="82">J46-J45</f>
        <v>127</v>
      </c>
      <c r="AV46" s="3">
        <f t="shared" ref="AV46:AV53" si="83">K46-K45</f>
        <v>467</v>
      </c>
      <c r="AW46" s="3">
        <f t="shared" ref="AW46:AW53" si="84">L46-L45</f>
        <v>-279</v>
      </c>
      <c r="AX46" s="3">
        <f t="shared" ref="AX46:AX53" si="85">M46-M45</f>
        <v>137</v>
      </c>
      <c r="AZ46" s="3">
        <f t="shared" si="52"/>
        <v>2012</v>
      </c>
      <c r="BA46" s="18">
        <f>'Total Retail'!B46/B46</f>
        <v>0.92839390324382587</v>
      </c>
      <c r="BB46" s="19">
        <f>'Total Retail'!C46/C46</f>
        <v>0.94547926177232133</v>
      </c>
      <c r="BC46" s="19">
        <f>'Total Retail'!D46/D46</f>
        <v>0.92484739452890041</v>
      </c>
      <c r="BD46" s="19">
        <f>'Total Retail'!E46/E46</f>
        <v>0.93116036411599534</v>
      </c>
      <c r="BE46" s="19">
        <f>'Total Retail'!F46/F46</f>
        <v>0.96109615562170669</v>
      </c>
      <c r="BF46" s="19">
        <f>'Total Retail'!G46/G46</f>
        <v>0.96562700653039168</v>
      </c>
      <c r="BG46" s="19">
        <f>'Total Retail'!H46/H46</f>
        <v>0.94632301501900407</v>
      </c>
      <c r="BH46" s="19">
        <f>'Total Retail'!I46/I46</f>
        <v>0.93750297711863795</v>
      </c>
      <c r="BI46" s="19">
        <f>'Total Retail'!J46/J46</f>
        <v>0.93454647281829595</v>
      </c>
      <c r="BJ46" s="19">
        <f>'Total Retail'!K46/K46</f>
        <v>0.93422741219462957</v>
      </c>
      <c r="BK46" s="19">
        <f>'Total Retail'!L46/L46</f>
        <v>0.90822640510381725</v>
      </c>
      <c r="BL46" s="19">
        <f>'Total Retail'!M46/M46</f>
        <v>0.91904015094554647</v>
      </c>
      <c r="BM46" s="3"/>
      <c r="BN46" s="3">
        <f t="shared" si="53"/>
        <v>2012</v>
      </c>
      <c r="BO46" s="18">
        <f>'Firm Retail'!B45/B46</f>
        <v>0.8624604012671595</v>
      </c>
      <c r="BP46" s="19">
        <f>'Firm Retail'!C45/C46</f>
        <v>0.86543448147565183</v>
      </c>
      <c r="BQ46" s="19">
        <f>'Firm Retail'!D45/D46</f>
        <v>0.85646687697160884</v>
      </c>
      <c r="BR46" s="19">
        <f>'Firm Retail'!E45/E46</f>
        <v>0.86037749853253898</v>
      </c>
      <c r="BS46" s="19">
        <f>'Firm Retail'!F45/F46</f>
        <v>0.8900969465523686</v>
      </c>
      <c r="BT46" s="19">
        <f>'Firm Retail'!G45/G46</f>
        <v>0.89856636932586964</v>
      </c>
      <c r="BU46" s="19">
        <f>'Firm Retail'!H45/H46</f>
        <v>0.87709031692472128</v>
      </c>
      <c r="BV46" s="19">
        <f>'Firm Retail'!I45/I46</f>
        <v>0.87380748205720704</v>
      </c>
      <c r="BW46" s="19">
        <f>'Firm Retail'!J45/J46</f>
        <v>0.86222663579257663</v>
      </c>
      <c r="BX46" s="19">
        <f>'Firm Retail'!K45/K46</f>
        <v>0.87116700951006587</v>
      </c>
      <c r="BY46" s="19">
        <f>'Firm Retail'!L45/L46</f>
        <v>0.81570915119898602</v>
      </c>
      <c r="BZ46" s="19">
        <f>'Firm Retail'!M45/M46</f>
        <v>0.84308885754583918</v>
      </c>
    </row>
    <row r="47" spans="1:78" ht="15.75">
      <c r="A47" s="323">
        <f>+A46+1</f>
        <v>2013</v>
      </c>
      <c r="B47">
        <v>2747</v>
      </c>
      <c r="C47" s="226">
        <v>3451</v>
      </c>
      <c r="D47">
        <v>2872</v>
      </c>
      <c r="E47">
        <v>3600</v>
      </c>
      <c r="F47">
        <v>3675</v>
      </c>
      <c r="G47">
        <v>4043</v>
      </c>
      <c r="H47">
        <v>4028</v>
      </c>
      <c r="I47" s="168">
        <v>4106</v>
      </c>
      <c r="J47">
        <v>3977</v>
      </c>
      <c r="K47">
        <v>3696</v>
      </c>
      <c r="L47">
        <v>3225</v>
      </c>
      <c r="M47">
        <v>2942</v>
      </c>
      <c r="N47"/>
      <c r="O47" s="26" t="s">
        <v>257</v>
      </c>
      <c r="P47" s="12">
        <f t="shared" si="59"/>
        <v>3451</v>
      </c>
      <c r="Q47" s="13">
        <f t="shared" si="60"/>
        <v>4106</v>
      </c>
      <c r="R47" s="12">
        <f t="shared" si="57"/>
        <v>2836</v>
      </c>
      <c r="S47" s="177">
        <f t="shared" si="58"/>
        <v>3451</v>
      </c>
      <c r="T47" s="399">
        <f t="shared" si="33"/>
        <v>42362</v>
      </c>
      <c r="U47" s="400">
        <f>SUM('[4]Peak Demand Report'!$C$3:$N$3)</f>
        <v>42362</v>
      </c>
      <c r="V47" s="398">
        <f t="shared" si="32"/>
        <v>0</v>
      </c>
      <c r="W47" s="423"/>
      <c r="X47" s="3">
        <f t="shared" si="54"/>
        <v>2013</v>
      </c>
      <c r="Y47" s="18">
        <f t="shared" si="62"/>
        <v>0.79600115908432334</v>
      </c>
      <c r="Z47" s="19">
        <f t="shared" si="63"/>
        <v>1</v>
      </c>
      <c r="AA47" s="19">
        <f t="shared" si="64"/>
        <v>0.83222254419008979</v>
      </c>
      <c r="AB47" s="18">
        <f t="shared" si="65"/>
        <v>0.87676570871894788</v>
      </c>
      <c r="AC47" s="19">
        <f t="shared" si="66"/>
        <v>0.89503166098392595</v>
      </c>
      <c r="AD47" s="19">
        <f t="shared" si="67"/>
        <v>0.9846566000974184</v>
      </c>
      <c r="AE47" s="19">
        <f t="shared" si="68"/>
        <v>0.98100340964442279</v>
      </c>
      <c r="AF47" s="19">
        <f t="shared" si="69"/>
        <v>1</v>
      </c>
      <c r="AG47" s="19">
        <f t="shared" si="70"/>
        <v>0.96858256210423765</v>
      </c>
      <c r="AH47" s="18">
        <f t="shared" si="71"/>
        <v>1.0384939589772408</v>
      </c>
      <c r="AI47" s="19">
        <f t="shared" si="72"/>
        <v>0.90615341388030346</v>
      </c>
      <c r="AJ47" s="178">
        <f t="shared" si="73"/>
        <v>0.82663669570103959</v>
      </c>
      <c r="AL47" s="3">
        <f t="shared" si="39"/>
        <v>2013</v>
      </c>
      <c r="AM47" s="9">
        <f t="shared" si="74"/>
        <v>-1041</v>
      </c>
      <c r="AN47" s="3">
        <f t="shared" si="75"/>
        <v>-122</v>
      </c>
      <c r="AO47" s="3">
        <f t="shared" si="76"/>
        <v>-298</v>
      </c>
      <c r="AP47" s="3">
        <f t="shared" si="77"/>
        <v>215</v>
      </c>
      <c r="AQ47" s="3">
        <f t="shared" si="78"/>
        <v>-118</v>
      </c>
      <c r="AR47" s="3">
        <f t="shared" si="79"/>
        <v>151</v>
      </c>
      <c r="AS47" s="3">
        <f t="shared" si="80"/>
        <v>40</v>
      </c>
      <c r="AT47" s="3">
        <f t="shared" si="81"/>
        <v>-45</v>
      </c>
      <c r="AU47" s="3">
        <f t="shared" si="82"/>
        <v>50</v>
      </c>
      <c r="AV47" s="3">
        <f t="shared" si="83"/>
        <v>-29</v>
      </c>
      <c r="AW47" s="3">
        <f t="shared" si="84"/>
        <v>472</v>
      </c>
      <c r="AX47" s="3">
        <f t="shared" si="85"/>
        <v>106</v>
      </c>
      <c r="AZ47" s="3">
        <f t="shared" si="52"/>
        <v>2013</v>
      </c>
      <c r="BA47" s="18">
        <f>'Total Retail'!B47/B47</f>
        <v>0.93312197194558366</v>
      </c>
      <c r="BB47" s="19">
        <f>'Total Retail'!C47/C47</f>
        <v>0.92810072042128777</v>
      </c>
      <c r="BC47" s="19">
        <f>'Total Retail'!D47/D47</f>
        <v>1.0639580304875844</v>
      </c>
      <c r="BD47" s="19">
        <f>'Total Retail'!E47/E47</f>
        <v>0.95543958767784953</v>
      </c>
      <c r="BE47" s="19">
        <f>'Total Retail'!F47/F47</f>
        <v>0.95062767379172708</v>
      </c>
      <c r="BF47" s="19">
        <f>'Total Retail'!G47/G47</f>
        <v>0.94930133700863628</v>
      </c>
      <c r="BG47" s="19">
        <f>'Total Retail'!H47/H47</f>
        <v>0.9390978665067351</v>
      </c>
      <c r="BH47" s="19">
        <f>'Total Retail'!I47/I47</f>
        <v>0.94324077009209184</v>
      </c>
      <c r="BI47" s="19">
        <f>'Total Retail'!J47/J47</f>
        <v>0.94021619868762651</v>
      </c>
      <c r="BJ47" s="19">
        <f>'Total Retail'!K47/K47</f>
        <v>0.94050052136938034</v>
      </c>
      <c r="BK47" s="19">
        <f>'Total Retail'!L47/L47</f>
        <v>0.9281346335225098</v>
      </c>
      <c r="BL47" s="19">
        <f>'Total Retail'!M47/M47</f>
        <v>0.93105782720873753</v>
      </c>
      <c r="BM47" s="3"/>
      <c r="BN47" s="3">
        <f t="shared" si="53"/>
        <v>2013</v>
      </c>
      <c r="BO47" s="18">
        <f>'Firm Retail'!B46/B47</f>
        <v>0.84957628574245314</v>
      </c>
      <c r="BP47" s="19">
        <f>'Firm Retail'!C46/C47</f>
        <v>0.84556335166094898</v>
      </c>
      <c r="BQ47" s="19">
        <f>'Firm Retail'!D46/D47</f>
        <v>0.96979323114626437</v>
      </c>
      <c r="BR47" s="19">
        <f>'Firm Retail'!E46/E47</f>
        <v>0.87274514323340524</v>
      </c>
      <c r="BS47" s="19">
        <f>'Firm Retail'!F46/F47</f>
        <v>0.88272108843537411</v>
      </c>
      <c r="BT47" s="19">
        <f>'Firm Retail'!G46/G47</f>
        <v>0.8751348210612504</v>
      </c>
      <c r="BU47" s="19">
        <f>'Firm Retail'!H46/H47</f>
        <v>0.87288977159880832</v>
      </c>
      <c r="BV47" s="19">
        <f>'Firm Retail'!I46/I47</f>
        <v>0.88023541207942735</v>
      </c>
      <c r="BW47" s="19">
        <f>'Firm Retail'!J46/J47</f>
        <v>0.87503143072667844</v>
      </c>
      <c r="BX47" s="19">
        <f>'Firm Retail'!K46/K47</f>
        <v>0.86317368154254048</v>
      </c>
      <c r="BY47" s="19">
        <f>'Firm Retail'!L46/L47</f>
        <v>0.85266176530545545</v>
      </c>
      <c r="BZ47" s="19">
        <f>'Firm Retail'!M46/M47</f>
        <v>0.8344663494221618</v>
      </c>
    </row>
    <row r="48" spans="1:78" ht="15.75">
      <c r="A48" s="323">
        <f>+A47+1</f>
        <v>2014</v>
      </c>
      <c r="B48" s="226">
        <v>3559</v>
      </c>
      <c r="C48">
        <v>2825</v>
      </c>
      <c r="D48">
        <v>2690</v>
      </c>
      <c r="E48">
        <v>3664</v>
      </c>
      <c r="F48" s="1">
        <v>3739</v>
      </c>
      <c r="G48" s="1">
        <v>4147</v>
      </c>
      <c r="H48" s="1">
        <v>4065</v>
      </c>
      <c r="I48" s="22">
        <v>4305</v>
      </c>
      <c r="J48" s="1">
        <v>3991</v>
      </c>
      <c r="K48" s="1">
        <v>3732</v>
      </c>
      <c r="L48" s="1">
        <v>3036</v>
      </c>
      <c r="M48" s="1">
        <v>2937</v>
      </c>
      <c r="N48"/>
      <c r="O48" s="26" t="s">
        <v>258</v>
      </c>
      <c r="P48" s="12">
        <f t="shared" si="59"/>
        <v>3559</v>
      </c>
      <c r="Q48" s="13">
        <f t="shared" si="60"/>
        <v>4305</v>
      </c>
      <c r="R48" s="12">
        <f t="shared" si="57"/>
        <v>3225</v>
      </c>
      <c r="S48" s="177">
        <f t="shared" si="58"/>
        <v>3559</v>
      </c>
      <c r="T48" s="399" t="s">
        <v>329</v>
      </c>
      <c r="U48" s="400"/>
      <c r="V48" s="398"/>
      <c r="W48" s="423"/>
      <c r="X48" s="3">
        <f t="shared" si="54"/>
        <v>2014</v>
      </c>
      <c r="Y48" s="18">
        <f t="shared" si="62"/>
        <v>1</v>
      </c>
      <c r="Z48" s="19">
        <f t="shared" si="63"/>
        <v>0.79376229277887045</v>
      </c>
      <c r="AA48" s="19">
        <f t="shared" si="64"/>
        <v>0.75583028940713681</v>
      </c>
      <c r="AB48" s="18">
        <f t="shared" si="65"/>
        <v>0.85110336817653887</v>
      </c>
      <c r="AC48" s="19">
        <f t="shared" si="66"/>
        <v>0.86852497096399539</v>
      </c>
      <c r="AD48" s="19">
        <f t="shared" si="67"/>
        <v>0.96329849012775837</v>
      </c>
      <c r="AE48" s="19">
        <f t="shared" si="68"/>
        <v>0.94425087108013939</v>
      </c>
      <c r="AF48" s="19">
        <f t="shared" si="69"/>
        <v>1</v>
      </c>
      <c r="AG48" s="19">
        <f t="shared" si="70"/>
        <v>0.92706155632984899</v>
      </c>
      <c r="AH48" s="18">
        <f t="shared" si="71"/>
        <v>0.97010657655315835</v>
      </c>
      <c r="AI48" s="19">
        <f t="shared" si="72"/>
        <v>0.7891863789966207</v>
      </c>
      <c r="AJ48" s="178">
        <f t="shared" si="73"/>
        <v>0.76345204055107874</v>
      </c>
      <c r="AL48" s="3">
        <f t="shared" si="39"/>
        <v>2014</v>
      </c>
      <c r="AM48" s="9">
        <f t="shared" si="74"/>
        <v>812</v>
      </c>
      <c r="AN48" s="3">
        <f t="shared" si="75"/>
        <v>-626</v>
      </c>
      <c r="AO48" s="3">
        <f t="shared" si="76"/>
        <v>-182</v>
      </c>
      <c r="AP48" s="3">
        <f t="shared" si="77"/>
        <v>64</v>
      </c>
      <c r="AQ48" s="3">
        <f t="shared" si="78"/>
        <v>64</v>
      </c>
      <c r="AR48" s="3">
        <f t="shared" si="79"/>
        <v>104</v>
      </c>
      <c r="AS48" s="3">
        <f t="shared" si="80"/>
        <v>37</v>
      </c>
      <c r="AT48" s="3">
        <f t="shared" si="81"/>
        <v>199</v>
      </c>
      <c r="AU48" s="3">
        <f t="shared" si="82"/>
        <v>14</v>
      </c>
      <c r="AV48" s="3">
        <f t="shared" si="83"/>
        <v>36</v>
      </c>
      <c r="AW48" s="3">
        <f t="shared" si="84"/>
        <v>-189</v>
      </c>
      <c r="AX48" s="3">
        <f t="shared" si="85"/>
        <v>-5</v>
      </c>
      <c r="AZ48" s="3">
        <f t="shared" si="52"/>
        <v>2014</v>
      </c>
      <c r="BA48" s="18">
        <f>'Total Retail'!B48/B48</f>
        <v>0.92721621059373249</v>
      </c>
      <c r="BB48" s="19">
        <f>'Total Retail'!C48/C48</f>
        <v>0.96255447483147138</v>
      </c>
      <c r="BC48" s="19">
        <f>'Total Retail'!D48/D48</f>
        <v>0.93892058748782359</v>
      </c>
      <c r="BD48" s="19">
        <f>'Total Retail'!E48/E48</f>
        <v>0.94427502766639126</v>
      </c>
      <c r="BE48" s="19">
        <f>'Total Retail'!F48/F48</f>
        <v>0.93934644275165613</v>
      </c>
      <c r="BF48" s="19">
        <f>'Total Retail'!G48/G48</f>
        <v>0.94445599228357846</v>
      </c>
      <c r="BG48" s="19">
        <f>'Total Retail'!H48/H48</f>
        <v>0.93903449458313459</v>
      </c>
      <c r="BH48" s="19">
        <f>'Total Retail'!I48/I48</f>
        <v>0.94173797909407675</v>
      </c>
      <c r="BI48" s="19">
        <f>'Total Retail'!J48/J48</f>
        <v>0.93576371836632422</v>
      </c>
      <c r="BJ48" s="19">
        <f>'Total Retail'!K48/K48</f>
        <v>0.9469933011789925</v>
      </c>
      <c r="BK48" s="19">
        <f>'Total Retail'!L48/L48</f>
        <v>0.91729677206851123</v>
      </c>
      <c r="BL48" s="19">
        <f>'Total Retail'!M48/M48</f>
        <v>0.98188355464759958</v>
      </c>
      <c r="BM48" s="3"/>
      <c r="BN48" s="3">
        <f t="shared" si="53"/>
        <v>2014</v>
      </c>
      <c r="BO48" s="18">
        <f>'Firm Retail'!B47/B48</f>
        <v>0.86517631174574139</v>
      </c>
      <c r="BP48" s="19">
        <f>'Firm Retail'!C47/C48</f>
        <v>0.86981111199961292</v>
      </c>
      <c r="BQ48" s="19">
        <f>'Firm Retail'!D47/D48</f>
        <v>0.84672727893763755</v>
      </c>
      <c r="BR48" s="19">
        <f>'Firm Retail'!E47/E48</f>
        <v>0.87365764113097577</v>
      </c>
      <c r="BS48" s="19">
        <f>'Firm Retail'!F47/F48</f>
        <v>0.87857715966836047</v>
      </c>
      <c r="BT48" s="19">
        <f>'Firm Retail'!G47/G48</f>
        <v>0.87956571015191698</v>
      </c>
      <c r="BU48" s="19">
        <f>'Firm Retail'!H47/H48</f>
        <v>0.86592865928659291</v>
      </c>
      <c r="BV48" s="19">
        <f>'Firm Retail'!I47/I48</f>
        <v>0.87270197444831588</v>
      </c>
      <c r="BW48" s="19">
        <f>'Firm Retail'!J47/J48</f>
        <v>0.87446755199198201</v>
      </c>
      <c r="BX48" s="19">
        <f>'Firm Retail'!K47/K48</f>
        <v>0.88426554126473744</v>
      </c>
      <c r="BY48" s="19">
        <f>'Firm Retail'!L47/L48</f>
        <v>0.83425988142292495</v>
      </c>
      <c r="BZ48" s="19">
        <f>'Firm Retail'!M47/M48</f>
        <v>0.92240108954715705</v>
      </c>
    </row>
    <row r="49" spans="1:78" ht="15.75">
      <c r="A49" s="323">
        <v>2015</v>
      </c>
      <c r="B49" s="1">
        <v>2974</v>
      </c>
      <c r="C49" s="226">
        <v>3847</v>
      </c>
      <c r="D49" s="1">
        <v>3136</v>
      </c>
      <c r="E49" s="1">
        <v>3495</v>
      </c>
      <c r="F49" s="1">
        <v>3903</v>
      </c>
      <c r="G49" s="1">
        <v>4075</v>
      </c>
      <c r="H49" s="1">
        <v>4047</v>
      </c>
      <c r="I49" s="22">
        <v>4163</v>
      </c>
      <c r="J49" s="1">
        <v>4072</v>
      </c>
      <c r="K49" s="1">
        <v>3558</v>
      </c>
      <c r="L49" s="226">
        <v>3638</v>
      </c>
      <c r="M49" s="1">
        <v>3227</v>
      </c>
      <c r="N49"/>
      <c r="O49" s="26" t="s">
        <v>280</v>
      </c>
      <c r="P49" s="12">
        <f>MAX(R49:S49)</f>
        <v>3847</v>
      </c>
      <c r="Q49" s="13">
        <f t="shared" si="60"/>
        <v>4163</v>
      </c>
      <c r="R49" s="12">
        <f>MAX(L48:M48)</f>
        <v>3036</v>
      </c>
      <c r="S49" s="177">
        <f t="shared" si="58"/>
        <v>3847</v>
      </c>
      <c r="T49" s="68"/>
      <c r="U49" s="374"/>
      <c r="V49" s="397"/>
      <c r="W49" s="423"/>
      <c r="X49" s="3">
        <f t="shared" si="54"/>
        <v>2015</v>
      </c>
      <c r="Y49" s="18">
        <f t="shared" si="62"/>
        <v>0.7730699246165843</v>
      </c>
      <c r="Z49" s="19">
        <f t="shared" si="63"/>
        <v>1</v>
      </c>
      <c r="AA49" s="19">
        <f t="shared" si="64"/>
        <v>0.81518066025474401</v>
      </c>
      <c r="AB49" s="18">
        <f t="shared" si="65"/>
        <v>0.83953879413884214</v>
      </c>
      <c r="AC49" s="19">
        <f t="shared" si="66"/>
        <v>0.93754503963487867</v>
      </c>
      <c r="AD49" s="19">
        <f t="shared" si="67"/>
        <v>0.97886139803026662</v>
      </c>
      <c r="AE49" s="19">
        <f t="shared" si="68"/>
        <v>0.97213547922171506</v>
      </c>
      <c r="AF49" s="19">
        <f t="shared" si="69"/>
        <v>1</v>
      </c>
      <c r="AG49" s="19">
        <f t="shared" si="70"/>
        <v>0.9781407638722075</v>
      </c>
      <c r="AH49" s="18">
        <f t="shared" si="71"/>
        <v>0.97800989554700379</v>
      </c>
      <c r="AI49" s="19">
        <f t="shared" si="72"/>
        <v>1</v>
      </c>
      <c r="AJ49" s="178">
        <f t="shared" si="73"/>
        <v>0.8870258383727323</v>
      </c>
      <c r="AL49" s="3">
        <f t="shared" si="39"/>
        <v>2015</v>
      </c>
      <c r="AM49" s="9">
        <f t="shared" si="74"/>
        <v>-585</v>
      </c>
      <c r="AN49" s="3">
        <f t="shared" si="75"/>
        <v>1022</v>
      </c>
      <c r="AO49" s="3">
        <f t="shared" si="76"/>
        <v>446</v>
      </c>
      <c r="AP49" s="3">
        <f t="shared" si="77"/>
        <v>-169</v>
      </c>
      <c r="AQ49" s="3">
        <f t="shared" si="78"/>
        <v>164</v>
      </c>
      <c r="AR49" s="3">
        <f t="shared" si="79"/>
        <v>-72</v>
      </c>
      <c r="AS49" s="3">
        <f t="shared" si="80"/>
        <v>-18</v>
      </c>
      <c r="AT49" s="3">
        <f t="shared" si="81"/>
        <v>-142</v>
      </c>
      <c r="AU49" s="3">
        <f t="shared" si="82"/>
        <v>81</v>
      </c>
      <c r="AV49" s="3">
        <f t="shared" si="83"/>
        <v>-174</v>
      </c>
      <c r="AW49" s="3">
        <f t="shared" si="84"/>
        <v>602</v>
      </c>
      <c r="AX49" s="3">
        <f t="shared" si="85"/>
        <v>290</v>
      </c>
      <c r="AZ49" s="3">
        <f t="shared" si="52"/>
        <v>2015</v>
      </c>
      <c r="BA49" s="18">
        <f>'Total Retail'!B49/B49</f>
        <v>0.92790577417912712</v>
      </c>
      <c r="BB49" s="19">
        <f>'Total Retail'!C49/C49</f>
        <v>0.93818864476305808</v>
      </c>
      <c r="BC49" s="19">
        <f>'Total Retail'!D49/D49</f>
        <v>0.95579211574371481</v>
      </c>
      <c r="BD49" s="19">
        <f>'Total Retail'!E49/E49</f>
        <v>0.95919719320751928</v>
      </c>
      <c r="BE49" s="19">
        <f>'Total Retail'!F49/F49</f>
        <v>0.9629060204388763</v>
      </c>
      <c r="BF49" s="19">
        <f>'Total Retail'!G49/G49</f>
        <v>0.95512601428664179</v>
      </c>
      <c r="BG49" s="19">
        <f>'Total Retail'!H49/H49</f>
        <v>0.95565733605972902</v>
      </c>
      <c r="BH49" s="19">
        <f>'Total Retail'!I49/I49</f>
        <v>0.9639990023010141</v>
      </c>
      <c r="BI49" s="19">
        <f>'Total Retail'!J49/J49</f>
        <v>0.95290896773224065</v>
      </c>
      <c r="BJ49" s="19">
        <f>'Total Retail'!K49/K49</f>
        <v>0.9380019214016897</v>
      </c>
      <c r="BK49" s="19">
        <f>'Total Retail'!L49/L49</f>
        <v>0.94128754545247706</v>
      </c>
      <c r="BL49" s="19">
        <f>'Total Retail'!M49/M49</f>
        <v>0.93055892913479321</v>
      </c>
      <c r="BM49" s="3"/>
      <c r="BN49" s="3">
        <f t="shared" si="53"/>
        <v>2015</v>
      </c>
      <c r="BO49" s="18">
        <f>'Firm Retail'!B48/B49</f>
        <v>0.85134894835532082</v>
      </c>
      <c r="BP49" s="19">
        <f>'Firm Retail'!C48/C49</f>
        <v>0.88131315737028448</v>
      </c>
      <c r="BQ49" s="19">
        <f>'Firm Retail'!D48/D49</f>
        <v>0.89154466676412292</v>
      </c>
      <c r="BR49" s="19">
        <f>'Firm Retail'!E48/E49</f>
        <v>0.87951192854371385</v>
      </c>
      <c r="BS49" s="19">
        <f>'Firm Retail'!F48/F49</f>
        <v>0.90494667726586342</v>
      </c>
      <c r="BT49" s="19">
        <f>'Firm Retail'!G48/G49</f>
        <v>0.90587448054431063</v>
      </c>
      <c r="BU49" s="19">
        <f>'Firm Retail'!H48/H49</f>
        <v>0.89696071163825053</v>
      </c>
      <c r="BV49" s="19">
        <f>'Firm Retail'!I48/I49</f>
        <v>0.90906275650819424</v>
      </c>
      <c r="BW49" s="19">
        <f>'Firm Retail'!J48/J49</f>
        <v>0.90594302554027506</v>
      </c>
      <c r="BX49" s="19">
        <f>'Firm Retail'!K48/K49</f>
        <v>0.89066891512085444</v>
      </c>
      <c r="BY49" s="19">
        <f>'Firm Retail'!L48/L49</f>
        <v>0.87149645144478061</v>
      </c>
      <c r="BZ49" s="19">
        <f>'Firm Retail'!M48/M49</f>
        <v>0.8602417105670902</v>
      </c>
    </row>
    <row r="50" spans="1:78" ht="15.75">
      <c r="A50" s="323">
        <f>+A49+1</f>
        <v>2016</v>
      </c>
      <c r="B50" s="1">
        <v>3528</v>
      </c>
      <c r="C50" s="1">
        <v>3322</v>
      </c>
      <c r="D50" s="1">
        <v>3347</v>
      </c>
      <c r="E50" s="1">
        <v>3730</v>
      </c>
      <c r="F50" s="1">
        <v>3773</v>
      </c>
      <c r="G50" s="1">
        <v>4164</v>
      </c>
      <c r="H50" s="22">
        <v>4374</v>
      </c>
      <c r="I50" s="1">
        <v>4323</v>
      </c>
      <c r="J50" s="1">
        <v>4023</v>
      </c>
      <c r="K50" s="1">
        <v>3743</v>
      </c>
      <c r="L50" s="1">
        <v>3112</v>
      </c>
      <c r="M50" s="1">
        <v>3191</v>
      </c>
      <c r="N50"/>
      <c r="O50" s="26" t="s">
        <v>285</v>
      </c>
      <c r="P50" s="270">
        <f t="shared" si="59"/>
        <v>3638</v>
      </c>
      <c r="Q50" s="13">
        <f t="shared" si="60"/>
        <v>4374</v>
      </c>
      <c r="R50" s="12">
        <f>MAX(L49:M49)</f>
        <v>3638</v>
      </c>
      <c r="S50" s="177">
        <f t="shared" si="58"/>
        <v>3528</v>
      </c>
      <c r="T50" s="68"/>
      <c r="U50" s="374"/>
      <c r="V50" s="397"/>
      <c r="W50" s="423"/>
      <c r="X50" s="3">
        <f t="shared" si="54"/>
        <v>2016</v>
      </c>
      <c r="Y50" s="18">
        <f t="shared" si="62"/>
        <v>0.96976360637713033</v>
      </c>
      <c r="Z50" s="19">
        <f t="shared" si="63"/>
        <v>0.91313908741066518</v>
      </c>
      <c r="AA50" s="19">
        <f t="shared" si="64"/>
        <v>0.9200109950522265</v>
      </c>
      <c r="AB50" s="18">
        <f t="shared" si="65"/>
        <v>0.85276634659350714</v>
      </c>
      <c r="AC50" s="19">
        <f t="shared" si="66"/>
        <v>0.86259716506630091</v>
      </c>
      <c r="AD50" s="19">
        <f t="shared" si="67"/>
        <v>0.9519890260631001</v>
      </c>
      <c r="AE50" s="19">
        <f t="shared" si="68"/>
        <v>1</v>
      </c>
      <c r="AF50" s="19">
        <f t="shared" si="69"/>
        <v>0.98834019204389578</v>
      </c>
      <c r="AG50" s="19">
        <f t="shared" si="70"/>
        <v>0.91975308641975306</v>
      </c>
      <c r="AH50" s="18">
        <f t="shared" si="71"/>
        <v>1.1064144250665091</v>
      </c>
      <c r="AI50" s="19">
        <f t="shared" si="72"/>
        <v>0.9198935855749335</v>
      </c>
      <c r="AJ50" s="178">
        <f t="shared" si="73"/>
        <v>0.94324563996452848</v>
      </c>
      <c r="AL50" s="3">
        <f t="shared" si="39"/>
        <v>2016</v>
      </c>
      <c r="AM50" s="9">
        <f t="shared" si="74"/>
        <v>554</v>
      </c>
      <c r="AN50" s="3">
        <f t="shared" si="75"/>
        <v>-525</v>
      </c>
      <c r="AO50" s="3">
        <f t="shared" si="76"/>
        <v>211</v>
      </c>
      <c r="AP50" s="3">
        <f t="shared" si="77"/>
        <v>235</v>
      </c>
      <c r="AQ50" s="3">
        <f t="shared" si="78"/>
        <v>-130</v>
      </c>
      <c r="AR50" s="3">
        <f t="shared" si="79"/>
        <v>89</v>
      </c>
      <c r="AS50" s="3">
        <f t="shared" si="80"/>
        <v>327</v>
      </c>
      <c r="AT50" s="3">
        <f t="shared" si="81"/>
        <v>160</v>
      </c>
      <c r="AU50" s="3">
        <f t="shared" si="82"/>
        <v>-49</v>
      </c>
      <c r="AV50" s="3">
        <f t="shared" si="83"/>
        <v>185</v>
      </c>
      <c r="AW50" s="3">
        <f t="shared" si="84"/>
        <v>-526</v>
      </c>
      <c r="AX50" s="3">
        <f t="shared" si="85"/>
        <v>-36</v>
      </c>
      <c r="AZ50" s="3">
        <f t="shared" si="52"/>
        <v>2016</v>
      </c>
      <c r="BA50" s="18">
        <f>'Total Retail'!B50/B50</f>
        <v>0.94651626851171133</v>
      </c>
      <c r="BB50" s="19">
        <f>'Total Retail'!C50/C50</f>
        <v>0.93479992886570162</v>
      </c>
      <c r="BC50" s="19">
        <f>'Total Retail'!D50/D50</f>
        <v>0.94692345145696866</v>
      </c>
      <c r="BD50" s="19">
        <f>'Total Retail'!E50/E50</f>
        <v>0.96646761714712581</v>
      </c>
      <c r="BE50" s="19">
        <f>'Total Retail'!F50/F50</f>
        <v>0.96055245928599631</v>
      </c>
      <c r="BF50" s="19">
        <f>'Total Retail'!G50/G50</f>
        <v>0.9499661996206501</v>
      </c>
      <c r="BG50" s="19">
        <f>'Total Retail'!H50/H50</f>
        <v>0.94441772340623609</v>
      </c>
      <c r="BH50" s="19">
        <f>'Total Retail'!I50/I50</f>
        <v>0.94871922727143487</v>
      </c>
      <c r="BI50" s="19">
        <f>'Total Retail'!J50/J50</f>
        <v>0.94763518734162322</v>
      </c>
      <c r="BJ50" s="19">
        <f>'Total Retail'!K50/K50</f>
        <v>0.95035920997403722</v>
      </c>
      <c r="BK50" s="19">
        <f>'Total Retail'!L50/L50</f>
        <v>0.9277644196900835</v>
      </c>
      <c r="BL50" s="19">
        <f>'Total Retail'!M50/M50</f>
        <v>0.93902737044422258</v>
      </c>
      <c r="BM50" s="3"/>
      <c r="BN50" s="3">
        <f t="shared" si="53"/>
        <v>2016</v>
      </c>
      <c r="BO50" s="18">
        <f>'Firm Retail'!B57/B50</f>
        <v>0</v>
      </c>
      <c r="BP50" s="19">
        <f>'Firm Retail'!C57/C50</f>
        <v>0</v>
      </c>
      <c r="BQ50" s="19">
        <f>'Firm Retail'!D57/D50</f>
        <v>0</v>
      </c>
      <c r="BR50" s="19">
        <f>'Firm Retail'!E57/E50</f>
        <v>0</v>
      </c>
      <c r="BS50" s="19">
        <f>'Firm Retail'!F57/F50</f>
        <v>0</v>
      </c>
      <c r="BT50" s="19">
        <f>'Firm Retail'!G57/G50</f>
        <v>0</v>
      </c>
      <c r="BU50" s="19">
        <f>'Firm Retail'!H57/H50</f>
        <v>0</v>
      </c>
      <c r="BV50" s="19">
        <f>'Firm Retail'!I57/I50</f>
        <v>0</v>
      </c>
      <c r="BW50" s="19">
        <f>'Firm Retail'!J57/J50</f>
        <v>0</v>
      </c>
      <c r="BX50" s="19">
        <f>'Firm Retail'!K57/K50</f>
        <v>0</v>
      </c>
      <c r="BY50" s="19">
        <f>'Firm Retail'!L57/L50</f>
        <v>0</v>
      </c>
      <c r="BZ50" s="19">
        <f>'Firm Retail'!M57/M50</f>
        <v>0</v>
      </c>
    </row>
    <row r="51" spans="1:78" ht="15.75">
      <c r="A51" s="323">
        <f t="shared" ref="A51:A57" si="86">+A50+1</f>
        <v>2017</v>
      </c>
      <c r="B51" s="226">
        <v>3383</v>
      </c>
      <c r="C51" s="1">
        <v>3187</v>
      </c>
      <c r="D51" s="1">
        <v>3244</v>
      </c>
      <c r="E51" s="1">
        <v>4019</v>
      </c>
      <c r="F51" s="1">
        <v>4111</v>
      </c>
      <c r="G51" s="1">
        <v>4194</v>
      </c>
      <c r="H51" s="22">
        <v>4335</v>
      </c>
      <c r="I51" s="1">
        <v>4280</v>
      </c>
      <c r="J51" s="1">
        <v>4140</v>
      </c>
      <c r="K51" s="1">
        <v>3998</v>
      </c>
      <c r="L51" s="1">
        <v>3226</v>
      </c>
      <c r="M51" s="1">
        <v>3165</v>
      </c>
      <c r="N51"/>
      <c r="O51" s="26" t="s">
        <v>286</v>
      </c>
      <c r="P51" s="12">
        <f t="shared" si="59"/>
        <v>3383</v>
      </c>
      <c r="Q51" s="13">
        <f t="shared" si="60"/>
        <v>4335</v>
      </c>
      <c r="R51" s="12">
        <f t="shared" si="57"/>
        <v>3191</v>
      </c>
      <c r="S51" s="177">
        <f>MAX(B51:D51)</f>
        <v>3383</v>
      </c>
      <c r="T51" s="68"/>
      <c r="U51" s="374"/>
      <c r="V51" s="397"/>
      <c r="W51" s="423"/>
      <c r="X51" s="3">
        <f t="shared" si="54"/>
        <v>2017</v>
      </c>
      <c r="Y51" s="18">
        <f t="shared" si="62"/>
        <v>1</v>
      </c>
      <c r="Z51" s="19">
        <f t="shared" si="63"/>
        <v>0.94206325746378949</v>
      </c>
      <c r="AA51" s="19">
        <f t="shared" si="64"/>
        <v>0.9589122080993201</v>
      </c>
      <c r="AB51" s="18">
        <f t="shared" si="65"/>
        <v>0.92710495963091122</v>
      </c>
      <c r="AC51" s="19">
        <f t="shared" si="66"/>
        <v>0.94832756632064585</v>
      </c>
      <c r="AD51" s="19">
        <f t="shared" si="67"/>
        <v>0.96747404844290652</v>
      </c>
      <c r="AE51" s="19">
        <f t="shared" si="68"/>
        <v>1</v>
      </c>
      <c r="AF51" s="19">
        <f t="shared" si="69"/>
        <v>0.98731257208765855</v>
      </c>
      <c r="AG51" s="19">
        <f t="shared" si="70"/>
        <v>0.95501730103806226</v>
      </c>
      <c r="AH51" s="18">
        <f t="shared" si="71"/>
        <v>0.92933519293351929</v>
      </c>
      <c r="AI51" s="19">
        <f t="shared" si="72"/>
        <v>0.74988377498837755</v>
      </c>
      <c r="AJ51" s="178">
        <f t="shared" si="73"/>
        <v>0.73570432357043236</v>
      </c>
      <c r="AL51" s="3">
        <f t="shared" si="39"/>
        <v>2017</v>
      </c>
      <c r="AM51" s="9">
        <f t="shared" si="74"/>
        <v>-145</v>
      </c>
      <c r="AN51" s="3">
        <f t="shared" si="75"/>
        <v>-135</v>
      </c>
      <c r="AO51" s="3">
        <f t="shared" si="76"/>
        <v>-103</v>
      </c>
      <c r="AP51" s="3">
        <f t="shared" si="77"/>
        <v>289</v>
      </c>
      <c r="AQ51" s="3">
        <f t="shared" si="78"/>
        <v>338</v>
      </c>
      <c r="AR51" s="3">
        <f t="shared" si="79"/>
        <v>30</v>
      </c>
      <c r="AS51" s="3">
        <f t="shared" si="80"/>
        <v>-39</v>
      </c>
      <c r="AT51" s="3">
        <f t="shared" si="81"/>
        <v>-43</v>
      </c>
      <c r="AU51" s="3">
        <f t="shared" si="82"/>
        <v>117</v>
      </c>
      <c r="AV51" s="3">
        <f t="shared" si="83"/>
        <v>255</v>
      </c>
      <c r="AW51" s="3">
        <f t="shared" si="84"/>
        <v>114</v>
      </c>
      <c r="AX51" s="3">
        <f t="shared" si="85"/>
        <v>-26</v>
      </c>
      <c r="AZ51" s="3">
        <f t="shared" si="52"/>
        <v>2017</v>
      </c>
      <c r="BA51" s="18">
        <f>'Total Retail'!B51/B51</f>
        <v>0.92752568246427425</v>
      </c>
      <c r="BB51" s="19">
        <f>'Total Retail'!C51/C51</f>
        <v>0.93947986945200035</v>
      </c>
      <c r="BC51" s="19">
        <f>'Total Retail'!D51/D51</f>
        <v>0.94712421577534467</v>
      </c>
      <c r="BD51" s="19">
        <f>'Total Retail'!E51/E51</f>
        <v>0.95086258534421286</v>
      </c>
      <c r="BE51" s="19">
        <f>'Total Retail'!F51/F51</f>
        <v>0.94425436502762494</v>
      </c>
      <c r="BF51" s="19">
        <f>'Total Retail'!G51/G51</f>
        <v>0.95286072143415523</v>
      </c>
      <c r="BG51" s="19">
        <f>'Total Retail'!H51/H51</f>
        <v>0.9491420916273009</v>
      </c>
      <c r="BH51" s="19">
        <f>'Total Retail'!I51/I51</f>
        <v>0.95192036908573596</v>
      </c>
      <c r="BI51" s="19">
        <f>'Total Retail'!J51/J51</f>
        <v>0.95480074865915443</v>
      </c>
      <c r="BJ51" s="19">
        <f>'Total Retail'!K51/K51</f>
        <v>0.95499809314639095</v>
      </c>
      <c r="BK51" s="19">
        <f>'Total Retail'!L51/L51</f>
        <v>0.92187265723530099</v>
      </c>
      <c r="BL51" s="19">
        <f>'Total Retail'!M51/M51</f>
        <v>0.92883675818569666</v>
      </c>
      <c r="BM51" s="3"/>
      <c r="BN51" s="3">
        <f t="shared" si="53"/>
        <v>2017</v>
      </c>
      <c r="BO51" s="18" t="e">
        <f>'Firm Retail'!B59/B51</f>
        <v>#VALUE!</v>
      </c>
      <c r="BP51" s="19">
        <f>'Firm Retail'!C59/C51</f>
        <v>0</v>
      </c>
      <c r="BQ51" s="19">
        <f>'Firm Retail'!D59/D51</f>
        <v>0</v>
      </c>
      <c r="BR51" s="19">
        <f>'Firm Retail'!E59/E51</f>
        <v>0</v>
      </c>
      <c r="BS51" s="19">
        <f>'Firm Retail'!F59/F51</f>
        <v>0</v>
      </c>
      <c r="BT51" s="19">
        <f>'Firm Retail'!G59/G51</f>
        <v>0</v>
      </c>
      <c r="BU51" s="19">
        <f>'Firm Retail'!H59/H51</f>
        <v>0</v>
      </c>
      <c r="BV51" s="19">
        <f>'Firm Retail'!I59/I51</f>
        <v>0</v>
      </c>
      <c r="BW51" s="19">
        <f>'Firm Retail'!J59/J51</f>
        <v>0</v>
      </c>
      <c r="BX51" s="19">
        <f>'Firm Retail'!K59/K51</f>
        <v>0</v>
      </c>
      <c r="BY51" s="19">
        <f>'Firm Retail'!L59/L51</f>
        <v>0</v>
      </c>
      <c r="BZ51" s="19">
        <f>'Firm Retail'!M59/M51</f>
        <v>0</v>
      </c>
    </row>
    <row r="52" spans="1:78" ht="15.75">
      <c r="A52" s="323">
        <f t="shared" si="86"/>
        <v>2018</v>
      </c>
      <c r="B52" s="226">
        <v>4302</v>
      </c>
      <c r="C52" s="1">
        <v>3310</v>
      </c>
      <c r="D52" s="1">
        <v>3045</v>
      </c>
      <c r="E52" s="1">
        <v>3416</v>
      </c>
      <c r="F52" s="1">
        <v>3758</v>
      </c>
      <c r="G52" s="1">
        <v>4176</v>
      </c>
      <c r="H52" s="1">
        <v>4185</v>
      </c>
      <c r="I52" s="22">
        <v>4262</v>
      </c>
      <c r="J52" s="1">
        <v>4179</v>
      </c>
      <c r="K52" s="1">
        <v>4030</v>
      </c>
      <c r="L52" s="226">
        <v>3440</v>
      </c>
      <c r="M52" s="1">
        <v>3019</v>
      </c>
      <c r="N52"/>
      <c r="O52" s="26" t="s">
        <v>287</v>
      </c>
      <c r="P52" s="12">
        <f t="shared" si="59"/>
        <v>4302</v>
      </c>
      <c r="Q52" s="13">
        <f t="shared" si="60"/>
        <v>4262</v>
      </c>
      <c r="R52" s="12">
        <f t="shared" si="57"/>
        <v>3226</v>
      </c>
      <c r="S52" s="177">
        <f t="shared" si="58"/>
        <v>4302</v>
      </c>
      <c r="T52" s="68"/>
      <c r="U52" s="374"/>
      <c r="V52" s="397"/>
      <c r="W52" s="423"/>
      <c r="X52" s="3">
        <f t="shared" si="54"/>
        <v>2018</v>
      </c>
      <c r="Y52" s="18">
        <f t="shared" si="62"/>
        <v>1</v>
      </c>
      <c r="Z52" s="19">
        <f t="shared" si="63"/>
        <v>0.76940957694095768</v>
      </c>
      <c r="AA52" s="19">
        <f t="shared" si="64"/>
        <v>0.70781032078103212</v>
      </c>
      <c r="AB52" s="18">
        <f t="shared" si="65"/>
        <v>0.80150164242139843</v>
      </c>
      <c r="AC52" s="19">
        <f t="shared" si="66"/>
        <v>0.8817456593148757</v>
      </c>
      <c r="AD52" s="19">
        <f t="shared" si="67"/>
        <v>0.97982167996245895</v>
      </c>
      <c r="AE52" s="19">
        <f t="shared" si="68"/>
        <v>0.98193336461755043</v>
      </c>
      <c r="AF52" s="19">
        <f t="shared" si="69"/>
        <v>1</v>
      </c>
      <c r="AG52" s="19">
        <f t="shared" si="70"/>
        <v>0.98052557484748948</v>
      </c>
      <c r="AH52" s="18">
        <f t="shared" si="71"/>
        <v>1.1715116279069768</v>
      </c>
      <c r="AI52" s="19">
        <f t="shared" si="72"/>
        <v>1</v>
      </c>
      <c r="AJ52" s="178">
        <f t="shared" si="73"/>
        <v>0.87761627906976747</v>
      </c>
      <c r="AL52" s="3">
        <f t="shared" si="39"/>
        <v>2018</v>
      </c>
      <c r="AM52" s="9">
        <f t="shared" si="74"/>
        <v>919</v>
      </c>
      <c r="AN52" s="3">
        <f t="shared" si="75"/>
        <v>123</v>
      </c>
      <c r="AO52" s="3">
        <f t="shared" si="76"/>
        <v>-199</v>
      </c>
      <c r="AP52" s="3">
        <f t="shared" si="77"/>
        <v>-603</v>
      </c>
      <c r="AQ52" s="3">
        <f t="shared" si="78"/>
        <v>-353</v>
      </c>
      <c r="AR52" s="3">
        <f t="shared" si="79"/>
        <v>-18</v>
      </c>
      <c r="AS52" s="3">
        <f t="shared" si="80"/>
        <v>-150</v>
      </c>
      <c r="AT52" s="3">
        <f t="shared" si="81"/>
        <v>-18</v>
      </c>
      <c r="AU52" s="3">
        <f t="shared" si="82"/>
        <v>39</v>
      </c>
      <c r="AV52" s="3">
        <f t="shared" si="83"/>
        <v>32</v>
      </c>
      <c r="AW52" s="3">
        <f t="shared" si="84"/>
        <v>214</v>
      </c>
      <c r="AX52" s="3">
        <f t="shared" si="85"/>
        <v>-146</v>
      </c>
      <c r="AZ52" s="3">
        <f t="shared" si="52"/>
        <v>2018</v>
      </c>
      <c r="BA52" s="18">
        <f>'Total Retail'!B52/B52</f>
        <v>0.94005251585769212</v>
      </c>
      <c r="BB52" s="19">
        <f>'Total Retail'!C52/C52</f>
        <v>0.94269774644799853</v>
      </c>
      <c r="BC52" s="19">
        <f>'Total Retail'!D52/D52</f>
        <v>0.94623212801908363</v>
      </c>
      <c r="BD52" s="19">
        <f>'Total Retail'!E52/E52</f>
        <v>0.95649911256867692</v>
      </c>
      <c r="BE52" s="19">
        <f>'Total Retail'!F52/F52</f>
        <v>0.9596964581567714</v>
      </c>
      <c r="BF52" s="19">
        <f>'Total Retail'!G52/G52</f>
        <v>0.94723706268774088</v>
      </c>
      <c r="BG52" s="19">
        <f>'Total Retail'!H52/H52</f>
        <v>0.94515757564917269</v>
      </c>
      <c r="BH52" s="19">
        <f>'Total Retail'!I52/I52</f>
        <v>0.94711954991345071</v>
      </c>
      <c r="BI52" s="19">
        <f>'Total Retail'!J52/J52</f>
        <v>0.96212456598738705</v>
      </c>
      <c r="BJ52" s="19">
        <f>'Total Retail'!K52/K52</f>
        <v>0.96198950036188291</v>
      </c>
      <c r="BK52" s="19">
        <f>'Total Retail'!L52/L52</f>
        <v>0.95123141506320874</v>
      </c>
      <c r="BL52" s="19">
        <f>'Total Retail'!M52/M52</f>
        <v>0.95739918648896816</v>
      </c>
      <c r="BM52" s="3"/>
      <c r="BN52" s="3">
        <f t="shared" si="53"/>
        <v>2018</v>
      </c>
      <c r="BO52" s="18">
        <f>'Firm Retail'!B60/B52</f>
        <v>0</v>
      </c>
      <c r="BP52" s="19">
        <f>'Firm Retail'!C60/C52</f>
        <v>0</v>
      </c>
      <c r="BQ52" s="19">
        <f>'Firm Retail'!D60/D52</f>
        <v>0</v>
      </c>
      <c r="BR52" s="19">
        <f>'Firm Retail'!E60/E52</f>
        <v>0</v>
      </c>
      <c r="BS52" s="19">
        <f>'Firm Retail'!F60/F52</f>
        <v>0</v>
      </c>
      <c r="BT52" s="19">
        <f>'Firm Retail'!G60/G52</f>
        <v>0</v>
      </c>
      <c r="BU52" s="19">
        <f>'Firm Retail'!H60/H52</f>
        <v>0</v>
      </c>
      <c r="BV52" s="19">
        <f>'Firm Retail'!I60/I52</f>
        <v>0</v>
      </c>
      <c r="BW52" s="19">
        <f>'Firm Retail'!J60/J52</f>
        <v>0</v>
      </c>
      <c r="BX52" s="19">
        <f>'Firm Retail'!K60/K52</f>
        <v>0</v>
      </c>
      <c r="BY52" s="19">
        <f>'Firm Retail'!L60/L52</f>
        <v>0</v>
      </c>
      <c r="BZ52" s="19">
        <f>'Firm Retail'!M60/M52</f>
        <v>0</v>
      </c>
    </row>
    <row r="53" spans="1:78" ht="15.75">
      <c r="A53" s="323">
        <f t="shared" si="86"/>
        <v>2019</v>
      </c>
      <c r="B53" s="1">
        <v>3232</v>
      </c>
      <c r="C53" s="1">
        <v>3232</v>
      </c>
      <c r="D53" s="1">
        <v>3239</v>
      </c>
      <c r="E53" s="1">
        <v>3635</v>
      </c>
      <c r="F53" s="1">
        <v>4318</v>
      </c>
      <c r="G53" s="1">
        <v>4428</v>
      </c>
      <c r="H53" s="1">
        <v>4216</v>
      </c>
      <c r="I53" s="1">
        <v>4245</v>
      </c>
      <c r="J53" s="1">
        <v>4241</v>
      </c>
      <c r="K53" s="1">
        <v>3795</v>
      </c>
      <c r="L53" s="1">
        <v>3434</v>
      </c>
      <c r="M53" s="1">
        <v>2900</v>
      </c>
      <c r="N53"/>
      <c r="O53" s="26" t="s">
        <v>288</v>
      </c>
      <c r="P53" s="270">
        <f t="shared" si="59"/>
        <v>3440</v>
      </c>
      <c r="Q53" s="13">
        <f t="shared" si="60"/>
        <v>4428</v>
      </c>
      <c r="R53" s="12">
        <f t="shared" si="57"/>
        <v>3440</v>
      </c>
      <c r="S53" s="177">
        <f t="shared" si="58"/>
        <v>3239</v>
      </c>
      <c r="T53" s="68"/>
      <c r="U53" s="374"/>
      <c r="V53" s="397"/>
      <c r="W53" s="423"/>
      <c r="X53" s="3">
        <f t="shared" si="54"/>
        <v>2019</v>
      </c>
      <c r="Y53" s="18">
        <f t="shared" si="62"/>
        <v>0.93953488372093019</v>
      </c>
      <c r="Z53" s="19">
        <f t="shared" si="63"/>
        <v>0.93953488372093019</v>
      </c>
      <c r="AA53" s="19">
        <f t="shared" si="64"/>
        <v>0.94156976744186049</v>
      </c>
      <c r="AB53" s="18">
        <f t="shared" si="65"/>
        <v>0.82091237579042453</v>
      </c>
      <c r="AC53" s="19">
        <f t="shared" si="66"/>
        <v>0.97515808491418243</v>
      </c>
      <c r="AD53" s="19">
        <f t="shared" si="67"/>
        <v>1</v>
      </c>
      <c r="AE53" s="19">
        <f t="shared" si="68"/>
        <v>0.95212285456187895</v>
      </c>
      <c r="AF53" s="19">
        <f t="shared" si="69"/>
        <v>0.95867208672086723</v>
      </c>
      <c r="AG53" s="19">
        <f t="shared" si="70"/>
        <v>0.95776874435411019</v>
      </c>
      <c r="AH53" s="18">
        <f t="shared" si="71"/>
        <v>1.03125</v>
      </c>
      <c r="AI53" s="19">
        <f t="shared" si="72"/>
        <v>0.9331521739130435</v>
      </c>
      <c r="AJ53" s="178">
        <f t="shared" si="73"/>
        <v>0.78804347826086951</v>
      </c>
      <c r="AL53" s="3">
        <f t="shared" si="39"/>
        <v>2019</v>
      </c>
      <c r="AM53" s="9">
        <f t="shared" si="74"/>
        <v>-1070</v>
      </c>
      <c r="AN53" s="3">
        <f t="shared" si="75"/>
        <v>-78</v>
      </c>
      <c r="AO53" s="3">
        <f t="shared" si="76"/>
        <v>194</v>
      </c>
      <c r="AP53" s="3">
        <f t="shared" si="77"/>
        <v>219</v>
      </c>
      <c r="AQ53" s="3">
        <f t="shared" si="78"/>
        <v>560</v>
      </c>
      <c r="AR53" s="3">
        <f t="shared" si="79"/>
        <v>252</v>
      </c>
      <c r="AS53" s="3">
        <f t="shared" si="80"/>
        <v>31</v>
      </c>
      <c r="AT53" s="3">
        <f t="shared" si="81"/>
        <v>-17</v>
      </c>
      <c r="AU53" s="3">
        <f t="shared" si="82"/>
        <v>62</v>
      </c>
      <c r="AV53" s="3">
        <f t="shared" si="83"/>
        <v>-235</v>
      </c>
      <c r="AW53" s="3">
        <f t="shared" si="84"/>
        <v>-6</v>
      </c>
      <c r="AX53" s="3">
        <f t="shared" si="85"/>
        <v>-119</v>
      </c>
      <c r="AZ53" s="3">
        <f t="shared" si="52"/>
        <v>2019</v>
      </c>
      <c r="BA53" s="18">
        <f>'Total Retail'!B53/B53</f>
        <v>0.9563982935578228</v>
      </c>
      <c r="BB53" s="19">
        <f>'Total Retail'!C53/C53</f>
        <v>0.95739148278600217</v>
      </c>
      <c r="BC53" s="19">
        <f>'Total Retail'!D53/D53</f>
        <v>0.96589788278167665</v>
      </c>
      <c r="BD53" s="19">
        <f>'Total Retail'!E53/E53</f>
        <v>0.96415416207962357</v>
      </c>
      <c r="BE53" s="19">
        <f>'Total Retail'!F53/F53</f>
        <v>0.96172844454782735</v>
      </c>
      <c r="BF53" s="19">
        <f>'Total Retail'!G53/G53</f>
        <v>0.97070145492857296</v>
      </c>
      <c r="BG53" s="19">
        <f>'Total Retail'!H53/H53</f>
        <v>0.96611941752572761</v>
      </c>
      <c r="BH53" s="19">
        <f>'Total Retail'!I53/I53</f>
        <v>0.96850787560788754</v>
      </c>
      <c r="BI53" s="19">
        <f>'Total Retail'!J53/J53</f>
        <v>0.96704365322755581</v>
      </c>
      <c r="BJ53" s="19">
        <f>'Total Retail'!K53/K53</f>
        <v>0.96757946134812634</v>
      </c>
      <c r="BK53" s="19">
        <f>'Total Retail'!L53/L53</f>
        <v>0.96365342401726217</v>
      </c>
      <c r="BL53" s="19">
        <f>'Total Retail'!M53/M53</f>
        <v>0.95341043469207043</v>
      </c>
      <c r="BM53" s="3"/>
      <c r="BN53" s="3">
        <f t="shared" si="53"/>
        <v>2019</v>
      </c>
      <c r="BO53" s="18" t="e">
        <f>'Firm Retail'!B61/B53</f>
        <v>#VALUE!</v>
      </c>
      <c r="BP53" s="19" t="e">
        <f>'Firm Retail'!C61/C53</f>
        <v>#VALUE!</v>
      </c>
      <c r="BQ53" s="19" t="e">
        <f>'Firm Retail'!D61/D53</f>
        <v>#VALUE!</v>
      </c>
      <c r="BR53" s="19" t="e">
        <f>'Firm Retail'!E61/E53</f>
        <v>#VALUE!</v>
      </c>
      <c r="BS53" s="19" t="e">
        <f>'Firm Retail'!F61/F53</f>
        <v>#VALUE!</v>
      </c>
      <c r="BT53" s="19" t="e">
        <f>'Firm Retail'!G61/G53</f>
        <v>#VALUE!</v>
      </c>
      <c r="BU53" s="19" t="e">
        <f>'Firm Retail'!H61/H53</f>
        <v>#VALUE!</v>
      </c>
      <c r="BV53" s="19" t="e">
        <f>'Firm Retail'!I61/I53</f>
        <v>#VALUE!</v>
      </c>
      <c r="BW53" s="19" t="e">
        <f>'Firm Retail'!J61/J53</f>
        <v>#VALUE!</v>
      </c>
      <c r="BX53" s="19" t="e">
        <f>'Firm Retail'!K61/K53</f>
        <v>#VALUE!</v>
      </c>
      <c r="BY53" s="19" t="e">
        <f>'Firm Retail'!L61/L53</f>
        <v>#VALUE!</v>
      </c>
      <c r="BZ53" s="19" t="e">
        <f>'Firm Retail'!M61/M53</f>
        <v>#VALUE!</v>
      </c>
    </row>
    <row r="54" spans="1:78" ht="16.5" thickBot="1">
      <c r="A54" s="323">
        <f t="shared" si="86"/>
        <v>2020</v>
      </c>
      <c r="B54" s="226">
        <v>3680</v>
      </c>
      <c r="C54" s="1">
        <v>3072</v>
      </c>
      <c r="D54" s="1">
        <v>3665</v>
      </c>
      <c r="E54" s="1">
        <v>3681</v>
      </c>
      <c r="F54" s="1">
        <v>4005</v>
      </c>
      <c r="G54" s="1">
        <v>4369</v>
      </c>
      <c r="H54" s="1">
        <v>4261</v>
      </c>
      <c r="I54" s="1">
        <v>4363</v>
      </c>
      <c r="J54" s="1">
        <v>4380</v>
      </c>
      <c r="K54" s="1">
        <v>3997</v>
      </c>
      <c r="L54" s="1">
        <v>3395</v>
      </c>
      <c r="M54" s="1">
        <v>3137</v>
      </c>
      <c r="N54"/>
      <c r="O54" s="26" t="str">
        <f>A53&amp;"/"&amp;RIGHT(A54,2)</f>
        <v>2019/20</v>
      </c>
      <c r="P54" s="227">
        <f t="shared" si="59"/>
        <v>3680</v>
      </c>
      <c r="Q54" s="13">
        <f t="shared" si="60"/>
        <v>4380</v>
      </c>
      <c r="R54" s="12">
        <f t="shared" si="57"/>
        <v>3434</v>
      </c>
      <c r="S54" s="177">
        <f t="shared" si="58"/>
        <v>3680</v>
      </c>
      <c r="T54" s="68"/>
      <c r="U54" s="374"/>
      <c r="V54" s="397"/>
      <c r="W54" s="423"/>
      <c r="X54" s="3">
        <f t="shared" si="54"/>
        <v>2020</v>
      </c>
      <c r="Y54" s="18"/>
      <c r="Z54" s="19"/>
      <c r="AA54" s="19">
        <f t="shared" si="64"/>
        <v>0.99592391304347827</v>
      </c>
      <c r="AB54" s="18"/>
      <c r="AC54" s="19"/>
      <c r="AD54" s="19"/>
      <c r="AE54" s="19"/>
      <c r="AF54" s="19"/>
      <c r="AG54" s="19"/>
      <c r="AH54" s="18"/>
      <c r="AI54" s="19"/>
      <c r="AJ54" s="178"/>
      <c r="AL54" s="3">
        <f t="shared" si="39"/>
        <v>2020</v>
      </c>
      <c r="AM54" s="9">
        <f t="shared" si="74"/>
        <v>448</v>
      </c>
      <c r="AN54" s="3">
        <f t="shared" si="75"/>
        <v>-160</v>
      </c>
      <c r="AO54" s="3"/>
      <c r="AP54" s="3"/>
      <c r="AQ54" s="3"/>
      <c r="AR54" s="3"/>
      <c r="AS54" s="3"/>
      <c r="AT54" s="3"/>
      <c r="AU54" s="3"/>
      <c r="AV54" s="3"/>
      <c r="AW54" s="3"/>
      <c r="AX54" s="3"/>
      <c r="AZ54" s="3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3"/>
      <c r="BN54" s="3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</row>
    <row r="55" spans="1:78" ht="16.5" thickBot="1">
      <c r="A55" s="323">
        <f t="shared" si="86"/>
        <v>2021</v>
      </c>
      <c r="B55" s="1">
        <v>3054</v>
      </c>
      <c r="C55" s="1">
        <v>3547</v>
      </c>
      <c r="D55" s="402">
        <v>3590</v>
      </c>
      <c r="E55" s="1">
        <v>3761</v>
      </c>
      <c r="F55" s="1">
        <v>4206</v>
      </c>
      <c r="G55" s="1">
        <v>4180</v>
      </c>
      <c r="H55" s="1">
        <v>4325</v>
      </c>
      <c r="I55" s="198">
        <v>4514</v>
      </c>
      <c r="J55" s="1">
        <v>4134</v>
      </c>
      <c r="K55" s="1">
        <v>4074</v>
      </c>
      <c r="L55" s="1">
        <v>3029</v>
      </c>
      <c r="M55" s="1">
        <v>3041</v>
      </c>
      <c r="N55"/>
      <c r="O55" s="26" t="str">
        <f>A54&amp;"/"&amp;RIGHT(A55,2)</f>
        <v>2020/21</v>
      </c>
      <c r="P55" s="227">
        <f t="shared" si="59"/>
        <v>3590</v>
      </c>
      <c r="Q55" s="263">
        <f t="shared" si="60"/>
        <v>4514</v>
      </c>
      <c r="R55" s="12">
        <f t="shared" si="57"/>
        <v>3395</v>
      </c>
      <c r="S55" s="177">
        <f t="shared" si="58"/>
        <v>3590</v>
      </c>
      <c r="T55" s="68"/>
      <c r="U55" s="374"/>
      <c r="V55" s="397"/>
      <c r="W55" s="423"/>
      <c r="X55" s="3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Z55" s="3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3"/>
      <c r="BN55" s="3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</row>
    <row r="56" spans="1:78" ht="15.75">
      <c r="A56" s="323">
        <f t="shared" si="86"/>
        <v>2022</v>
      </c>
      <c r="B56" s="402">
        <v>3893</v>
      </c>
      <c r="C56" s="374">
        <v>3155</v>
      </c>
      <c r="D56" s="1">
        <v>3505</v>
      </c>
      <c r="E56" s="1">
        <v>3654</v>
      </c>
      <c r="F56" s="1">
        <v>4101</v>
      </c>
      <c r="G56" s="22">
        <v>4501</v>
      </c>
      <c r="H56" s="1">
        <v>4480</v>
      </c>
      <c r="I56" s="1">
        <v>4490</v>
      </c>
      <c r="J56" s="1">
        <v>4321</v>
      </c>
      <c r="K56" s="1">
        <v>3684</v>
      </c>
      <c r="L56" s="1">
        <v>3730</v>
      </c>
      <c r="M56" s="1">
        <v>3680</v>
      </c>
      <c r="N56"/>
      <c r="O56" s="26" t="str">
        <f>A55&amp;"/"&amp;RIGHT(A56,2)</f>
        <v>2021/22</v>
      </c>
      <c r="P56" s="227">
        <f>MAX(R56:S56)</f>
        <v>3893</v>
      </c>
      <c r="Q56" s="13">
        <f t="shared" si="60"/>
        <v>4501</v>
      </c>
      <c r="R56" s="12">
        <f>MAX(L55:M55)</f>
        <v>3041</v>
      </c>
      <c r="S56" s="401">
        <f>MAX(B56:D56)</f>
        <v>3893</v>
      </c>
      <c r="T56" s="68"/>
      <c r="U56" s="374"/>
      <c r="V56" s="397"/>
      <c r="W56" s="423"/>
      <c r="X56" s="3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Z56" s="3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3"/>
      <c r="BN56" s="3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</row>
    <row r="57" spans="1:78" ht="15.75">
      <c r="A57" s="323">
        <f t="shared" si="86"/>
        <v>2023</v>
      </c>
      <c r="B57" s="402">
        <v>3457</v>
      </c>
      <c r="C57" s="374">
        <v>3393</v>
      </c>
      <c r="D57" s="1">
        <v>3689</v>
      </c>
      <c r="E57" s="1">
        <v>3777</v>
      </c>
      <c r="G57" s="22"/>
      <c r="N57"/>
      <c r="O57" s="26" t="str">
        <f>A56&amp;"/"&amp;RIGHT(A57,2)</f>
        <v>2022/23</v>
      </c>
      <c r="P57" s="227">
        <f>MAX(R57:S57)</f>
        <v>3730</v>
      </c>
      <c r="Q57" s="13">
        <f t="shared" ref="Q57" si="87">MAX(E57:J57)</f>
        <v>3777</v>
      </c>
      <c r="R57" s="12">
        <f>MAX(L56:M56)</f>
        <v>3730</v>
      </c>
      <c r="S57" s="401">
        <f>MAX(B57:D57)</f>
        <v>3689</v>
      </c>
      <c r="T57" s="68"/>
      <c r="U57" s="374"/>
      <c r="V57" s="397"/>
      <c r="X57" s="3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Z57" s="3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3"/>
      <c r="BN57" s="3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</row>
    <row r="58" spans="1:78">
      <c r="A58" s="179"/>
      <c r="I58" s="286"/>
      <c r="N58"/>
      <c r="O58" s="89"/>
      <c r="P58" s="13"/>
      <c r="Q58" s="13"/>
      <c r="R58" s="13"/>
      <c r="S58" s="13"/>
      <c r="X58" s="3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Z58" s="3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3"/>
      <c r="BN58" s="3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</row>
    <row r="59" spans="1:78" ht="44.25" customHeight="1">
      <c r="A59" s="5" t="s">
        <v>290</v>
      </c>
      <c r="N59"/>
      <c r="O59" s="450" t="s">
        <v>246</v>
      </c>
      <c r="P59" s="450"/>
      <c r="Q59" s="450"/>
      <c r="X59" s="3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Z59" s="3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3"/>
      <c r="BN59" s="3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</row>
    <row r="60" spans="1:78" ht="27" customHeight="1" thickBot="1">
      <c r="B60" s="225" t="s">
        <v>242</v>
      </c>
      <c r="G60" s="225" t="s">
        <v>243</v>
      </c>
      <c r="N60"/>
      <c r="O60" s="450"/>
      <c r="P60" s="450"/>
      <c r="Q60" s="450"/>
      <c r="X60" s="3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Z60" s="3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3"/>
      <c r="BN60" s="3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</row>
    <row r="61" spans="1:78" ht="27" thickBot="1">
      <c r="B61" s="90" t="str">
        <f>B6</f>
        <v>JAN</v>
      </c>
      <c r="C61" s="90" t="str">
        <f t="shared" ref="C61:M61" si="88">C6</f>
        <v>FEB</v>
      </c>
      <c r="D61" s="90" t="str">
        <f t="shared" si="88"/>
        <v>MAR</v>
      </c>
      <c r="E61" s="90" t="str">
        <f t="shared" si="88"/>
        <v>APR</v>
      </c>
      <c r="F61" s="90" t="str">
        <f t="shared" si="88"/>
        <v>MAY</v>
      </c>
      <c r="G61" s="90" t="str">
        <f t="shared" si="88"/>
        <v>JUN</v>
      </c>
      <c r="H61" s="90" t="str">
        <f t="shared" si="88"/>
        <v>JUL</v>
      </c>
      <c r="I61" s="90" t="str">
        <f t="shared" si="88"/>
        <v>AUG</v>
      </c>
      <c r="J61" s="90" t="str">
        <f t="shared" si="88"/>
        <v>SEP</v>
      </c>
      <c r="K61" s="90" t="str">
        <f t="shared" si="88"/>
        <v>OCT</v>
      </c>
      <c r="L61" s="90" t="str">
        <f t="shared" si="88"/>
        <v>NOV</v>
      </c>
      <c r="M61" s="90" t="str">
        <f t="shared" si="88"/>
        <v>DEC</v>
      </c>
      <c r="N61"/>
      <c r="O61" s="425"/>
      <c r="P61" s="426" t="s">
        <v>84</v>
      </c>
      <c r="Q61" s="427" t="s">
        <v>85</v>
      </c>
    </row>
    <row r="62" spans="1:78" ht="16.5" thickBot="1">
      <c r="A62" s="180" t="s">
        <v>52</v>
      </c>
      <c r="B62" s="264">
        <f>MAX(B7:B56)</f>
        <v>4760</v>
      </c>
      <c r="C62" s="265">
        <f t="shared" ref="C62:M62" si="89">MAX(C7:C56)</f>
        <v>4224</v>
      </c>
      <c r="D62" s="265">
        <f t="shared" si="89"/>
        <v>3665</v>
      </c>
      <c r="E62" s="265">
        <f t="shared" si="89"/>
        <v>4019</v>
      </c>
      <c r="F62" s="265">
        <f t="shared" si="89"/>
        <v>4318</v>
      </c>
      <c r="G62" s="265">
        <f t="shared" si="89"/>
        <v>4501</v>
      </c>
      <c r="H62" s="265">
        <f t="shared" si="89"/>
        <v>4480</v>
      </c>
      <c r="I62" s="264">
        <f t="shared" si="89"/>
        <v>4514</v>
      </c>
      <c r="J62" s="265">
        <f t="shared" si="89"/>
        <v>4380</v>
      </c>
      <c r="K62" s="265">
        <f t="shared" si="89"/>
        <v>4074</v>
      </c>
      <c r="L62" s="265">
        <f t="shared" si="89"/>
        <v>3730</v>
      </c>
      <c r="M62" s="265">
        <f t="shared" si="89"/>
        <v>4319</v>
      </c>
      <c r="N62"/>
      <c r="O62" s="186" t="str">
        <f>A62</f>
        <v>MAX</v>
      </c>
      <c r="P62" s="405">
        <f>MAX(P7:P57)</f>
        <v>4760</v>
      </c>
      <c r="Q62" s="406">
        <f>MAX(Q7:Q56)</f>
        <v>4514</v>
      </c>
      <c r="R62" s="3"/>
      <c r="S62" s="3"/>
      <c r="T62" s="3"/>
      <c r="U62" s="3"/>
      <c r="V62" s="3"/>
      <c r="W62" s="3"/>
      <c r="X62" s="10" t="s">
        <v>52</v>
      </c>
      <c r="Y62" s="19">
        <f>MAX(Y8:Y48)</f>
        <v>1</v>
      </c>
      <c r="Z62" s="19">
        <f>MAX(Z8:Z48)</f>
        <v>1</v>
      </c>
      <c r="AA62" s="19">
        <f>MAX(AA8:AA48)</f>
        <v>1</v>
      </c>
      <c r="AB62" s="19">
        <f t="shared" ref="AB62:AG62" si="90">MAX(AB8:AB51)</f>
        <v>0.93975903614457834</v>
      </c>
      <c r="AC62" s="19">
        <f t="shared" si="90"/>
        <v>0.98421052631578942</v>
      </c>
      <c r="AD62" s="19">
        <f t="shared" si="90"/>
        <v>1</v>
      </c>
      <c r="AE62" s="19">
        <f t="shared" si="90"/>
        <v>1</v>
      </c>
      <c r="AF62" s="19">
        <f t="shared" si="90"/>
        <v>1</v>
      </c>
      <c r="AG62" s="19">
        <f t="shared" si="90"/>
        <v>1</v>
      </c>
      <c r="AH62" s="19">
        <f>MAX(AH8:AH48)</f>
        <v>1.07939727615184</v>
      </c>
      <c r="AI62" s="19">
        <f>MAX(AI8:AI48)</f>
        <v>0.92472818511290777</v>
      </c>
      <c r="AJ62" s="19">
        <f>MAX(AJ8:AJ48)</f>
        <v>1</v>
      </c>
      <c r="AK62" s="3"/>
      <c r="AL62" s="10" t="s">
        <v>52</v>
      </c>
      <c r="AM62" s="28">
        <f>MAX(AM8:AM48)</f>
        <v>823</v>
      </c>
      <c r="AN62" s="28">
        <f t="shared" ref="AN62:AX62" si="91">MAX(AN8:AN48)</f>
        <v>1021</v>
      </c>
      <c r="AO62" s="28">
        <f t="shared" si="91"/>
        <v>639</v>
      </c>
      <c r="AP62" s="28">
        <f t="shared" si="91"/>
        <v>467</v>
      </c>
      <c r="AQ62" s="28">
        <f t="shared" si="91"/>
        <v>331</v>
      </c>
      <c r="AR62" s="28">
        <f t="shared" si="91"/>
        <v>380</v>
      </c>
      <c r="AS62" s="28">
        <f t="shared" si="91"/>
        <v>445</v>
      </c>
      <c r="AT62" s="28">
        <f t="shared" si="91"/>
        <v>333</v>
      </c>
      <c r="AU62" s="28">
        <f t="shared" si="91"/>
        <v>348</v>
      </c>
      <c r="AV62" s="28">
        <f t="shared" si="91"/>
        <v>467</v>
      </c>
      <c r="AW62" s="28">
        <f t="shared" si="91"/>
        <v>474</v>
      </c>
      <c r="AX62" s="28">
        <f t="shared" si="91"/>
        <v>1316</v>
      </c>
      <c r="AY62" s="3"/>
      <c r="AZ62" s="10" t="s">
        <v>52</v>
      </c>
      <c r="BA62" s="19">
        <f>MAX(BA8:BA48)</f>
        <v>0.98611512872432749</v>
      </c>
      <c r="BB62" s="19">
        <f t="shared" ref="BB62:BL62" si="92">MAX(BB8:BB48)</f>
        <v>0.96255447483147138</v>
      </c>
      <c r="BC62" s="19">
        <f t="shared" si="92"/>
        <v>1.0639580304875844</v>
      </c>
      <c r="BD62" s="19">
        <f t="shared" si="92"/>
        <v>0.99126050420168066</v>
      </c>
      <c r="BE62" s="19">
        <f t="shared" si="92"/>
        <v>0.96631695196024292</v>
      </c>
      <c r="BF62" s="19">
        <f t="shared" si="92"/>
        <v>0.96562700653039168</v>
      </c>
      <c r="BG62" s="19">
        <f t="shared" si="92"/>
        <v>0.96680256260920205</v>
      </c>
      <c r="BH62" s="19">
        <f t="shared" si="92"/>
        <v>0.97682502896871382</v>
      </c>
      <c r="BI62" s="19">
        <f t="shared" si="92"/>
        <v>0.96068075117370888</v>
      </c>
      <c r="BJ62" s="19">
        <f t="shared" si="92"/>
        <v>0.96273885350318467</v>
      </c>
      <c r="BK62" s="19">
        <f t="shared" si="92"/>
        <v>0.96586646661665421</v>
      </c>
      <c r="BL62" s="19">
        <f t="shared" si="92"/>
        <v>0.98188355464759958</v>
      </c>
      <c r="BM62" s="3"/>
      <c r="BN62" s="10" t="s">
        <v>52</v>
      </c>
      <c r="BO62" s="19">
        <f>MAX(BO15:BO48)</f>
        <v>0.8919901985162455</v>
      </c>
      <c r="BP62" s="19">
        <f t="shared" ref="BP62:BZ62" si="93">MAX(BP15:BP48)</f>
        <v>0.90702179176755449</v>
      </c>
      <c r="BQ62" s="19">
        <f t="shared" si="93"/>
        <v>0.96979323114626437</v>
      </c>
      <c r="BR62" s="19">
        <f t="shared" si="93"/>
        <v>0.89829561329980445</v>
      </c>
      <c r="BS62" s="19">
        <f t="shared" si="93"/>
        <v>0.8900969465523686</v>
      </c>
      <c r="BT62" s="19">
        <f t="shared" si="93"/>
        <v>0.90804020100502514</v>
      </c>
      <c r="BU62" s="19">
        <f t="shared" si="93"/>
        <v>0.9020918070889018</v>
      </c>
      <c r="BV62" s="19">
        <f t="shared" si="93"/>
        <v>0.90128398566823953</v>
      </c>
      <c r="BW62" s="19">
        <f t="shared" si="93"/>
        <v>0.90407262021589796</v>
      </c>
      <c r="BX62" s="19">
        <f t="shared" si="93"/>
        <v>0.88867456599614214</v>
      </c>
      <c r="BY62" s="19">
        <f t="shared" si="93"/>
        <v>0.88197098529259887</v>
      </c>
      <c r="BZ62" s="19">
        <f t="shared" si="93"/>
        <v>0.94599542334096109</v>
      </c>
    </row>
    <row r="63" spans="1:78" ht="15.75">
      <c r="A63" s="180" t="s">
        <v>53</v>
      </c>
      <c r="B63" s="265">
        <f>MIN(B7:B56)</f>
        <v>1240</v>
      </c>
      <c r="C63" s="265">
        <f t="shared" ref="C63:M63" si="94">MIN(C7:C56)</f>
        <v>1355</v>
      </c>
      <c r="D63" s="265">
        <f t="shared" si="94"/>
        <v>1245</v>
      </c>
      <c r="E63" s="265">
        <f t="shared" si="94"/>
        <v>1190</v>
      </c>
      <c r="F63" s="265">
        <f t="shared" si="94"/>
        <v>1455</v>
      </c>
      <c r="G63" s="265">
        <f t="shared" si="94"/>
        <v>1485</v>
      </c>
      <c r="H63" s="265">
        <f t="shared" si="94"/>
        <v>1470</v>
      </c>
      <c r="I63" s="265">
        <f t="shared" si="94"/>
        <v>1535</v>
      </c>
      <c r="J63" s="265">
        <f t="shared" si="94"/>
        <v>1543</v>
      </c>
      <c r="K63" s="265">
        <f t="shared" si="94"/>
        <v>1395</v>
      </c>
      <c r="L63" s="265">
        <f t="shared" si="94"/>
        <v>1328</v>
      </c>
      <c r="M63" s="265">
        <f t="shared" si="94"/>
        <v>1450</v>
      </c>
      <c r="N63"/>
      <c r="O63" s="186" t="str">
        <f>A63</f>
        <v>MIN</v>
      </c>
      <c r="P63" s="185">
        <f>MIN(P7:P57)</f>
        <v>1450</v>
      </c>
      <c r="Q63" s="187">
        <f>MIN(Q7:Q56)</f>
        <v>1543</v>
      </c>
      <c r="R63" s="3"/>
      <c r="S63" s="3"/>
      <c r="T63" s="3"/>
      <c r="U63" s="3"/>
      <c r="V63" s="3"/>
      <c r="W63" s="3"/>
      <c r="X63" s="10" t="s">
        <v>53</v>
      </c>
      <c r="Y63" s="19">
        <f>MIN(Y8:Y48)</f>
        <v>0.75457875457875456</v>
      </c>
      <c r="Z63" s="19">
        <f>MIN(Z8:Z48)</f>
        <v>0.64489795918367343</v>
      </c>
      <c r="AA63" s="19">
        <f>MIN(AA8:AA48)</f>
        <v>0.64899282241259548</v>
      </c>
      <c r="AB63" s="19">
        <f t="shared" ref="AB63:AG63" si="95">MIN(AB8:AB51)</f>
        <v>0.70349967595592999</v>
      </c>
      <c r="AC63" s="19">
        <f t="shared" si="95"/>
        <v>0.80330524951393389</v>
      </c>
      <c r="AD63" s="19">
        <f t="shared" si="95"/>
        <v>0.91402714932126694</v>
      </c>
      <c r="AE63" s="19">
        <f t="shared" si="95"/>
        <v>0.91159135559921411</v>
      </c>
      <c r="AF63" s="19">
        <f t="shared" si="95"/>
        <v>0.91355599214145378</v>
      </c>
      <c r="AG63" s="19">
        <f t="shared" si="95"/>
        <v>0.90962671905697445</v>
      </c>
      <c r="AH63" s="19">
        <f>MIN(AH8:AH48)</f>
        <v>0.69338677354709422</v>
      </c>
      <c r="AI63" s="19">
        <f>MIN(AI8:AI48)</f>
        <v>0.6412825651302605</v>
      </c>
      <c r="AJ63" s="19">
        <f>MIN(AJ8:AJ48)</f>
        <v>0.63088235294117645</v>
      </c>
      <c r="AK63" s="3"/>
      <c r="AL63" s="10" t="s">
        <v>53</v>
      </c>
      <c r="AM63" s="28">
        <f>MIN(AM8:AM48)</f>
        <v>-1041</v>
      </c>
      <c r="AN63" s="28">
        <f t="shared" ref="AN63:AX63" si="96">MIN(AN8:AN48)</f>
        <v>-1122</v>
      </c>
      <c r="AO63" s="28">
        <f t="shared" si="96"/>
        <v>-752</v>
      </c>
      <c r="AP63" s="28">
        <f t="shared" si="96"/>
        <v>-262</v>
      </c>
      <c r="AQ63" s="28">
        <f t="shared" si="96"/>
        <v>-203</v>
      </c>
      <c r="AR63" s="28">
        <f t="shared" si="96"/>
        <v>-285</v>
      </c>
      <c r="AS63" s="28">
        <f t="shared" si="96"/>
        <v>-175</v>
      </c>
      <c r="AT63" s="28">
        <f t="shared" si="96"/>
        <v>-273</v>
      </c>
      <c r="AU63" s="28">
        <f t="shared" si="96"/>
        <v>-134</v>
      </c>
      <c r="AV63" s="28">
        <f t="shared" si="96"/>
        <v>-406</v>
      </c>
      <c r="AW63" s="28">
        <f t="shared" si="96"/>
        <v>-330</v>
      </c>
      <c r="AX63" s="28">
        <f t="shared" si="96"/>
        <v>-1620</v>
      </c>
      <c r="AY63" s="3"/>
      <c r="AZ63" s="10" t="s">
        <v>53</v>
      </c>
      <c r="BA63" s="19">
        <f>MIN(BA8:BA48)</f>
        <v>0.8929384965831435</v>
      </c>
      <c r="BB63" s="19">
        <f t="shared" ref="BB63:BL63" si="97">MIN(BB8:BB48)</f>
        <v>0.90429414258766705</v>
      </c>
      <c r="BC63" s="19">
        <f t="shared" si="97"/>
        <v>0.90333333333333332</v>
      </c>
      <c r="BD63" s="19">
        <f t="shared" si="97"/>
        <v>0.90695532012897284</v>
      </c>
      <c r="BE63" s="19">
        <f t="shared" si="97"/>
        <v>0.91772959183673475</v>
      </c>
      <c r="BF63" s="19">
        <f t="shared" si="97"/>
        <v>0.92551020408163265</v>
      </c>
      <c r="BG63" s="19">
        <f t="shared" si="97"/>
        <v>0.92300242130750609</v>
      </c>
      <c r="BH63" s="19">
        <f t="shared" si="97"/>
        <v>0.9200991018891298</v>
      </c>
      <c r="BI63" s="19">
        <f t="shared" si="97"/>
        <v>0.91947336191059403</v>
      </c>
      <c r="BJ63" s="19">
        <f t="shared" si="97"/>
        <v>0.91205717837165945</v>
      </c>
      <c r="BK63" s="19">
        <f t="shared" si="97"/>
        <v>0.89640410958904104</v>
      </c>
      <c r="BL63" s="19">
        <f t="shared" si="97"/>
        <v>0.88139130434782609</v>
      </c>
      <c r="BM63" s="3"/>
      <c r="BN63" s="10" t="s">
        <v>53</v>
      </c>
      <c r="BO63" s="19">
        <f>MIN(BO15:BO48)</f>
        <v>0.75968109339407741</v>
      </c>
      <c r="BP63" s="19">
        <f t="shared" ref="BP63:BZ63" si="98">MIN(BP15:BP48)</f>
        <v>0.75577845617095507</v>
      </c>
      <c r="BQ63" s="19">
        <f t="shared" si="98"/>
        <v>0.75910487055726195</v>
      </c>
      <c r="BR63" s="19">
        <f t="shared" si="98"/>
        <v>0.77107323813910644</v>
      </c>
      <c r="BS63" s="19">
        <f t="shared" si="98"/>
        <v>0.78926752839796321</v>
      </c>
      <c r="BT63" s="19">
        <f t="shared" si="98"/>
        <v>0.81094706517824988</v>
      </c>
      <c r="BU63" s="19">
        <f t="shared" si="98"/>
        <v>0.80327868852459017</v>
      </c>
      <c r="BV63" s="19">
        <f t="shared" si="98"/>
        <v>0.80751782242384962</v>
      </c>
      <c r="BW63" s="19">
        <f t="shared" si="98"/>
        <v>0.7954225352112676</v>
      </c>
      <c r="BX63" s="19">
        <f t="shared" si="98"/>
        <v>0.78156719447827849</v>
      </c>
      <c r="BY63" s="19">
        <f t="shared" si="98"/>
        <v>0.77397260273972601</v>
      </c>
      <c r="BZ63" s="19">
        <f t="shared" si="98"/>
        <v>0.76965111391340901</v>
      </c>
    </row>
    <row r="64" spans="1:78" ht="16.5" thickBot="1">
      <c r="A64" s="180" t="s">
        <v>54</v>
      </c>
      <c r="B64" s="265">
        <f>AVERAGE(B7:B56)</f>
        <v>3003.42</v>
      </c>
      <c r="C64" s="265">
        <f t="shared" ref="C64:M64" si="99">AVERAGE(C7:C56)</f>
        <v>2782.24</v>
      </c>
      <c r="D64" s="265">
        <f t="shared" si="99"/>
        <v>2558.44</v>
      </c>
      <c r="E64" s="265">
        <f t="shared" si="99"/>
        <v>2683.86</v>
      </c>
      <c r="F64" s="265">
        <f t="shared" si="99"/>
        <v>2969.64</v>
      </c>
      <c r="G64" s="265">
        <f t="shared" si="99"/>
        <v>3152.16</v>
      </c>
      <c r="H64" s="265">
        <f t="shared" si="99"/>
        <v>3178.78</v>
      </c>
      <c r="I64" s="265">
        <f t="shared" si="99"/>
        <v>3208.54</v>
      </c>
      <c r="J64" s="265">
        <f t="shared" si="99"/>
        <v>3104.74</v>
      </c>
      <c r="K64" s="265">
        <f t="shared" si="99"/>
        <v>2888.2</v>
      </c>
      <c r="L64" s="265">
        <f t="shared" si="99"/>
        <v>2544.84</v>
      </c>
      <c r="M64" s="265">
        <f t="shared" si="99"/>
        <v>2674</v>
      </c>
      <c r="N64"/>
      <c r="O64" s="188" t="str">
        <f>A64</f>
        <v>AVG</v>
      </c>
      <c r="P64" s="189">
        <f>AVERAGE(P7:P57)</f>
        <v>3187.18</v>
      </c>
      <c r="Q64" s="190">
        <f>AVERAGE(Q7:Q56)</f>
        <v>3250.92</v>
      </c>
      <c r="R64" s="3"/>
      <c r="S64" s="3"/>
      <c r="T64" s="3"/>
      <c r="U64" s="3"/>
      <c r="V64" s="3"/>
      <c r="W64" s="3"/>
      <c r="X64" s="10" t="s">
        <v>54</v>
      </c>
      <c r="Y64" s="19">
        <f>AVERAGE(Y8:Y48)</f>
        <v>0.95864393464365927</v>
      </c>
      <c r="Z64" s="19">
        <f>AVERAGE(Z8:Z48)</f>
        <v>0.88998348063818267</v>
      </c>
      <c r="AA64" s="19">
        <f>AVERAGE(AA8:AA48)</f>
        <v>0.80304545059186627</v>
      </c>
      <c r="AB64" s="19">
        <f t="shared" ref="AB64:AG64" si="100">AVERAGE(AB8:AB51)</f>
        <v>0.82684998818464128</v>
      </c>
      <c r="AC64" s="19">
        <f t="shared" si="100"/>
        <v>0.91160488503988124</v>
      </c>
      <c r="AD64" s="19">
        <f t="shared" si="100"/>
        <v>0.96854332114461994</v>
      </c>
      <c r="AE64" s="19">
        <f t="shared" si="100"/>
        <v>0.97801244718726221</v>
      </c>
      <c r="AF64" s="19">
        <f t="shared" si="100"/>
        <v>0.98407356137034041</v>
      </c>
      <c r="AG64" s="19">
        <f t="shared" si="100"/>
        <v>0.95702866491069283</v>
      </c>
      <c r="AH64" s="19">
        <f>AVERAGE(AH8:AH48)</f>
        <v>0.86899521337886221</v>
      </c>
      <c r="AI64" s="19">
        <f>AVERAGE(AI8:AI48)</f>
        <v>0.77463575627223136</v>
      </c>
      <c r="AJ64" s="19">
        <f>AVERAGE(AJ8:AJ48)</f>
        <v>0.84221690942227967</v>
      </c>
      <c r="AK64" s="3"/>
      <c r="AL64" s="3" t="s">
        <v>54</v>
      </c>
      <c r="AM64" s="28">
        <f>AVERAGE(AM8:AM48)</f>
        <v>54.243902439024389</v>
      </c>
      <c r="AN64" s="28">
        <f t="shared" ref="AN64:AX64" si="101">AVERAGE(AN8:AN48)</f>
        <v>34.634146341463413</v>
      </c>
      <c r="AO64" s="28">
        <f t="shared" si="101"/>
        <v>35.243902439024389</v>
      </c>
      <c r="AP64" s="28">
        <f t="shared" si="101"/>
        <v>60.341463414634148</v>
      </c>
      <c r="AQ64" s="28">
        <f t="shared" si="101"/>
        <v>55.341463414634148</v>
      </c>
      <c r="AR64" s="28">
        <f t="shared" si="101"/>
        <v>64.926829268292678</v>
      </c>
      <c r="AS64" s="28">
        <f t="shared" si="101"/>
        <v>63.292682926829265</v>
      </c>
      <c r="AT64" s="28">
        <f t="shared" si="101"/>
        <v>67.560975609756099</v>
      </c>
      <c r="AU64" s="28">
        <f t="shared" si="101"/>
        <v>59.707317073170735</v>
      </c>
      <c r="AV64" s="28">
        <f t="shared" si="101"/>
        <v>55.219512195121951</v>
      </c>
      <c r="AW64" s="28">
        <f t="shared" si="101"/>
        <v>41.609756097560975</v>
      </c>
      <c r="AX64" s="28">
        <f t="shared" si="101"/>
        <v>36.268292682926827</v>
      </c>
      <c r="AY64" s="3"/>
      <c r="AZ64" s="10" t="s">
        <v>54</v>
      </c>
      <c r="BA64" s="19">
        <f>AVERAGE(BA8:BA48)</f>
        <v>0.93510792236781048</v>
      </c>
      <c r="BB64" s="19">
        <f t="shared" ref="BB64:BL64" si="102">AVERAGE(BB8:BB48)</f>
        <v>0.93271830882419882</v>
      </c>
      <c r="BC64" s="19">
        <f t="shared" si="102"/>
        <v>0.93574221710286898</v>
      </c>
      <c r="BD64" s="19">
        <f t="shared" si="102"/>
        <v>0.93981236356233944</v>
      </c>
      <c r="BE64" s="19">
        <f t="shared" si="102"/>
        <v>0.94208449036400888</v>
      </c>
      <c r="BF64" s="19">
        <f t="shared" si="102"/>
        <v>0.94188462464118405</v>
      </c>
      <c r="BG64" s="19">
        <f t="shared" si="102"/>
        <v>0.93930924183179965</v>
      </c>
      <c r="BH64" s="19">
        <f t="shared" si="102"/>
        <v>0.94084859152458389</v>
      </c>
      <c r="BI64" s="19">
        <f t="shared" si="102"/>
        <v>0.93994612646486486</v>
      </c>
      <c r="BJ64" s="19">
        <f t="shared" si="102"/>
        <v>0.93830373913397302</v>
      </c>
      <c r="BK64" s="19">
        <f t="shared" si="102"/>
        <v>0.93286778913056201</v>
      </c>
      <c r="BL64" s="19">
        <f t="shared" si="102"/>
        <v>0.93172621456386162</v>
      </c>
      <c r="BM64" s="3"/>
      <c r="BN64" s="10" t="s">
        <v>54</v>
      </c>
      <c r="BO64" s="19">
        <f>AVERAGE(BO15:BO48)</f>
        <v>0.83618746293944857</v>
      </c>
      <c r="BP64" s="19">
        <f t="shared" ref="BP64:BZ64" si="103">AVERAGE(BP15:BP48)</f>
        <v>0.82480660461020661</v>
      </c>
      <c r="BQ64" s="19">
        <f t="shared" si="103"/>
        <v>0.83103896516951792</v>
      </c>
      <c r="BR64" s="19">
        <f t="shared" si="103"/>
        <v>0.83880831358220664</v>
      </c>
      <c r="BS64" s="19">
        <f t="shared" si="103"/>
        <v>0.84976056516659804</v>
      </c>
      <c r="BT64" s="19">
        <f t="shared" si="103"/>
        <v>0.85785974805467535</v>
      </c>
      <c r="BU64" s="19">
        <f t="shared" si="103"/>
        <v>0.85514932987759229</v>
      </c>
      <c r="BV64" s="19">
        <f t="shared" si="103"/>
        <v>0.85721421677548937</v>
      </c>
      <c r="BW64" s="19">
        <f t="shared" si="103"/>
        <v>0.85498510086922086</v>
      </c>
      <c r="BX64" s="19">
        <f t="shared" si="103"/>
        <v>0.84764854643091492</v>
      </c>
      <c r="BY64" s="19">
        <f t="shared" si="103"/>
        <v>0.83083884837076516</v>
      </c>
      <c r="BZ64" s="19">
        <f t="shared" si="103"/>
        <v>0.83520099147420501</v>
      </c>
    </row>
    <row r="65" spans="1:78" ht="15.75">
      <c r="A65" s="173"/>
      <c r="N6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1:78" ht="15.75">
      <c r="A66" s="173"/>
      <c r="B66" s="90"/>
      <c r="C66" s="3"/>
      <c r="D66" s="3"/>
      <c r="E66" s="3"/>
      <c r="F66" s="3"/>
      <c r="I66" s="9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7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1:78" ht="15.75">
      <c r="A69" s="3"/>
      <c r="B69" s="5" t="s">
        <v>5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78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1:78">
      <c r="A71" s="3"/>
      <c r="B71" s="10" t="s">
        <v>4</v>
      </c>
      <c r="C71" s="10" t="s">
        <v>8</v>
      </c>
      <c r="D71" s="10" t="s">
        <v>9</v>
      </c>
      <c r="E71" s="10" t="s">
        <v>10</v>
      </c>
      <c r="F71" s="10" t="s">
        <v>11</v>
      </c>
      <c r="G71" s="10" t="s">
        <v>12</v>
      </c>
      <c r="H71" s="10" t="s">
        <v>13</v>
      </c>
      <c r="I71" s="10" t="s">
        <v>15</v>
      </c>
      <c r="J71" s="10" t="s">
        <v>16</v>
      </c>
      <c r="K71" s="10" t="s">
        <v>17</v>
      </c>
      <c r="L71" s="10" t="s">
        <v>18</v>
      </c>
      <c r="M71" s="10" t="s">
        <v>19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78">
      <c r="A72" s="184">
        <f t="shared" ref="A72:A103" si="104">A7</f>
        <v>1973</v>
      </c>
      <c r="B72" s="14">
        <v>30</v>
      </c>
      <c r="C72" s="14">
        <v>10</v>
      </c>
      <c r="D72" s="14">
        <v>15</v>
      </c>
      <c r="E72" s="14">
        <v>25</v>
      </c>
      <c r="F72" s="14">
        <v>29</v>
      </c>
      <c r="G72" s="14">
        <v>6</v>
      </c>
      <c r="H72" s="14">
        <v>25</v>
      </c>
      <c r="I72" s="14">
        <v>27</v>
      </c>
      <c r="J72" s="14">
        <v>14</v>
      </c>
      <c r="K72" s="14">
        <v>3</v>
      </c>
      <c r="L72" s="14">
        <v>5</v>
      </c>
      <c r="M72" s="14">
        <v>17</v>
      </c>
      <c r="N72" s="3"/>
      <c r="O72" s="3"/>
      <c r="P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1:78">
      <c r="A73" s="184">
        <f t="shared" si="104"/>
        <v>1974</v>
      </c>
      <c r="B73" s="3">
        <v>30</v>
      </c>
      <c r="C73" s="3">
        <v>27</v>
      </c>
      <c r="D73" s="3">
        <v>27</v>
      </c>
      <c r="E73" s="3">
        <v>3</v>
      </c>
      <c r="F73" s="3">
        <v>28</v>
      </c>
      <c r="G73" s="3">
        <v>20</v>
      </c>
      <c r="H73" s="3">
        <v>11</v>
      </c>
      <c r="I73" s="3">
        <v>29</v>
      </c>
      <c r="J73" s="3">
        <v>17</v>
      </c>
      <c r="K73" s="3">
        <v>15</v>
      </c>
      <c r="L73" s="3">
        <v>19</v>
      </c>
      <c r="M73" s="3">
        <v>10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78">
      <c r="A74" s="184">
        <f t="shared" si="104"/>
        <v>1975</v>
      </c>
      <c r="B74" s="3">
        <v>15</v>
      </c>
      <c r="C74" s="3">
        <v>26</v>
      </c>
      <c r="D74" s="3">
        <v>4</v>
      </c>
      <c r="E74" s="3">
        <v>30</v>
      </c>
      <c r="F74" s="3">
        <v>26</v>
      </c>
      <c r="G74" s="3">
        <v>16</v>
      </c>
      <c r="H74" s="3">
        <v>8</v>
      </c>
      <c r="I74" s="3">
        <v>25</v>
      </c>
      <c r="J74" s="3">
        <v>5</v>
      </c>
      <c r="K74" s="3">
        <v>8</v>
      </c>
      <c r="L74" s="3">
        <v>24</v>
      </c>
      <c r="M74" s="3">
        <v>22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1:78">
      <c r="A75" s="184">
        <f t="shared" si="104"/>
        <v>1976</v>
      </c>
      <c r="B75" s="3">
        <v>19</v>
      </c>
      <c r="C75" s="3">
        <v>3</v>
      </c>
      <c r="D75" s="3">
        <v>29</v>
      </c>
      <c r="E75" s="3">
        <v>28</v>
      </c>
      <c r="F75" s="3">
        <v>13</v>
      </c>
      <c r="G75" s="3">
        <v>17</v>
      </c>
      <c r="H75" s="3">
        <v>14</v>
      </c>
      <c r="I75" s="3">
        <v>26</v>
      </c>
      <c r="J75" s="3">
        <v>28</v>
      </c>
      <c r="K75" s="3">
        <v>7</v>
      </c>
      <c r="L75" s="3">
        <v>30</v>
      </c>
      <c r="M75" s="3">
        <v>22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78">
      <c r="A76" s="184">
        <f t="shared" si="104"/>
        <v>1977</v>
      </c>
      <c r="B76" s="3">
        <v>18</v>
      </c>
      <c r="C76" s="3">
        <v>17</v>
      </c>
      <c r="D76" s="3">
        <v>21</v>
      </c>
      <c r="E76" s="3">
        <v>4</v>
      </c>
      <c r="F76" s="3">
        <v>26</v>
      </c>
      <c r="G76" s="3">
        <v>27</v>
      </c>
      <c r="H76" s="3">
        <v>27</v>
      </c>
      <c r="I76" s="3">
        <v>17</v>
      </c>
      <c r="J76" s="3">
        <v>7</v>
      </c>
      <c r="K76" s="3">
        <v>10</v>
      </c>
      <c r="L76" s="3">
        <v>30</v>
      </c>
      <c r="M76" s="3">
        <v>28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78">
      <c r="A77" s="184">
        <f t="shared" si="104"/>
        <v>1978</v>
      </c>
      <c r="B77" s="3">
        <v>16</v>
      </c>
      <c r="C77" s="3">
        <v>7</v>
      </c>
      <c r="D77" s="3">
        <v>6</v>
      </c>
      <c r="E77" s="3">
        <v>12</v>
      </c>
      <c r="F77" s="3">
        <v>31</v>
      </c>
      <c r="G77" s="3">
        <v>26</v>
      </c>
      <c r="H77" s="3">
        <v>24</v>
      </c>
      <c r="I77" s="3">
        <v>29</v>
      </c>
      <c r="J77" s="3">
        <v>22</v>
      </c>
      <c r="K77" s="3">
        <v>2</v>
      </c>
      <c r="L77" s="3">
        <v>29</v>
      </c>
      <c r="M77" s="3">
        <v>27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78">
      <c r="A78" s="184">
        <f t="shared" si="104"/>
        <v>1979</v>
      </c>
      <c r="B78" s="3">
        <v>4</v>
      </c>
      <c r="C78" s="3">
        <v>1</v>
      </c>
      <c r="D78" s="3">
        <v>12</v>
      </c>
      <c r="E78" s="3">
        <v>12</v>
      </c>
      <c r="F78" s="3">
        <v>10</v>
      </c>
      <c r="G78" s="3">
        <v>19</v>
      </c>
      <c r="H78" s="3">
        <v>30</v>
      </c>
      <c r="I78" s="3">
        <v>29</v>
      </c>
      <c r="J78" s="3">
        <v>7</v>
      </c>
      <c r="K78" s="3">
        <v>3</v>
      </c>
      <c r="L78" s="3">
        <v>30</v>
      </c>
      <c r="M78" s="3">
        <v>1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78">
      <c r="A79" s="184">
        <f t="shared" si="104"/>
        <v>1980</v>
      </c>
      <c r="B79" s="3">
        <v>7</v>
      </c>
      <c r="C79" s="3">
        <v>2</v>
      </c>
      <c r="D79" s="3">
        <v>2</v>
      </c>
      <c r="E79" s="3">
        <v>2</v>
      </c>
      <c r="F79" s="3">
        <v>21</v>
      </c>
      <c r="G79" s="3">
        <v>9</v>
      </c>
      <c r="H79" s="3">
        <v>14</v>
      </c>
      <c r="I79" s="3">
        <v>21</v>
      </c>
      <c r="J79" s="3">
        <v>8</v>
      </c>
      <c r="K79" s="3">
        <v>30</v>
      </c>
      <c r="L79" s="3">
        <v>10</v>
      </c>
      <c r="M79" s="3">
        <v>29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78">
      <c r="A80" s="184">
        <f t="shared" si="104"/>
        <v>1981</v>
      </c>
      <c r="B80" s="3">
        <v>13</v>
      </c>
      <c r="C80" s="3">
        <v>3</v>
      </c>
      <c r="D80" s="3">
        <v>23</v>
      </c>
      <c r="E80" s="3">
        <v>14</v>
      </c>
      <c r="F80" s="3">
        <v>18</v>
      </c>
      <c r="G80" s="3">
        <v>16</v>
      </c>
      <c r="H80" s="3">
        <v>7</v>
      </c>
      <c r="I80" s="3">
        <v>6</v>
      </c>
      <c r="J80" s="3">
        <v>1</v>
      </c>
      <c r="K80" s="3">
        <v>2</v>
      </c>
      <c r="L80" s="3">
        <v>23</v>
      </c>
      <c r="M80" s="3">
        <v>11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1:78">
      <c r="A81" s="184">
        <f t="shared" si="104"/>
        <v>1982</v>
      </c>
      <c r="B81" s="3">
        <v>12</v>
      </c>
      <c r="C81" s="3">
        <v>16</v>
      </c>
      <c r="D81" s="3">
        <v>8</v>
      </c>
      <c r="E81" s="3">
        <v>21</v>
      </c>
      <c r="F81" s="3">
        <v>28</v>
      </c>
      <c r="G81" s="3">
        <v>9</v>
      </c>
      <c r="H81" s="3">
        <v>14</v>
      </c>
      <c r="I81" s="3">
        <v>24</v>
      </c>
      <c r="J81" s="3">
        <v>13</v>
      </c>
      <c r="K81" s="3">
        <v>11</v>
      </c>
      <c r="L81" s="3">
        <v>1</v>
      </c>
      <c r="M81" s="3">
        <v>13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1:78">
      <c r="A82" s="184">
        <f t="shared" si="104"/>
        <v>1983</v>
      </c>
      <c r="B82" s="3">
        <v>14</v>
      </c>
      <c r="C82" s="3">
        <v>9</v>
      </c>
      <c r="D82" s="3">
        <v>11</v>
      </c>
      <c r="E82" s="3">
        <v>7</v>
      </c>
      <c r="F82" s="3">
        <v>24</v>
      </c>
      <c r="G82" s="3">
        <v>6</v>
      </c>
      <c r="H82" s="3">
        <v>18</v>
      </c>
      <c r="I82" s="3">
        <v>23</v>
      </c>
      <c r="J82" s="3">
        <v>6</v>
      </c>
      <c r="K82" s="3">
        <v>5</v>
      </c>
      <c r="L82" s="3">
        <v>18</v>
      </c>
      <c r="M82" s="3">
        <v>26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1:78">
      <c r="A83" s="184">
        <f t="shared" si="104"/>
        <v>1984</v>
      </c>
      <c r="B83" s="3">
        <v>21</v>
      </c>
      <c r="C83" s="3">
        <v>7</v>
      </c>
      <c r="D83" s="3">
        <v>2</v>
      </c>
      <c r="E83" s="3">
        <v>27</v>
      </c>
      <c r="F83" s="3">
        <v>7</v>
      </c>
      <c r="G83" s="3">
        <v>21</v>
      </c>
      <c r="H83" s="3">
        <v>9</v>
      </c>
      <c r="I83" s="3">
        <v>9</v>
      </c>
      <c r="J83" s="3">
        <v>14</v>
      </c>
      <c r="K83" s="3">
        <v>29</v>
      </c>
      <c r="L83" s="3">
        <v>14</v>
      </c>
      <c r="M83" s="3">
        <v>7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1:78">
      <c r="A84" s="184">
        <f t="shared" si="104"/>
        <v>1985</v>
      </c>
      <c r="B84" s="3">
        <v>22</v>
      </c>
      <c r="C84" s="3">
        <v>14</v>
      </c>
      <c r="D84" s="3">
        <v>19</v>
      </c>
      <c r="E84" s="3">
        <v>26</v>
      </c>
      <c r="F84" s="3">
        <v>21</v>
      </c>
      <c r="G84" s="3">
        <v>5</v>
      </c>
      <c r="H84" s="3">
        <v>8</v>
      </c>
      <c r="I84" s="3">
        <v>28</v>
      </c>
      <c r="J84" s="3">
        <v>11</v>
      </c>
      <c r="K84" s="3">
        <v>2</v>
      </c>
      <c r="L84" s="3">
        <v>13</v>
      </c>
      <c r="M84" s="3">
        <v>27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78">
      <c r="A85" s="184">
        <f t="shared" si="104"/>
        <v>1986</v>
      </c>
      <c r="B85" s="3">
        <v>28</v>
      </c>
      <c r="C85" s="3">
        <v>14</v>
      </c>
      <c r="D85" s="3">
        <v>3</v>
      </c>
      <c r="E85" s="3">
        <v>30</v>
      </c>
      <c r="F85" s="3">
        <v>28</v>
      </c>
      <c r="G85" s="3">
        <v>6</v>
      </c>
      <c r="H85" s="3">
        <v>17</v>
      </c>
      <c r="I85" s="3">
        <v>26</v>
      </c>
      <c r="J85" s="3">
        <v>29</v>
      </c>
      <c r="K85" s="3">
        <v>2</v>
      </c>
      <c r="L85" s="3">
        <v>11</v>
      </c>
      <c r="M85" s="3">
        <v>10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1:78">
      <c r="A86" s="184">
        <f t="shared" si="104"/>
        <v>1987</v>
      </c>
      <c r="B86" s="3">
        <v>24</v>
      </c>
      <c r="C86" s="3">
        <v>10</v>
      </c>
      <c r="D86" s="3">
        <v>31</v>
      </c>
      <c r="E86" s="3">
        <v>2</v>
      </c>
      <c r="F86" s="3">
        <v>21</v>
      </c>
      <c r="G86" s="3">
        <v>18</v>
      </c>
      <c r="H86" s="3">
        <v>8</v>
      </c>
      <c r="I86" s="3">
        <v>7</v>
      </c>
      <c r="J86" s="3">
        <v>14</v>
      </c>
      <c r="K86" s="3">
        <v>1</v>
      </c>
      <c r="L86" s="3">
        <v>9</v>
      </c>
      <c r="M86" s="3">
        <v>18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1:78">
      <c r="A87" s="184">
        <f t="shared" si="104"/>
        <v>1988</v>
      </c>
      <c r="B87" s="3">
        <v>28</v>
      </c>
      <c r="C87" s="3">
        <v>7</v>
      </c>
      <c r="D87" s="3">
        <v>16</v>
      </c>
      <c r="E87" s="3">
        <v>27</v>
      </c>
      <c r="F87" s="3">
        <v>24</v>
      </c>
      <c r="G87" s="3">
        <v>30</v>
      </c>
      <c r="H87" s="3">
        <v>12</v>
      </c>
      <c r="I87" s="3">
        <v>23</v>
      </c>
      <c r="J87" s="3">
        <v>13</v>
      </c>
      <c r="K87" s="3">
        <v>4</v>
      </c>
      <c r="L87" s="3">
        <v>17</v>
      </c>
      <c r="M87" s="3">
        <v>19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78">
      <c r="A88" s="184">
        <f t="shared" si="104"/>
        <v>1989</v>
      </c>
      <c r="B88" s="3">
        <v>5</v>
      </c>
      <c r="C88" s="3">
        <v>24</v>
      </c>
      <c r="D88" s="3">
        <v>9</v>
      </c>
      <c r="E88" s="3">
        <v>28</v>
      </c>
      <c r="F88" s="3">
        <v>26</v>
      </c>
      <c r="G88" s="3">
        <v>16</v>
      </c>
      <c r="H88" s="3">
        <v>10</v>
      </c>
      <c r="I88" s="3">
        <v>31</v>
      </c>
      <c r="J88" s="3">
        <v>13</v>
      </c>
      <c r="K88" s="3">
        <v>4</v>
      </c>
      <c r="L88" s="3">
        <v>8</v>
      </c>
      <c r="M88" s="3">
        <v>23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1:78">
      <c r="A89" s="184">
        <f t="shared" si="104"/>
        <v>1990</v>
      </c>
      <c r="B89" s="3">
        <v>13</v>
      </c>
      <c r="C89" s="3">
        <v>26</v>
      </c>
      <c r="D89" s="3">
        <v>16</v>
      </c>
      <c r="E89" s="3">
        <v>30</v>
      </c>
      <c r="F89" s="3">
        <v>17</v>
      </c>
      <c r="G89" s="3">
        <v>6</v>
      </c>
      <c r="H89" s="3">
        <v>26</v>
      </c>
      <c r="I89" s="3">
        <v>29</v>
      </c>
      <c r="J89" s="3">
        <v>21</v>
      </c>
      <c r="K89" s="3">
        <v>4</v>
      </c>
      <c r="L89" s="3">
        <v>8</v>
      </c>
      <c r="M89" s="3">
        <v>10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1:78">
      <c r="A90" s="184">
        <f t="shared" si="104"/>
        <v>1991</v>
      </c>
      <c r="B90" s="3">
        <v>23</v>
      </c>
      <c r="C90" s="3">
        <v>16</v>
      </c>
      <c r="D90" s="3">
        <v>11</v>
      </c>
      <c r="E90" s="3">
        <v>29</v>
      </c>
      <c r="F90" s="3">
        <v>15</v>
      </c>
      <c r="G90" s="3">
        <v>20</v>
      </c>
      <c r="H90" s="3">
        <v>22</v>
      </c>
      <c r="I90" s="3">
        <v>12</v>
      </c>
      <c r="J90" s="3">
        <v>6</v>
      </c>
      <c r="K90" s="3">
        <v>3</v>
      </c>
      <c r="L90" s="3">
        <v>26</v>
      </c>
      <c r="M90" s="3">
        <v>5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8">
      <c r="A91" s="184">
        <f t="shared" si="104"/>
        <v>1992</v>
      </c>
      <c r="B91" s="3">
        <v>17</v>
      </c>
      <c r="C91" s="3">
        <v>9</v>
      </c>
      <c r="D91" s="3">
        <v>12</v>
      </c>
      <c r="E91" s="3">
        <v>23</v>
      </c>
      <c r="F91" s="3">
        <v>29</v>
      </c>
      <c r="G91" s="3">
        <v>11</v>
      </c>
      <c r="H91" s="3">
        <v>9</v>
      </c>
      <c r="I91" s="3">
        <v>21</v>
      </c>
      <c r="J91" s="3">
        <v>21</v>
      </c>
      <c r="K91" s="3">
        <v>9</v>
      </c>
      <c r="L91" s="3">
        <v>4</v>
      </c>
      <c r="M91" s="3">
        <v>3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78">
      <c r="A92" s="184">
        <f t="shared" si="104"/>
        <v>1993</v>
      </c>
      <c r="B92" s="3">
        <v>28</v>
      </c>
      <c r="C92" s="3">
        <v>19</v>
      </c>
      <c r="D92" s="3">
        <v>15</v>
      </c>
      <c r="E92" s="3">
        <v>14</v>
      </c>
      <c r="F92" s="3">
        <v>18</v>
      </c>
      <c r="G92" s="3">
        <v>9</v>
      </c>
      <c r="H92" s="3">
        <v>29</v>
      </c>
      <c r="I92" s="3">
        <v>5</v>
      </c>
      <c r="J92" s="3">
        <v>13</v>
      </c>
      <c r="K92" s="3">
        <v>22</v>
      </c>
      <c r="L92" s="3">
        <v>15</v>
      </c>
      <c r="M92" s="3">
        <v>27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1:78">
      <c r="A93" s="184">
        <f t="shared" si="104"/>
        <v>1994</v>
      </c>
      <c r="B93" s="3">
        <v>6</v>
      </c>
      <c r="C93" s="3">
        <v>3</v>
      </c>
      <c r="D93" s="3">
        <v>28</v>
      </c>
      <c r="E93" s="3">
        <v>26</v>
      </c>
      <c r="F93" s="3">
        <v>31</v>
      </c>
      <c r="G93" s="3">
        <v>27</v>
      </c>
      <c r="H93" s="3">
        <v>11</v>
      </c>
      <c r="I93" s="3">
        <v>18</v>
      </c>
      <c r="J93" s="3">
        <v>2</v>
      </c>
      <c r="K93" s="3">
        <v>4</v>
      </c>
      <c r="L93" s="3">
        <v>9</v>
      </c>
      <c r="M93" s="3">
        <v>5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78">
      <c r="A94" s="184">
        <f t="shared" si="104"/>
        <v>1995</v>
      </c>
      <c r="B94" s="3">
        <v>25</v>
      </c>
      <c r="C94" s="3">
        <v>9</v>
      </c>
      <c r="D94" s="3">
        <v>10</v>
      </c>
      <c r="E94" s="3">
        <v>21</v>
      </c>
      <c r="F94" s="3">
        <v>18</v>
      </c>
      <c r="G94" s="3">
        <v>9</v>
      </c>
      <c r="H94" s="3">
        <v>5</v>
      </c>
      <c r="I94" s="3">
        <v>15</v>
      </c>
      <c r="J94" s="3">
        <v>14</v>
      </c>
      <c r="K94" s="3">
        <v>12</v>
      </c>
      <c r="L94" s="3">
        <v>2</v>
      </c>
      <c r="M94" s="3">
        <v>11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1:78">
      <c r="A95" s="184">
        <f t="shared" si="104"/>
        <v>1996</v>
      </c>
      <c r="B95" s="3">
        <v>9</v>
      </c>
      <c r="C95" s="3">
        <v>5</v>
      </c>
      <c r="D95" s="3">
        <v>9</v>
      </c>
      <c r="E95" s="3">
        <v>29</v>
      </c>
      <c r="F95" s="3">
        <v>23</v>
      </c>
      <c r="G95" s="3">
        <v>25</v>
      </c>
      <c r="H95" s="3">
        <v>25</v>
      </c>
      <c r="I95" s="3">
        <v>7</v>
      </c>
      <c r="J95" s="3">
        <v>3</v>
      </c>
      <c r="K95" s="3">
        <v>1</v>
      </c>
      <c r="L95" s="3">
        <v>1</v>
      </c>
      <c r="M95" s="3">
        <v>20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78">
      <c r="A96" s="184">
        <f t="shared" si="104"/>
        <v>1997</v>
      </c>
      <c r="B96" s="3">
        <v>19</v>
      </c>
      <c r="C96" s="3">
        <v>12</v>
      </c>
      <c r="D96" s="3">
        <v>3</v>
      </c>
      <c r="E96" s="3">
        <v>22</v>
      </c>
      <c r="F96" s="3">
        <v>27</v>
      </c>
      <c r="G96" s="3">
        <v>18</v>
      </c>
      <c r="H96" s="3">
        <v>3</v>
      </c>
      <c r="I96" s="3">
        <v>18</v>
      </c>
      <c r="J96" s="3">
        <v>17</v>
      </c>
      <c r="K96" s="3">
        <v>1</v>
      </c>
      <c r="L96" s="3">
        <v>1</v>
      </c>
      <c r="M96" s="3">
        <v>15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1:78">
      <c r="A97" s="184">
        <f t="shared" si="104"/>
        <v>1998</v>
      </c>
      <c r="B97" s="3">
        <v>29</v>
      </c>
      <c r="C97" s="3">
        <v>10</v>
      </c>
      <c r="D97" s="3">
        <v>13</v>
      </c>
      <c r="E97" s="3">
        <v>2</v>
      </c>
      <c r="F97" s="3">
        <v>22</v>
      </c>
      <c r="G97" s="3">
        <v>12</v>
      </c>
      <c r="H97" s="3">
        <v>2</v>
      </c>
      <c r="I97" s="3">
        <v>17</v>
      </c>
      <c r="J97" s="3">
        <v>1</v>
      </c>
      <c r="K97" s="3">
        <v>6</v>
      </c>
      <c r="L97" s="3">
        <v>2</v>
      </c>
      <c r="M97" s="3">
        <v>7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1:78">
      <c r="A98" s="184">
        <f t="shared" si="104"/>
        <v>1999</v>
      </c>
      <c r="B98" s="3">
        <v>6</v>
      </c>
      <c r="C98" s="3">
        <v>23</v>
      </c>
      <c r="D98" s="3">
        <v>5</v>
      </c>
      <c r="E98" s="3">
        <v>27</v>
      </c>
      <c r="F98" s="3">
        <v>25</v>
      </c>
      <c r="G98" s="3">
        <v>15</v>
      </c>
      <c r="H98" s="3">
        <v>20</v>
      </c>
      <c r="I98" s="3">
        <v>30</v>
      </c>
      <c r="J98" s="3">
        <v>3</v>
      </c>
      <c r="K98" s="3">
        <v>1</v>
      </c>
      <c r="L98" s="3">
        <v>1</v>
      </c>
      <c r="M98" s="3">
        <v>2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1:78">
      <c r="A99" s="184">
        <f t="shared" si="104"/>
        <v>2000</v>
      </c>
      <c r="B99" s="3">
        <v>27</v>
      </c>
      <c r="C99" s="3">
        <v>6</v>
      </c>
      <c r="D99" s="3">
        <v>31</v>
      </c>
      <c r="E99" s="3">
        <v>20</v>
      </c>
      <c r="F99" s="3">
        <v>25</v>
      </c>
      <c r="G99" s="3">
        <v>5</v>
      </c>
      <c r="H99" s="3">
        <v>12</v>
      </c>
      <c r="I99" s="3">
        <v>8</v>
      </c>
      <c r="J99" s="3">
        <v>13</v>
      </c>
      <c r="K99" s="3">
        <v>5</v>
      </c>
      <c r="L99" s="3">
        <v>8</v>
      </c>
      <c r="M99" s="3">
        <v>21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1:78">
      <c r="A100" s="184">
        <f t="shared" si="104"/>
        <v>2001</v>
      </c>
      <c r="B100" s="3">
        <v>5</v>
      </c>
      <c r="C100" s="3">
        <v>6</v>
      </c>
      <c r="D100" s="3">
        <v>12</v>
      </c>
      <c r="E100" s="3">
        <v>13</v>
      </c>
      <c r="F100" s="3">
        <v>22</v>
      </c>
      <c r="G100" s="3">
        <v>13</v>
      </c>
      <c r="H100" s="3">
        <v>30</v>
      </c>
      <c r="I100" s="3">
        <v>29</v>
      </c>
      <c r="J100" s="3">
        <v>5</v>
      </c>
      <c r="K100" s="3">
        <v>24</v>
      </c>
      <c r="L100" s="3">
        <v>1</v>
      </c>
      <c r="M100" s="3">
        <v>27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78">
      <c r="A101" s="184">
        <f t="shared" si="104"/>
        <v>2002</v>
      </c>
      <c r="B101" s="3">
        <v>9</v>
      </c>
      <c r="C101" s="3">
        <v>28</v>
      </c>
      <c r="D101" s="3">
        <v>5</v>
      </c>
      <c r="E101" s="3">
        <v>30</v>
      </c>
      <c r="F101" s="3">
        <v>8</v>
      </c>
      <c r="G101" s="3">
        <v>3</v>
      </c>
      <c r="H101" s="3">
        <v>17</v>
      </c>
      <c r="I101" s="3">
        <v>6</v>
      </c>
      <c r="J101" s="3">
        <v>4</v>
      </c>
      <c r="K101" s="3">
        <v>1</v>
      </c>
      <c r="L101" s="3">
        <v>11</v>
      </c>
      <c r="M101" s="3">
        <v>16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1:78">
      <c r="A102" s="184">
        <f t="shared" si="104"/>
        <v>2003</v>
      </c>
      <c r="B102" s="3">
        <v>24</v>
      </c>
      <c r="C102" s="3">
        <v>3</v>
      </c>
      <c r="D102" s="3">
        <v>20</v>
      </c>
      <c r="E102" s="3">
        <v>7</v>
      </c>
      <c r="F102" s="3">
        <v>12</v>
      </c>
      <c r="G102" s="3">
        <v>11</v>
      </c>
      <c r="H102" s="3">
        <v>8</v>
      </c>
      <c r="I102" s="3">
        <v>12</v>
      </c>
      <c r="J102" s="3">
        <v>24</v>
      </c>
      <c r="K102" s="3">
        <v>13</v>
      </c>
      <c r="L102" s="3">
        <v>5</v>
      </c>
      <c r="M102" s="3">
        <v>21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1:78">
      <c r="A103" s="184">
        <f t="shared" si="104"/>
        <v>2004</v>
      </c>
      <c r="B103" s="3">
        <v>29</v>
      </c>
      <c r="C103" s="3">
        <v>19</v>
      </c>
      <c r="D103" s="3">
        <v>5</v>
      </c>
      <c r="E103" s="3">
        <v>30</v>
      </c>
      <c r="F103" s="3">
        <v>27</v>
      </c>
      <c r="G103" s="3">
        <v>23</v>
      </c>
      <c r="H103" s="3">
        <v>9</v>
      </c>
      <c r="I103" s="3">
        <v>31</v>
      </c>
      <c r="J103" s="3">
        <v>1</v>
      </c>
      <c r="K103" s="3">
        <v>4</v>
      </c>
      <c r="L103" s="3">
        <v>3</v>
      </c>
      <c r="M103" s="3">
        <v>15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1:78">
      <c r="A104" s="184">
        <f t="shared" ref="A104:A122" si="105">A39</f>
        <v>2005</v>
      </c>
      <c r="B104" s="3">
        <v>24</v>
      </c>
      <c r="C104" s="3">
        <v>11</v>
      </c>
      <c r="D104" s="3">
        <v>31</v>
      </c>
      <c r="E104" s="3">
        <v>30</v>
      </c>
      <c r="F104" s="3">
        <v>30</v>
      </c>
      <c r="G104" s="3">
        <v>15</v>
      </c>
      <c r="H104" s="3">
        <v>22</v>
      </c>
      <c r="I104" s="3">
        <v>16</v>
      </c>
      <c r="J104" s="3">
        <v>19</v>
      </c>
      <c r="K104" s="3">
        <v>3</v>
      </c>
      <c r="L104" s="3">
        <v>8</v>
      </c>
      <c r="M104" s="3">
        <v>22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1:78">
      <c r="A105" s="184">
        <f t="shared" si="105"/>
        <v>2006</v>
      </c>
      <c r="B105" s="3">
        <v>19</v>
      </c>
      <c r="C105" s="3">
        <v>14</v>
      </c>
      <c r="D105" s="3">
        <v>21</v>
      </c>
      <c r="E105" s="3">
        <v>21</v>
      </c>
      <c r="F105" s="3">
        <v>31</v>
      </c>
      <c r="G105" s="3">
        <v>21</v>
      </c>
      <c r="H105" s="3">
        <v>26</v>
      </c>
      <c r="I105" s="3">
        <v>2</v>
      </c>
      <c r="J105" s="3">
        <v>15</v>
      </c>
      <c r="K105" s="3">
        <v>20</v>
      </c>
      <c r="L105" s="3">
        <v>1</v>
      </c>
      <c r="M105" s="3">
        <v>18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78">
      <c r="A106" s="184">
        <f t="shared" si="105"/>
        <v>2007</v>
      </c>
      <c r="B106" s="3">
        <v>30</v>
      </c>
      <c r="C106" s="3">
        <v>19</v>
      </c>
      <c r="D106" s="3">
        <v>28</v>
      </c>
      <c r="E106" s="3">
        <v>27</v>
      </c>
      <c r="F106" s="3">
        <v>3</v>
      </c>
      <c r="G106" s="3">
        <v>25</v>
      </c>
      <c r="H106" s="3">
        <v>1</v>
      </c>
      <c r="I106" s="3">
        <v>20</v>
      </c>
      <c r="J106" s="3">
        <v>13</v>
      </c>
      <c r="K106" s="3">
        <v>4</v>
      </c>
      <c r="L106" s="3">
        <v>1</v>
      </c>
      <c r="M106" s="3">
        <v>17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1:78">
      <c r="A107" s="184">
        <f t="shared" si="105"/>
        <v>2008</v>
      </c>
      <c r="B107" s="3">
        <v>3</v>
      </c>
      <c r="C107" s="3">
        <v>28</v>
      </c>
      <c r="D107" s="3">
        <v>19</v>
      </c>
      <c r="E107" s="3">
        <v>3</v>
      </c>
      <c r="F107" s="3">
        <v>10</v>
      </c>
      <c r="G107" s="3">
        <v>6</v>
      </c>
      <c r="H107" s="3">
        <v>21</v>
      </c>
      <c r="I107" s="3">
        <v>7</v>
      </c>
      <c r="J107" s="3">
        <v>3</v>
      </c>
      <c r="K107" s="3">
        <v>8</v>
      </c>
      <c r="L107" s="3">
        <v>13</v>
      </c>
      <c r="M107" s="3">
        <v>3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1:78">
      <c r="A108" s="184">
        <f t="shared" si="105"/>
        <v>2009</v>
      </c>
      <c r="B108" s="230">
        <v>22</v>
      </c>
      <c r="C108">
        <v>6</v>
      </c>
      <c r="D108">
        <v>3</v>
      </c>
      <c r="E108">
        <v>1</v>
      </c>
      <c r="F108">
        <v>11</v>
      </c>
      <c r="G108">
        <v>22</v>
      </c>
      <c r="H108">
        <v>29</v>
      </c>
      <c r="I108">
        <v>20</v>
      </c>
      <c r="J108">
        <v>21</v>
      </c>
      <c r="K108">
        <v>9</v>
      </c>
      <c r="L108">
        <v>1</v>
      </c>
      <c r="M108">
        <v>14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1:78" ht="15.75">
      <c r="A109" s="184">
        <f t="shared" si="105"/>
        <v>2010</v>
      </c>
      <c r="B109" s="266">
        <v>11</v>
      </c>
      <c r="C109">
        <v>26</v>
      </c>
      <c r="D109">
        <v>5</v>
      </c>
      <c r="E109">
        <v>23</v>
      </c>
      <c r="F109">
        <v>3</v>
      </c>
      <c r="G109">
        <v>11</v>
      </c>
      <c r="H109">
        <v>28</v>
      </c>
      <c r="I109">
        <v>19</v>
      </c>
      <c r="J109">
        <v>13</v>
      </c>
      <c r="K109">
        <v>28</v>
      </c>
      <c r="L109">
        <v>3</v>
      </c>
      <c r="M109">
        <v>15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1:78">
      <c r="A110" s="184">
        <f t="shared" si="105"/>
        <v>2011</v>
      </c>
      <c r="B110" s="230">
        <v>13</v>
      </c>
      <c r="C110">
        <v>14</v>
      </c>
      <c r="D110">
        <v>22</v>
      </c>
      <c r="E110">
        <v>28</v>
      </c>
      <c r="F110">
        <v>23</v>
      </c>
      <c r="G110">
        <v>15</v>
      </c>
      <c r="H110">
        <v>29</v>
      </c>
      <c r="I110">
        <v>12</v>
      </c>
      <c r="J110">
        <v>20</v>
      </c>
      <c r="K110">
        <v>11</v>
      </c>
      <c r="L110">
        <v>16</v>
      </c>
      <c r="M110">
        <v>6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78">
      <c r="A111" s="184">
        <f t="shared" si="105"/>
        <v>2012</v>
      </c>
      <c r="B111" s="230">
        <v>4</v>
      </c>
      <c r="C111">
        <v>13</v>
      </c>
      <c r="D111">
        <v>23</v>
      </c>
      <c r="E111">
        <v>3</v>
      </c>
      <c r="F111">
        <v>24</v>
      </c>
      <c r="G111">
        <v>11</v>
      </c>
      <c r="H111">
        <v>20</v>
      </c>
      <c r="I111">
        <v>9</v>
      </c>
      <c r="J111">
        <v>4</v>
      </c>
      <c r="K111">
        <v>4</v>
      </c>
      <c r="L111">
        <v>12</v>
      </c>
      <c r="M111">
        <v>10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78">
      <c r="A112" s="184">
        <f t="shared" si="105"/>
        <v>2013</v>
      </c>
      <c r="B112" s="230">
        <v>9</v>
      </c>
      <c r="C112">
        <v>18</v>
      </c>
      <c r="D112">
        <v>8</v>
      </c>
      <c r="E112">
        <v>16</v>
      </c>
      <c r="F112">
        <v>24</v>
      </c>
      <c r="G112">
        <v>25</v>
      </c>
      <c r="H112">
        <v>31</v>
      </c>
      <c r="I112">
        <v>13</v>
      </c>
      <c r="J112">
        <v>4</v>
      </c>
      <c r="K112">
        <v>1</v>
      </c>
      <c r="L112">
        <v>1</v>
      </c>
      <c r="M112">
        <v>9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1:78">
      <c r="A113" s="184">
        <f t="shared" si="105"/>
        <v>2014</v>
      </c>
      <c r="B113" s="230">
        <v>23</v>
      </c>
      <c r="C113">
        <v>4</v>
      </c>
      <c r="D113">
        <v>21</v>
      </c>
      <c r="E113">
        <v>29</v>
      </c>
      <c r="F113">
        <v>23</v>
      </c>
      <c r="G113">
        <v>26</v>
      </c>
      <c r="H113">
        <v>1</v>
      </c>
      <c r="I113">
        <v>21</v>
      </c>
      <c r="J113">
        <v>3</v>
      </c>
      <c r="K113">
        <v>2</v>
      </c>
      <c r="L113">
        <v>19</v>
      </c>
      <c r="M113">
        <v>15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78">
      <c r="A114" s="184">
        <f t="shared" si="105"/>
        <v>2015</v>
      </c>
      <c r="B114" s="3">
        <v>8</v>
      </c>
      <c r="C114" s="3">
        <v>20</v>
      </c>
      <c r="D114" s="3">
        <v>18</v>
      </c>
      <c r="E114" s="3">
        <v>15</v>
      </c>
      <c r="F114" s="3">
        <v>22</v>
      </c>
      <c r="G114" s="3">
        <v>23</v>
      </c>
      <c r="H114" s="3">
        <v>9</v>
      </c>
      <c r="I114" s="3">
        <v>25</v>
      </c>
      <c r="J114" s="3">
        <v>2</v>
      </c>
      <c r="K114" s="3">
        <v>2</v>
      </c>
      <c r="L114" s="3">
        <v>2</v>
      </c>
      <c r="M114" s="3">
        <v>30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1:78">
      <c r="A115" s="184">
        <f t="shared" si="105"/>
        <v>2016</v>
      </c>
      <c r="B115" s="3">
        <v>25</v>
      </c>
      <c r="C115" s="3">
        <v>11</v>
      </c>
      <c r="D115" s="3">
        <v>31</v>
      </c>
      <c r="E115" s="3">
        <v>29</v>
      </c>
      <c r="F115" s="3">
        <v>19</v>
      </c>
      <c r="G115" s="3">
        <v>23</v>
      </c>
      <c r="H115" s="3">
        <v>5</v>
      </c>
      <c r="I115" s="3">
        <v>22</v>
      </c>
      <c r="J115" s="3">
        <v>9</v>
      </c>
      <c r="K115" s="3">
        <v>5</v>
      </c>
      <c r="L115" s="3">
        <v>1</v>
      </c>
      <c r="M115" s="3">
        <v>19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1:78">
      <c r="A116" s="184">
        <f t="shared" si="105"/>
        <v>2017</v>
      </c>
      <c r="B116" s="3">
        <v>9</v>
      </c>
      <c r="C116" s="3">
        <v>28</v>
      </c>
      <c r="D116" s="3">
        <v>29</v>
      </c>
      <c r="E116" s="3">
        <v>28</v>
      </c>
      <c r="F116" s="3">
        <v>31</v>
      </c>
      <c r="G116" s="3">
        <v>22</v>
      </c>
      <c r="H116" s="3">
        <v>26</v>
      </c>
      <c r="I116" s="3">
        <v>31</v>
      </c>
      <c r="J116" s="3">
        <v>1</v>
      </c>
      <c r="K116" s="3">
        <v>9</v>
      </c>
      <c r="L116" s="3">
        <v>6</v>
      </c>
      <c r="M116" s="3">
        <v>11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1:78">
      <c r="A117" s="184">
        <f t="shared" si="105"/>
        <v>2018</v>
      </c>
      <c r="B117" s="267">
        <v>18</v>
      </c>
      <c r="C117" s="373">
        <v>21</v>
      </c>
      <c r="D117" s="373">
        <v>1</v>
      </c>
      <c r="E117" s="373">
        <v>23</v>
      </c>
      <c r="F117" s="373">
        <v>11</v>
      </c>
      <c r="G117" s="373">
        <v>26</v>
      </c>
      <c r="H117" s="373">
        <v>16</v>
      </c>
      <c r="I117" s="373">
        <v>17</v>
      </c>
      <c r="J117" s="373">
        <v>17</v>
      </c>
      <c r="K117" s="373">
        <v>16</v>
      </c>
      <c r="L117" s="373">
        <v>9</v>
      </c>
      <c r="M117" s="373">
        <v>3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1:78">
      <c r="A118" s="184">
        <f t="shared" si="105"/>
        <v>2019</v>
      </c>
      <c r="B118" s="267">
        <v>29</v>
      </c>
      <c r="C118" s="373">
        <v>22</v>
      </c>
      <c r="D118" s="373">
        <v>15</v>
      </c>
      <c r="E118" s="373">
        <v>30</v>
      </c>
      <c r="F118" s="373">
        <v>28</v>
      </c>
      <c r="G118" s="3">
        <v>25</v>
      </c>
      <c r="H118" s="373">
        <v>16</v>
      </c>
      <c r="I118" s="373">
        <v>22</v>
      </c>
      <c r="J118" s="3">
        <v>5</v>
      </c>
      <c r="K118" s="3">
        <v>28</v>
      </c>
      <c r="L118" s="3">
        <v>7</v>
      </c>
      <c r="M118" s="3">
        <v>17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1:78">
      <c r="A119" s="184">
        <f t="shared" si="105"/>
        <v>2020</v>
      </c>
      <c r="B119" s="373">
        <v>22</v>
      </c>
      <c r="C119" s="373">
        <v>18</v>
      </c>
      <c r="D119" s="373">
        <v>30</v>
      </c>
      <c r="E119">
        <v>12</v>
      </c>
      <c r="F119">
        <v>22</v>
      </c>
      <c r="G119">
        <v>25</v>
      </c>
      <c r="H119">
        <v>13</v>
      </c>
      <c r="I119">
        <v>25</v>
      </c>
      <c r="J119" s="3">
        <v>4</v>
      </c>
      <c r="K119" s="3">
        <v>8</v>
      </c>
      <c r="L119" s="3">
        <v>15</v>
      </c>
      <c r="M119" s="3">
        <v>26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</row>
    <row r="120" spans="1:78" ht="15.75">
      <c r="A120" s="184">
        <f t="shared" si="105"/>
        <v>2021</v>
      </c>
      <c r="B120" s="373">
        <v>19</v>
      </c>
      <c r="C120" s="373">
        <v>4</v>
      </c>
      <c r="D120" s="373">
        <v>31</v>
      </c>
      <c r="E120">
        <v>29</v>
      </c>
      <c r="F120">
        <v>4</v>
      </c>
      <c r="G120">
        <v>11</v>
      </c>
      <c r="H120">
        <v>23</v>
      </c>
      <c r="I120" s="407">
        <v>18</v>
      </c>
      <c r="J120" s="3">
        <v>13</v>
      </c>
      <c r="K120" s="3">
        <v>7</v>
      </c>
      <c r="L120" s="3">
        <v>3</v>
      </c>
      <c r="M120" s="3">
        <v>31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</row>
    <row r="121" spans="1:78">
      <c r="A121" s="184">
        <f t="shared" si="105"/>
        <v>2022</v>
      </c>
      <c r="B121" s="373">
        <v>31</v>
      </c>
      <c r="C121" s="373">
        <v>24</v>
      </c>
      <c r="D121" s="373">
        <v>23</v>
      </c>
      <c r="E121" s="393">
        <v>15</v>
      </c>
      <c r="F121" s="393">
        <v>23</v>
      </c>
      <c r="G121" s="393">
        <v>15</v>
      </c>
      <c r="H121">
        <v>6</v>
      </c>
      <c r="I121">
        <v>1</v>
      </c>
      <c r="J121" s="3">
        <v>6</v>
      </c>
      <c r="K121" s="3">
        <v>10</v>
      </c>
      <c r="L121" s="3">
        <v>1</v>
      </c>
      <c r="M121" s="3">
        <v>25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</row>
    <row r="122" spans="1:78">
      <c r="A122" s="184">
        <f t="shared" si="105"/>
        <v>2023</v>
      </c>
      <c r="B122" s="373">
        <v>16</v>
      </c>
      <c r="C122" s="373">
        <v>24</v>
      </c>
      <c r="D122" s="373">
        <v>27</v>
      </c>
      <c r="E122" s="393">
        <v>7</v>
      </c>
      <c r="F122" s="393"/>
      <c r="G122" s="393"/>
      <c r="H122"/>
      <c r="I12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</row>
    <row r="123" spans="1:78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</row>
    <row r="124" spans="1:78" ht="15.75">
      <c r="A124" s="3"/>
      <c r="B124" s="5" t="s">
        <v>6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</row>
    <row r="125" spans="1:78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</row>
    <row r="126" spans="1:78">
      <c r="A126" s="3"/>
      <c r="B126" s="10" t="s">
        <v>4</v>
      </c>
      <c r="C126" s="10" t="s">
        <v>8</v>
      </c>
      <c r="D126" s="10" t="s">
        <v>9</v>
      </c>
      <c r="E126" s="10" t="s">
        <v>10</v>
      </c>
      <c r="F126" s="10" t="s">
        <v>11</v>
      </c>
      <c r="G126" s="10" t="s">
        <v>12</v>
      </c>
      <c r="H126" s="10" t="s">
        <v>13</v>
      </c>
      <c r="I126" s="10" t="s">
        <v>15</v>
      </c>
      <c r="J126" s="10" t="s">
        <v>16</v>
      </c>
      <c r="K126" s="10" t="s">
        <v>17</v>
      </c>
      <c r="L126" s="10" t="s">
        <v>18</v>
      </c>
      <c r="M126" s="10" t="s">
        <v>19</v>
      </c>
      <c r="N126" s="3"/>
      <c r="O126" s="325"/>
      <c r="P126" s="313" t="s">
        <v>4</v>
      </c>
      <c r="Q126" s="313" t="s">
        <v>8</v>
      </c>
      <c r="R126" s="313" t="s">
        <v>9</v>
      </c>
      <c r="S126" s="313" t="s">
        <v>10</v>
      </c>
      <c r="T126" s="313" t="s">
        <v>11</v>
      </c>
      <c r="U126" s="313" t="s">
        <v>12</v>
      </c>
      <c r="V126" s="313" t="s">
        <v>13</v>
      </c>
      <c r="W126" s="313" t="s">
        <v>15</v>
      </c>
      <c r="X126" s="313" t="s">
        <v>16</v>
      </c>
      <c r="Y126" s="313" t="s">
        <v>17</v>
      </c>
      <c r="Z126" s="313" t="s">
        <v>18</v>
      </c>
      <c r="AA126" s="313" t="s">
        <v>19</v>
      </c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</row>
    <row r="127" spans="1:78">
      <c r="A127" s="3">
        <f t="shared" ref="A127:A158" si="106">A7</f>
        <v>1973</v>
      </c>
      <c r="B127" s="6">
        <v>727</v>
      </c>
      <c r="C127" s="14">
        <v>1903</v>
      </c>
      <c r="D127" s="14">
        <v>1925</v>
      </c>
      <c r="E127" s="14">
        <v>1943</v>
      </c>
      <c r="F127" s="14">
        <v>1722</v>
      </c>
      <c r="G127" s="14">
        <v>1742</v>
      </c>
      <c r="H127" s="14">
        <v>1638</v>
      </c>
      <c r="I127" s="14">
        <v>1605</v>
      </c>
      <c r="J127" s="14">
        <v>1608</v>
      </c>
      <c r="K127" s="14">
        <v>1625</v>
      </c>
      <c r="L127" s="14">
        <v>1845</v>
      </c>
      <c r="M127" s="14">
        <v>1835</v>
      </c>
      <c r="N127" s="3"/>
      <c r="O127" s="254">
        <f t="shared" ref="O127:O176" si="107">+A127</f>
        <v>1973</v>
      </c>
      <c r="P127" s="225">
        <f t="shared" ref="P127:AA148" si="108">IF(AND(B127&gt;700,B127&lt;1000),1,0)</f>
        <v>1</v>
      </c>
      <c r="Q127" s="225">
        <f t="shared" si="108"/>
        <v>0</v>
      </c>
      <c r="R127" s="225">
        <f t="shared" si="108"/>
        <v>0</v>
      </c>
      <c r="S127" s="225">
        <f t="shared" si="108"/>
        <v>0</v>
      </c>
      <c r="T127" s="225">
        <f t="shared" si="108"/>
        <v>0</v>
      </c>
      <c r="U127" s="225">
        <f t="shared" si="108"/>
        <v>0</v>
      </c>
      <c r="V127" s="225">
        <f t="shared" si="108"/>
        <v>0</v>
      </c>
      <c r="W127" s="225">
        <f t="shared" si="108"/>
        <v>0</v>
      </c>
      <c r="X127" s="225">
        <f t="shared" si="108"/>
        <v>0</v>
      </c>
      <c r="Y127" s="225">
        <f t="shared" si="108"/>
        <v>0</v>
      </c>
      <c r="Z127" s="225">
        <f t="shared" si="108"/>
        <v>0</v>
      </c>
      <c r="AA127" s="225">
        <f t="shared" si="108"/>
        <v>0</v>
      </c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78">
      <c r="A128" s="3">
        <f t="shared" si="106"/>
        <v>1974</v>
      </c>
      <c r="B128" s="9">
        <v>1911</v>
      </c>
      <c r="C128" s="3">
        <v>615</v>
      </c>
      <c r="D128" s="3">
        <v>1710</v>
      </c>
      <c r="E128" s="3">
        <v>1652</v>
      </c>
      <c r="F128" s="3">
        <v>1703</v>
      </c>
      <c r="G128" s="3">
        <v>1700</v>
      </c>
      <c r="H128" s="3">
        <v>1802</v>
      </c>
      <c r="I128" s="3">
        <v>1625</v>
      </c>
      <c r="J128" s="3">
        <v>1623</v>
      </c>
      <c r="K128" s="3">
        <v>1829</v>
      </c>
      <c r="L128" s="3">
        <v>1825</v>
      </c>
      <c r="M128" s="3">
        <v>1902</v>
      </c>
      <c r="N128" s="3"/>
      <c r="O128" s="254">
        <f t="shared" si="107"/>
        <v>1974</v>
      </c>
      <c r="P128" s="225">
        <f t="shared" si="108"/>
        <v>0</v>
      </c>
      <c r="Q128" s="225">
        <f t="shared" si="108"/>
        <v>0</v>
      </c>
      <c r="R128" s="225">
        <f t="shared" si="108"/>
        <v>0</v>
      </c>
      <c r="S128" s="225">
        <f t="shared" si="108"/>
        <v>0</v>
      </c>
      <c r="T128" s="225">
        <f t="shared" si="108"/>
        <v>0</v>
      </c>
      <c r="U128" s="225">
        <f t="shared" si="108"/>
        <v>0</v>
      </c>
      <c r="V128" s="225">
        <f t="shared" si="108"/>
        <v>0</v>
      </c>
      <c r="W128" s="225">
        <f t="shared" si="108"/>
        <v>0</v>
      </c>
      <c r="X128" s="225">
        <f t="shared" si="108"/>
        <v>0</v>
      </c>
      <c r="Y128" s="225">
        <f t="shared" si="108"/>
        <v>0</v>
      </c>
      <c r="Z128" s="225">
        <f t="shared" si="108"/>
        <v>0</v>
      </c>
      <c r="AA128" s="225">
        <f t="shared" si="108"/>
        <v>0</v>
      </c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</row>
    <row r="129" spans="1:78">
      <c r="A129" s="3">
        <f t="shared" si="106"/>
        <v>1975</v>
      </c>
      <c r="B129" s="9">
        <v>724</v>
      </c>
      <c r="C129" s="3">
        <v>640</v>
      </c>
      <c r="D129" s="3">
        <v>722</v>
      </c>
      <c r="E129" s="3">
        <v>1726</v>
      </c>
      <c r="F129" s="3">
        <v>1708</v>
      </c>
      <c r="G129" s="3">
        <v>1819</v>
      </c>
      <c r="H129" s="3">
        <v>1703</v>
      </c>
      <c r="I129" s="3">
        <v>1558</v>
      </c>
      <c r="J129" s="3">
        <v>1635</v>
      </c>
      <c r="K129" s="3">
        <v>1710</v>
      </c>
      <c r="L129" s="3">
        <v>740</v>
      </c>
      <c r="M129" s="3">
        <v>1835</v>
      </c>
      <c r="N129" s="3"/>
      <c r="O129" s="254">
        <f t="shared" si="107"/>
        <v>1975</v>
      </c>
      <c r="P129" s="225">
        <f t="shared" si="108"/>
        <v>1</v>
      </c>
      <c r="Q129" s="225">
        <f t="shared" si="108"/>
        <v>0</v>
      </c>
      <c r="R129" s="225">
        <f t="shared" si="108"/>
        <v>1</v>
      </c>
      <c r="S129" s="225">
        <f t="shared" si="108"/>
        <v>0</v>
      </c>
      <c r="T129" s="225">
        <f t="shared" si="108"/>
        <v>0</v>
      </c>
      <c r="U129" s="225">
        <f t="shared" si="108"/>
        <v>0</v>
      </c>
      <c r="V129" s="225">
        <f t="shared" si="108"/>
        <v>0</v>
      </c>
      <c r="W129" s="225">
        <f t="shared" si="108"/>
        <v>0</v>
      </c>
      <c r="X129" s="225">
        <f t="shared" si="108"/>
        <v>0</v>
      </c>
      <c r="Y129" s="225">
        <f t="shared" si="108"/>
        <v>0</v>
      </c>
      <c r="Z129" s="225">
        <f t="shared" si="108"/>
        <v>1</v>
      </c>
      <c r="AA129" s="225">
        <f t="shared" si="108"/>
        <v>0</v>
      </c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</row>
    <row r="130" spans="1:78">
      <c r="A130" s="3">
        <f t="shared" si="106"/>
        <v>1976</v>
      </c>
      <c r="B130" s="9">
        <v>732</v>
      </c>
      <c r="C130" s="3">
        <v>725</v>
      </c>
      <c r="D130" s="3">
        <v>1906</v>
      </c>
      <c r="E130" s="3">
        <v>1700</v>
      </c>
      <c r="F130" s="3">
        <v>1657</v>
      </c>
      <c r="G130" s="3">
        <v>1658</v>
      </c>
      <c r="H130" s="3">
        <v>1640</v>
      </c>
      <c r="I130" s="3">
        <v>1555</v>
      </c>
      <c r="J130" s="3">
        <v>1900</v>
      </c>
      <c r="K130" s="3">
        <v>1853</v>
      </c>
      <c r="L130" s="3">
        <v>1917</v>
      </c>
      <c r="M130" s="3">
        <v>820</v>
      </c>
      <c r="N130" s="3"/>
      <c r="O130" s="254">
        <f t="shared" si="107"/>
        <v>1976</v>
      </c>
      <c r="P130" s="225">
        <f t="shared" si="108"/>
        <v>1</v>
      </c>
      <c r="Q130" s="225">
        <f t="shared" si="108"/>
        <v>1</v>
      </c>
      <c r="R130" s="225">
        <f t="shared" si="108"/>
        <v>0</v>
      </c>
      <c r="S130" s="225">
        <f t="shared" si="108"/>
        <v>0</v>
      </c>
      <c r="T130" s="225">
        <f t="shared" si="108"/>
        <v>0</v>
      </c>
      <c r="U130" s="225">
        <f t="shared" si="108"/>
        <v>0</v>
      </c>
      <c r="V130" s="225">
        <f t="shared" si="108"/>
        <v>0</v>
      </c>
      <c r="W130" s="225">
        <f t="shared" si="108"/>
        <v>0</v>
      </c>
      <c r="X130" s="225">
        <f t="shared" si="108"/>
        <v>0</v>
      </c>
      <c r="Y130" s="225">
        <f t="shared" si="108"/>
        <v>0</v>
      </c>
      <c r="Z130" s="225">
        <f t="shared" si="108"/>
        <v>0</v>
      </c>
      <c r="AA130" s="225">
        <f t="shared" si="108"/>
        <v>1</v>
      </c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</row>
    <row r="131" spans="1:78">
      <c r="A131" s="3">
        <f t="shared" si="106"/>
        <v>1977</v>
      </c>
      <c r="B131" s="9">
        <v>723</v>
      </c>
      <c r="C131" s="3">
        <v>715</v>
      </c>
      <c r="D131" s="3">
        <v>1915</v>
      </c>
      <c r="E131" s="3">
        <v>1945</v>
      </c>
      <c r="F131" s="3">
        <v>1728</v>
      </c>
      <c r="G131" s="3">
        <v>1643</v>
      </c>
      <c r="H131" s="3">
        <v>1606</v>
      </c>
      <c r="I131" s="3">
        <v>1645</v>
      </c>
      <c r="J131" s="3">
        <v>1631</v>
      </c>
      <c r="K131" s="3">
        <v>1653</v>
      </c>
      <c r="L131" s="3">
        <v>1823</v>
      </c>
      <c r="M131" s="3">
        <v>812</v>
      </c>
      <c r="N131" s="3"/>
      <c r="O131" s="254">
        <f t="shared" si="107"/>
        <v>1977</v>
      </c>
      <c r="P131" s="225">
        <f t="shared" si="108"/>
        <v>1</v>
      </c>
      <c r="Q131" s="225">
        <f t="shared" si="108"/>
        <v>1</v>
      </c>
      <c r="R131" s="225">
        <f t="shared" si="108"/>
        <v>0</v>
      </c>
      <c r="S131" s="225">
        <f t="shared" si="108"/>
        <v>0</v>
      </c>
      <c r="T131" s="225">
        <f t="shared" si="108"/>
        <v>0</v>
      </c>
      <c r="U131" s="225">
        <f t="shared" si="108"/>
        <v>0</v>
      </c>
      <c r="V131" s="225">
        <f t="shared" si="108"/>
        <v>0</v>
      </c>
      <c r="W131" s="225">
        <f t="shared" si="108"/>
        <v>0</v>
      </c>
      <c r="X131" s="225">
        <f t="shared" si="108"/>
        <v>0</v>
      </c>
      <c r="Y131" s="225">
        <f t="shared" si="108"/>
        <v>0</v>
      </c>
      <c r="Z131" s="225">
        <f t="shared" si="108"/>
        <v>0</v>
      </c>
      <c r="AA131" s="225">
        <f t="shared" si="108"/>
        <v>1</v>
      </c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</row>
    <row r="132" spans="1:78">
      <c r="A132" s="3">
        <f t="shared" si="106"/>
        <v>1978</v>
      </c>
      <c r="B132" s="9">
        <v>720</v>
      </c>
      <c r="C132" s="3">
        <v>715</v>
      </c>
      <c r="D132" s="3">
        <v>722</v>
      </c>
      <c r="E132" s="3">
        <v>1935</v>
      </c>
      <c r="F132" s="3">
        <v>1630</v>
      </c>
      <c r="G132" s="3">
        <v>1601</v>
      </c>
      <c r="H132" s="3">
        <v>1547</v>
      </c>
      <c r="I132" s="3">
        <v>1655</v>
      </c>
      <c r="J132" s="3">
        <v>1606</v>
      </c>
      <c r="K132" s="3">
        <v>1620</v>
      </c>
      <c r="L132" s="3">
        <v>1824</v>
      </c>
      <c r="M132" s="3">
        <v>1845</v>
      </c>
      <c r="N132" s="3"/>
      <c r="O132" s="254">
        <f t="shared" si="107"/>
        <v>1978</v>
      </c>
      <c r="P132" s="225">
        <f t="shared" si="108"/>
        <v>1</v>
      </c>
      <c r="Q132" s="225">
        <f t="shared" si="108"/>
        <v>1</v>
      </c>
      <c r="R132" s="225">
        <f t="shared" si="108"/>
        <v>1</v>
      </c>
      <c r="S132" s="225">
        <f t="shared" si="108"/>
        <v>0</v>
      </c>
      <c r="T132" s="225">
        <f t="shared" si="108"/>
        <v>0</v>
      </c>
      <c r="U132" s="225">
        <f t="shared" si="108"/>
        <v>0</v>
      </c>
      <c r="V132" s="225">
        <f t="shared" si="108"/>
        <v>0</v>
      </c>
      <c r="W132" s="225">
        <f t="shared" si="108"/>
        <v>0</v>
      </c>
      <c r="X132" s="225">
        <f t="shared" si="108"/>
        <v>0</v>
      </c>
      <c r="Y132" s="225">
        <f t="shared" si="108"/>
        <v>0</v>
      </c>
      <c r="Z132" s="225">
        <f t="shared" si="108"/>
        <v>0</v>
      </c>
      <c r="AA132" s="225">
        <f t="shared" si="108"/>
        <v>0</v>
      </c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</row>
    <row r="133" spans="1:78">
      <c r="A133" s="3">
        <f t="shared" si="106"/>
        <v>1979</v>
      </c>
      <c r="B133" s="9">
        <v>724</v>
      </c>
      <c r="C133" s="3">
        <v>708</v>
      </c>
      <c r="D133" s="3">
        <v>709</v>
      </c>
      <c r="E133" s="3">
        <v>1920</v>
      </c>
      <c r="F133" s="3">
        <v>1655</v>
      </c>
      <c r="G133" s="3">
        <v>1705</v>
      </c>
      <c r="H133" s="3">
        <v>1655</v>
      </c>
      <c r="I133" s="3">
        <v>1645</v>
      </c>
      <c r="J133" s="3">
        <v>1545</v>
      </c>
      <c r="K133" s="3">
        <v>1558</v>
      </c>
      <c r="L133" s="3">
        <v>1855</v>
      </c>
      <c r="M133" s="3">
        <v>835</v>
      </c>
      <c r="N133" s="3"/>
      <c r="O133" s="254">
        <f t="shared" si="107"/>
        <v>1979</v>
      </c>
      <c r="P133" s="225">
        <f t="shared" si="108"/>
        <v>1</v>
      </c>
      <c r="Q133" s="225">
        <f t="shared" si="108"/>
        <v>1</v>
      </c>
      <c r="R133" s="225">
        <f t="shared" si="108"/>
        <v>1</v>
      </c>
      <c r="S133" s="225">
        <f t="shared" si="108"/>
        <v>0</v>
      </c>
      <c r="T133" s="225">
        <f t="shared" si="108"/>
        <v>0</v>
      </c>
      <c r="U133" s="225">
        <f t="shared" si="108"/>
        <v>0</v>
      </c>
      <c r="V133" s="225">
        <f t="shared" si="108"/>
        <v>0</v>
      </c>
      <c r="W133" s="225">
        <f t="shared" si="108"/>
        <v>0</v>
      </c>
      <c r="X133" s="225">
        <f t="shared" si="108"/>
        <v>0</v>
      </c>
      <c r="Y133" s="225">
        <f t="shared" si="108"/>
        <v>0</v>
      </c>
      <c r="Z133" s="225">
        <f t="shared" si="108"/>
        <v>0</v>
      </c>
      <c r="AA133" s="225">
        <f t="shared" si="108"/>
        <v>1</v>
      </c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</row>
    <row r="134" spans="1:78">
      <c r="A134" s="3">
        <f t="shared" si="106"/>
        <v>1980</v>
      </c>
      <c r="B134" s="9">
        <v>718</v>
      </c>
      <c r="C134" s="3">
        <v>858</v>
      </c>
      <c r="D134" s="3">
        <v>1908</v>
      </c>
      <c r="E134" s="3">
        <v>1903</v>
      </c>
      <c r="F134" s="3">
        <v>1540</v>
      </c>
      <c r="G134" s="3">
        <v>1625</v>
      </c>
      <c r="H134" s="3">
        <v>2015</v>
      </c>
      <c r="I134" s="3">
        <v>1650</v>
      </c>
      <c r="J134" s="3">
        <v>1640</v>
      </c>
      <c r="K134" s="3">
        <v>1822</v>
      </c>
      <c r="L134" s="3">
        <v>1755</v>
      </c>
      <c r="M134" s="3">
        <v>855</v>
      </c>
      <c r="N134" s="3"/>
      <c r="O134" s="254">
        <f t="shared" si="107"/>
        <v>1980</v>
      </c>
      <c r="P134" s="225">
        <f t="shared" si="108"/>
        <v>1</v>
      </c>
      <c r="Q134" s="225">
        <f t="shared" si="108"/>
        <v>1</v>
      </c>
      <c r="R134" s="225">
        <f t="shared" si="108"/>
        <v>0</v>
      </c>
      <c r="S134" s="225">
        <f t="shared" si="108"/>
        <v>0</v>
      </c>
      <c r="T134" s="225">
        <f t="shared" si="108"/>
        <v>0</v>
      </c>
      <c r="U134" s="225">
        <f t="shared" si="108"/>
        <v>0</v>
      </c>
      <c r="V134" s="225">
        <f t="shared" si="108"/>
        <v>0</v>
      </c>
      <c r="W134" s="225">
        <f t="shared" si="108"/>
        <v>0</v>
      </c>
      <c r="X134" s="225">
        <f t="shared" si="108"/>
        <v>0</v>
      </c>
      <c r="Y134" s="225">
        <f t="shared" si="108"/>
        <v>0</v>
      </c>
      <c r="Z134" s="225">
        <f t="shared" si="108"/>
        <v>0</v>
      </c>
      <c r="AA134" s="225">
        <f t="shared" si="108"/>
        <v>1</v>
      </c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</row>
    <row r="135" spans="1:78">
      <c r="A135" s="3">
        <f t="shared" si="106"/>
        <v>1981</v>
      </c>
      <c r="B135" s="9">
        <v>722</v>
      </c>
      <c r="C135" s="3">
        <v>1843</v>
      </c>
      <c r="D135" s="3">
        <v>1916</v>
      </c>
      <c r="E135" s="3">
        <v>1920</v>
      </c>
      <c r="F135" s="3">
        <v>1907</v>
      </c>
      <c r="G135" s="3">
        <v>1853</v>
      </c>
      <c r="H135" s="3">
        <v>1830</v>
      </c>
      <c r="I135" s="3">
        <v>1815</v>
      </c>
      <c r="J135" s="3">
        <v>1858</v>
      </c>
      <c r="K135" s="3">
        <v>1709</v>
      </c>
      <c r="L135" s="3">
        <v>714</v>
      </c>
      <c r="M135" s="3">
        <v>712</v>
      </c>
      <c r="N135" s="3"/>
      <c r="O135" s="254">
        <f t="shared" si="107"/>
        <v>1981</v>
      </c>
      <c r="P135" s="225">
        <f t="shared" si="108"/>
        <v>1</v>
      </c>
      <c r="Q135" s="225">
        <f t="shared" si="108"/>
        <v>0</v>
      </c>
      <c r="R135" s="225">
        <f t="shared" si="108"/>
        <v>0</v>
      </c>
      <c r="S135" s="225">
        <f t="shared" si="108"/>
        <v>0</v>
      </c>
      <c r="T135" s="225">
        <f t="shared" si="108"/>
        <v>0</v>
      </c>
      <c r="U135" s="225">
        <f t="shared" si="108"/>
        <v>0</v>
      </c>
      <c r="V135" s="225">
        <f t="shared" si="108"/>
        <v>0</v>
      </c>
      <c r="W135" s="225">
        <f t="shared" si="108"/>
        <v>0</v>
      </c>
      <c r="X135" s="225">
        <f t="shared" si="108"/>
        <v>0</v>
      </c>
      <c r="Y135" s="225">
        <f t="shared" si="108"/>
        <v>0</v>
      </c>
      <c r="Z135" s="225">
        <f t="shared" si="108"/>
        <v>1</v>
      </c>
      <c r="AA135" s="225">
        <f t="shared" si="108"/>
        <v>1</v>
      </c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</row>
    <row r="136" spans="1:78">
      <c r="A136" s="3">
        <f t="shared" si="106"/>
        <v>1982</v>
      </c>
      <c r="B136" s="9">
        <v>723</v>
      </c>
      <c r="C136" s="3">
        <v>1903</v>
      </c>
      <c r="D136" s="3">
        <v>728</v>
      </c>
      <c r="E136" s="3">
        <v>1919</v>
      </c>
      <c r="F136" s="3">
        <v>1730</v>
      </c>
      <c r="G136" s="3">
        <v>1745</v>
      </c>
      <c r="H136" s="3">
        <v>1705</v>
      </c>
      <c r="I136" s="3">
        <v>1645</v>
      </c>
      <c r="J136" s="3">
        <v>1646</v>
      </c>
      <c r="K136" s="3">
        <v>1625</v>
      </c>
      <c r="L136" s="3">
        <v>1813</v>
      </c>
      <c r="M136" s="3">
        <v>815</v>
      </c>
      <c r="N136" s="3"/>
      <c r="O136" s="254">
        <f t="shared" si="107"/>
        <v>1982</v>
      </c>
      <c r="P136" s="225">
        <f t="shared" si="108"/>
        <v>1</v>
      </c>
      <c r="Q136" s="225">
        <f t="shared" si="108"/>
        <v>0</v>
      </c>
      <c r="R136" s="225">
        <f t="shared" si="108"/>
        <v>1</v>
      </c>
      <c r="S136" s="225">
        <f t="shared" si="108"/>
        <v>0</v>
      </c>
      <c r="T136" s="225">
        <f t="shared" si="108"/>
        <v>0</v>
      </c>
      <c r="U136" s="225">
        <f t="shared" si="108"/>
        <v>0</v>
      </c>
      <c r="V136" s="225">
        <f t="shared" si="108"/>
        <v>0</v>
      </c>
      <c r="W136" s="225">
        <f t="shared" si="108"/>
        <v>0</v>
      </c>
      <c r="X136" s="225">
        <f t="shared" si="108"/>
        <v>0</v>
      </c>
      <c r="Y136" s="225">
        <f t="shared" si="108"/>
        <v>0</v>
      </c>
      <c r="Z136" s="225">
        <f t="shared" si="108"/>
        <v>0</v>
      </c>
      <c r="AA136" s="225">
        <f t="shared" si="108"/>
        <v>1</v>
      </c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</row>
    <row r="137" spans="1:78">
      <c r="A137" s="3">
        <f t="shared" si="106"/>
        <v>1983</v>
      </c>
      <c r="B137" s="9">
        <v>715</v>
      </c>
      <c r="C137" s="3">
        <v>728</v>
      </c>
      <c r="D137" s="3">
        <v>1912</v>
      </c>
      <c r="E137" s="3">
        <v>1919</v>
      </c>
      <c r="F137" s="3">
        <v>1734</v>
      </c>
      <c r="G137" s="3">
        <v>1736</v>
      </c>
      <c r="H137" s="3">
        <v>1744</v>
      </c>
      <c r="I137" s="3">
        <v>1633</v>
      </c>
      <c r="J137" s="3">
        <v>1724</v>
      </c>
      <c r="K137" s="3">
        <v>1714</v>
      </c>
      <c r="L137" s="3">
        <v>706</v>
      </c>
      <c r="M137" s="3">
        <v>917</v>
      </c>
      <c r="N137" s="3"/>
      <c r="O137" s="254">
        <f t="shared" si="107"/>
        <v>1983</v>
      </c>
      <c r="P137" s="225">
        <f t="shared" si="108"/>
        <v>1</v>
      </c>
      <c r="Q137" s="225">
        <f t="shared" si="108"/>
        <v>1</v>
      </c>
      <c r="R137" s="225">
        <f t="shared" si="108"/>
        <v>0</v>
      </c>
      <c r="S137" s="225">
        <f t="shared" si="108"/>
        <v>0</v>
      </c>
      <c r="T137" s="225">
        <f t="shared" si="108"/>
        <v>0</v>
      </c>
      <c r="U137" s="225">
        <f t="shared" si="108"/>
        <v>0</v>
      </c>
      <c r="V137" s="225">
        <f t="shared" si="108"/>
        <v>0</v>
      </c>
      <c r="W137" s="225">
        <f t="shared" si="108"/>
        <v>0</v>
      </c>
      <c r="X137" s="225">
        <f t="shared" si="108"/>
        <v>0</v>
      </c>
      <c r="Y137" s="225">
        <f t="shared" si="108"/>
        <v>0</v>
      </c>
      <c r="Z137" s="225">
        <f t="shared" si="108"/>
        <v>1</v>
      </c>
      <c r="AA137" s="225">
        <f t="shared" si="108"/>
        <v>1</v>
      </c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78">
      <c r="A138" s="3">
        <f t="shared" si="106"/>
        <v>1984</v>
      </c>
      <c r="B138" s="9">
        <v>959</v>
      </c>
      <c r="C138" s="3">
        <v>708</v>
      </c>
      <c r="D138" s="3">
        <v>708</v>
      </c>
      <c r="E138" s="3">
        <v>1642</v>
      </c>
      <c r="F138" s="3">
        <v>1620</v>
      </c>
      <c r="G138" s="3">
        <v>1829</v>
      </c>
      <c r="H138" s="3">
        <v>1702</v>
      </c>
      <c r="I138" s="3">
        <v>1735</v>
      </c>
      <c r="J138" s="3">
        <v>1705</v>
      </c>
      <c r="K138" s="3">
        <v>1812</v>
      </c>
      <c r="L138" s="3">
        <v>709</v>
      </c>
      <c r="M138" s="3">
        <v>726</v>
      </c>
      <c r="N138" s="3"/>
      <c r="O138" s="254">
        <f t="shared" si="107"/>
        <v>1984</v>
      </c>
      <c r="P138" s="225">
        <f t="shared" si="108"/>
        <v>1</v>
      </c>
      <c r="Q138" s="225">
        <f t="shared" si="108"/>
        <v>1</v>
      </c>
      <c r="R138" s="225">
        <f t="shared" si="108"/>
        <v>1</v>
      </c>
      <c r="S138" s="225">
        <f t="shared" si="108"/>
        <v>0</v>
      </c>
      <c r="T138" s="225">
        <f t="shared" si="108"/>
        <v>0</v>
      </c>
      <c r="U138" s="225">
        <f t="shared" si="108"/>
        <v>0</v>
      </c>
      <c r="V138" s="225">
        <f t="shared" si="108"/>
        <v>0</v>
      </c>
      <c r="W138" s="225">
        <f t="shared" si="108"/>
        <v>0</v>
      </c>
      <c r="X138" s="225">
        <f t="shared" si="108"/>
        <v>0</v>
      </c>
      <c r="Y138" s="225">
        <f t="shared" si="108"/>
        <v>0</v>
      </c>
      <c r="Z138" s="225">
        <f t="shared" si="108"/>
        <v>1</v>
      </c>
      <c r="AA138" s="225">
        <f t="shared" si="108"/>
        <v>1</v>
      </c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</row>
    <row r="139" spans="1:78">
      <c r="A139" s="3">
        <f t="shared" si="106"/>
        <v>1985</v>
      </c>
      <c r="B139" s="9">
        <v>812</v>
      </c>
      <c r="C139" s="3">
        <v>720</v>
      </c>
      <c r="D139" s="3">
        <v>718</v>
      </c>
      <c r="E139" s="3">
        <v>1652</v>
      </c>
      <c r="F139" s="3">
        <v>1718</v>
      </c>
      <c r="G139" s="3">
        <v>1740</v>
      </c>
      <c r="H139" s="3">
        <v>1724</v>
      </c>
      <c r="I139" s="3">
        <v>1610</v>
      </c>
      <c r="J139" s="3">
        <v>1708</v>
      </c>
      <c r="K139" s="3">
        <v>1750</v>
      </c>
      <c r="L139" s="3">
        <v>1815</v>
      </c>
      <c r="M139" s="3">
        <v>815</v>
      </c>
      <c r="N139" s="3"/>
      <c r="O139" s="254">
        <f t="shared" si="107"/>
        <v>1985</v>
      </c>
      <c r="P139" s="225">
        <f t="shared" si="108"/>
        <v>1</v>
      </c>
      <c r="Q139" s="225">
        <f t="shared" si="108"/>
        <v>1</v>
      </c>
      <c r="R139" s="225">
        <f t="shared" si="108"/>
        <v>1</v>
      </c>
      <c r="S139" s="225">
        <f t="shared" si="108"/>
        <v>0</v>
      </c>
      <c r="T139" s="225">
        <f t="shared" si="108"/>
        <v>0</v>
      </c>
      <c r="U139" s="225">
        <f t="shared" si="108"/>
        <v>0</v>
      </c>
      <c r="V139" s="225">
        <f t="shared" si="108"/>
        <v>0</v>
      </c>
      <c r="W139" s="225">
        <f t="shared" si="108"/>
        <v>0</v>
      </c>
      <c r="X139" s="225">
        <f t="shared" si="108"/>
        <v>0</v>
      </c>
      <c r="Y139" s="225">
        <f t="shared" si="108"/>
        <v>0</v>
      </c>
      <c r="Z139" s="225">
        <f t="shared" si="108"/>
        <v>0</v>
      </c>
      <c r="AA139" s="225">
        <f t="shared" si="108"/>
        <v>1</v>
      </c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>
      <c r="A140" s="3">
        <f t="shared" si="106"/>
        <v>1986</v>
      </c>
      <c r="B140" s="9">
        <v>714</v>
      </c>
      <c r="C140" s="3">
        <v>720</v>
      </c>
      <c r="D140" s="3">
        <v>655</v>
      </c>
      <c r="E140" s="3">
        <v>1654</v>
      </c>
      <c r="F140" s="3">
        <v>1725</v>
      </c>
      <c r="G140" s="3">
        <v>1632</v>
      </c>
      <c r="H140" s="3">
        <v>1632</v>
      </c>
      <c r="I140" s="3">
        <v>1720</v>
      </c>
      <c r="J140" s="3">
        <v>1715</v>
      </c>
      <c r="K140" s="3">
        <v>1740</v>
      </c>
      <c r="L140" s="3">
        <v>1815</v>
      </c>
      <c r="M140" s="3">
        <v>1840</v>
      </c>
      <c r="N140" s="3"/>
      <c r="O140" s="254">
        <f t="shared" si="107"/>
        <v>1986</v>
      </c>
      <c r="P140" s="225">
        <f t="shared" si="108"/>
        <v>1</v>
      </c>
      <c r="Q140" s="225">
        <f t="shared" si="108"/>
        <v>1</v>
      </c>
      <c r="R140" s="225">
        <f t="shared" si="108"/>
        <v>0</v>
      </c>
      <c r="S140" s="225">
        <f t="shared" si="108"/>
        <v>0</v>
      </c>
      <c r="T140" s="225">
        <f t="shared" si="108"/>
        <v>0</v>
      </c>
      <c r="U140" s="225">
        <f t="shared" si="108"/>
        <v>0</v>
      </c>
      <c r="V140" s="225">
        <f t="shared" si="108"/>
        <v>0</v>
      </c>
      <c r="W140" s="225">
        <f t="shared" si="108"/>
        <v>0</v>
      </c>
      <c r="X140" s="225">
        <f t="shared" si="108"/>
        <v>0</v>
      </c>
      <c r="Y140" s="225">
        <f t="shared" si="108"/>
        <v>0</v>
      </c>
      <c r="Z140" s="225">
        <f t="shared" si="108"/>
        <v>0</v>
      </c>
      <c r="AA140" s="225">
        <f t="shared" si="108"/>
        <v>0</v>
      </c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>
      <c r="A141" s="3">
        <f t="shared" si="106"/>
        <v>1987</v>
      </c>
      <c r="B141" s="9">
        <v>820</v>
      </c>
      <c r="C141" s="3">
        <v>720</v>
      </c>
      <c r="D141" s="3">
        <v>1935</v>
      </c>
      <c r="E141" s="3">
        <v>706</v>
      </c>
      <c r="F141" s="3">
        <v>1738</v>
      </c>
      <c r="G141" s="3">
        <v>1718</v>
      </c>
      <c r="H141" s="3">
        <v>1743</v>
      </c>
      <c r="I141" s="3">
        <v>1547</v>
      </c>
      <c r="J141" s="3">
        <v>1712</v>
      </c>
      <c r="K141" s="3">
        <v>1728</v>
      </c>
      <c r="L141" s="3">
        <v>1837</v>
      </c>
      <c r="M141" s="3">
        <v>720</v>
      </c>
      <c r="N141" s="3"/>
      <c r="O141" s="254">
        <f t="shared" si="107"/>
        <v>1987</v>
      </c>
      <c r="P141" s="225">
        <f t="shared" si="108"/>
        <v>1</v>
      </c>
      <c r="Q141" s="225">
        <f t="shared" si="108"/>
        <v>1</v>
      </c>
      <c r="R141" s="225">
        <f t="shared" si="108"/>
        <v>0</v>
      </c>
      <c r="S141" s="225">
        <f t="shared" si="108"/>
        <v>1</v>
      </c>
      <c r="T141" s="225">
        <f t="shared" si="108"/>
        <v>0</v>
      </c>
      <c r="U141" s="225">
        <f t="shared" si="108"/>
        <v>0</v>
      </c>
      <c r="V141" s="225">
        <f t="shared" si="108"/>
        <v>0</v>
      </c>
      <c r="W141" s="225">
        <f t="shared" si="108"/>
        <v>0</v>
      </c>
      <c r="X141" s="225">
        <f t="shared" si="108"/>
        <v>0</v>
      </c>
      <c r="Y141" s="225">
        <f t="shared" si="108"/>
        <v>0</v>
      </c>
      <c r="Z141" s="225">
        <f t="shared" si="108"/>
        <v>0</v>
      </c>
      <c r="AA141" s="225">
        <f t="shared" si="108"/>
        <v>1</v>
      </c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78">
      <c r="A142" s="3">
        <f t="shared" si="106"/>
        <v>1988</v>
      </c>
      <c r="B142" s="9">
        <v>720</v>
      </c>
      <c r="C142" s="3">
        <v>811</v>
      </c>
      <c r="D142" s="3">
        <v>712</v>
      </c>
      <c r="E142" s="3">
        <v>1702</v>
      </c>
      <c r="F142" s="3">
        <v>1645</v>
      </c>
      <c r="G142" s="3">
        <v>1655</v>
      </c>
      <c r="H142" s="3">
        <v>1727</v>
      </c>
      <c r="I142" s="3">
        <v>1655</v>
      </c>
      <c r="J142" s="3">
        <v>1658</v>
      </c>
      <c r="K142" s="3">
        <v>1655</v>
      </c>
      <c r="L142" s="3">
        <v>1818</v>
      </c>
      <c r="M142" s="3">
        <v>725</v>
      </c>
      <c r="N142" s="3"/>
      <c r="O142" s="254">
        <f t="shared" si="107"/>
        <v>1988</v>
      </c>
      <c r="P142" s="225">
        <f t="shared" si="108"/>
        <v>1</v>
      </c>
      <c r="Q142" s="225">
        <f t="shared" si="108"/>
        <v>1</v>
      </c>
      <c r="R142" s="225">
        <f t="shared" si="108"/>
        <v>1</v>
      </c>
      <c r="S142" s="225">
        <f t="shared" si="108"/>
        <v>0</v>
      </c>
      <c r="T142" s="225">
        <f t="shared" si="108"/>
        <v>0</v>
      </c>
      <c r="U142" s="225">
        <f t="shared" si="108"/>
        <v>0</v>
      </c>
      <c r="V142" s="225">
        <f t="shared" si="108"/>
        <v>0</v>
      </c>
      <c r="W142" s="225">
        <f t="shared" si="108"/>
        <v>0</v>
      </c>
      <c r="X142" s="225">
        <f t="shared" si="108"/>
        <v>0</v>
      </c>
      <c r="Y142" s="225">
        <f t="shared" si="108"/>
        <v>0</v>
      </c>
      <c r="Z142" s="225">
        <f t="shared" si="108"/>
        <v>0</v>
      </c>
      <c r="AA142" s="225">
        <f t="shared" si="108"/>
        <v>1</v>
      </c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78">
      <c r="A143" s="3">
        <f t="shared" si="106"/>
        <v>1989</v>
      </c>
      <c r="B143" s="9">
        <v>717</v>
      </c>
      <c r="C143" s="3">
        <v>719</v>
      </c>
      <c r="D143" s="3">
        <v>725</v>
      </c>
      <c r="E143" s="3">
        <v>1650</v>
      </c>
      <c r="F143" s="3">
        <v>1709</v>
      </c>
      <c r="G143" s="3">
        <v>1641</v>
      </c>
      <c r="H143" s="3">
        <v>1742</v>
      </c>
      <c r="I143" s="3">
        <v>1713</v>
      </c>
      <c r="J143" s="3">
        <v>1725</v>
      </c>
      <c r="K143" s="3">
        <v>1725</v>
      </c>
      <c r="L143" s="3">
        <v>1826</v>
      </c>
      <c r="M143" s="3">
        <v>1757</v>
      </c>
      <c r="N143" s="3"/>
      <c r="O143" s="254">
        <f t="shared" si="107"/>
        <v>1989</v>
      </c>
      <c r="P143" s="225">
        <f t="shared" si="108"/>
        <v>1</v>
      </c>
      <c r="Q143" s="225">
        <f t="shared" si="108"/>
        <v>1</v>
      </c>
      <c r="R143" s="225">
        <f t="shared" si="108"/>
        <v>1</v>
      </c>
      <c r="S143" s="225">
        <f t="shared" si="108"/>
        <v>0</v>
      </c>
      <c r="T143" s="225">
        <f t="shared" si="108"/>
        <v>0</v>
      </c>
      <c r="U143" s="225">
        <f t="shared" si="108"/>
        <v>0</v>
      </c>
      <c r="V143" s="225">
        <f t="shared" si="108"/>
        <v>0</v>
      </c>
      <c r="W143" s="225">
        <f t="shared" si="108"/>
        <v>0</v>
      </c>
      <c r="X143" s="225">
        <f t="shared" si="108"/>
        <v>0</v>
      </c>
      <c r="Y143" s="225">
        <f t="shared" si="108"/>
        <v>0</v>
      </c>
      <c r="Z143" s="225">
        <f t="shared" si="108"/>
        <v>0</v>
      </c>
      <c r="AA143" s="225">
        <f t="shared" si="108"/>
        <v>0</v>
      </c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</row>
    <row r="144" spans="1:78">
      <c r="A144" s="3">
        <f t="shared" si="106"/>
        <v>1990</v>
      </c>
      <c r="B144" s="9">
        <v>910</v>
      </c>
      <c r="C144" s="3">
        <v>714</v>
      </c>
      <c r="D144" s="3">
        <v>1608</v>
      </c>
      <c r="E144" s="3">
        <v>1742</v>
      </c>
      <c r="F144" s="3">
        <v>1736</v>
      </c>
      <c r="G144" s="3">
        <v>1714</v>
      </c>
      <c r="H144" s="3">
        <v>1644</v>
      </c>
      <c r="I144" s="3">
        <v>1634</v>
      </c>
      <c r="J144" s="3">
        <v>1635</v>
      </c>
      <c r="K144" s="3">
        <v>1648</v>
      </c>
      <c r="L144" s="3">
        <v>1821</v>
      </c>
      <c r="M144" s="3">
        <v>800</v>
      </c>
      <c r="N144" s="3"/>
      <c r="O144" s="254">
        <f t="shared" si="107"/>
        <v>1990</v>
      </c>
      <c r="P144" s="225">
        <f t="shared" si="108"/>
        <v>1</v>
      </c>
      <c r="Q144" s="225">
        <f t="shared" si="108"/>
        <v>1</v>
      </c>
      <c r="R144" s="225">
        <f t="shared" si="108"/>
        <v>0</v>
      </c>
      <c r="S144" s="225">
        <f t="shared" si="108"/>
        <v>0</v>
      </c>
      <c r="T144" s="225">
        <f t="shared" si="108"/>
        <v>0</v>
      </c>
      <c r="U144" s="225">
        <f t="shared" si="108"/>
        <v>0</v>
      </c>
      <c r="V144" s="225">
        <f t="shared" si="108"/>
        <v>0</v>
      </c>
      <c r="W144" s="225">
        <f t="shared" si="108"/>
        <v>0</v>
      </c>
      <c r="X144" s="225">
        <f t="shared" si="108"/>
        <v>0</v>
      </c>
      <c r="Y144" s="225">
        <f t="shared" si="108"/>
        <v>0</v>
      </c>
      <c r="Z144" s="225">
        <f t="shared" si="108"/>
        <v>0</v>
      </c>
      <c r="AA144" s="225">
        <f t="shared" si="108"/>
        <v>1</v>
      </c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</row>
    <row r="145" spans="1:78">
      <c r="A145" s="3">
        <f t="shared" si="106"/>
        <v>1991</v>
      </c>
      <c r="B145" s="9">
        <v>717</v>
      </c>
      <c r="C145" s="3">
        <v>855</v>
      </c>
      <c r="D145" s="3">
        <v>730</v>
      </c>
      <c r="E145" s="3">
        <v>1739</v>
      </c>
      <c r="F145" s="3">
        <v>1653</v>
      </c>
      <c r="G145" s="3">
        <v>1603</v>
      </c>
      <c r="H145" s="3">
        <v>1654</v>
      </c>
      <c r="I145" s="3">
        <v>1523</v>
      </c>
      <c r="J145" s="3">
        <v>1622</v>
      </c>
      <c r="K145" s="3">
        <v>1723</v>
      </c>
      <c r="L145" s="3">
        <v>715</v>
      </c>
      <c r="M145" s="3">
        <v>716</v>
      </c>
      <c r="N145" s="3"/>
      <c r="O145" s="254">
        <f t="shared" si="107"/>
        <v>1991</v>
      </c>
      <c r="P145" s="225">
        <f t="shared" si="108"/>
        <v>1</v>
      </c>
      <c r="Q145" s="225">
        <f t="shared" si="108"/>
        <v>1</v>
      </c>
      <c r="R145" s="225">
        <f t="shared" si="108"/>
        <v>1</v>
      </c>
      <c r="S145" s="225">
        <f t="shared" si="108"/>
        <v>0</v>
      </c>
      <c r="T145" s="225">
        <f t="shared" si="108"/>
        <v>0</v>
      </c>
      <c r="U145" s="225">
        <f t="shared" si="108"/>
        <v>0</v>
      </c>
      <c r="V145" s="225">
        <f t="shared" si="108"/>
        <v>0</v>
      </c>
      <c r="W145" s="225">
        <f t="shared" si="108"/>
        <v>0</v>
      </c>
      <c r="X145" s="225">
        <f t="shared" si="108"/>
        <v>0</v>
      </c>
      <c r="Y145" s="225">
        <f t="shared" si="108"/>
        <v>0</v>
      </c>
      <c r="Z145" s="225">
        <f t="shared" si="108"/>
        <v>1</v>
      </c>
      <c r="AA145" s="225">
        <f t="shared" si="108"/>
        <v>1</v>
      </c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</row>
    <row r="146" spans="1:78">
      <c r="A146" s="3">
        <f t="shared" si="106"/>
        <v>1992</v>
      </c>
      <c r="B146" s="9">
        <v>736</v>
      </c>
      <c r="C146" s="3">
        <v>829</v>
      </c>
      <c r="D146" s="3">
        <v>1902</v>
      </c>
      <c r="E146" s="3">
        <v>1657</v>
      </c>
      <c r="F146" s="3">
        <v>1642</v>
      </c>
      <c r="G146" s="3">
        <v>1716</v>
      </c>
      <c r="H146" s="3">
        <v>1619</v>
      </c>
      <c r="I146" s="3">
        <v>1449</v>
      </c>
      <c r="J146" s="3">
        <v>1650</v>
      </c>
      <c r="K146" s="3">
        <v>1631</v>
      </c>
      <c r="L146" s="3">
        <v>1819</v>
      </c>
      <c r="M146" s="3">
        <v>724</v>
      </c>
      <c r="N146" s="3"/>
      <c r="O146" s="254">
        <f t="shared" si="107"/>
        <v>1992</v>
      </c>
      <c r="P146" s="225">
        <f t="shared" si="108"/>
        <v>1</v>
      </c>
      <c r="Q146" s="225">
        <f t="shared" si="108"/>
        <v>1</v>
      </c>
      <c r="R146" s="225">
        <f t="shared" si="108"/>
        <v>0</v>
      </c>
      <c r="S146" s="225">
        <f t="shared" si="108"/>
        <v>0</v>
      </c>
      <c r="T146" s="225">
        <f t="shared" si="108"/>
        <v>0</v>
      </c>
      <c r="U146" s="225">
        <f t="shared" si="108"/>
        <v>0</v>
      </c>
      <c r="V146" s="225">
        <f t="shared" si="108"/>
        <v>0</v>
      </c>
      <c r="W146" s="225">
        <f t="shared" si="108"/>
        <v>0</v>
      </c>
      <c r="X146" s="225">
        <f t="shared" si="108"/>
        <v>0</v>
      </c>
      <c r="Y146" s="225">
        <f t="shared" si="108"/>
        <v>0</v>
      </c>
      <c r="Z146" s="225">
        <f t="shared" si="108"/>
        <v>0</v>
      </c>
      <c r="AA146" s="225">
        <f t="shared" si="108"/>
        <v>1</v>
      </c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78">
      <c r="A147" s="3">
        <f t="shared" si="106"/>
        <v>1993</v>
      </c>
      <c r="B147" s="9">
        <v>738</v>
      </c>
      <c r="C147" s="3">
        <v>718</v>
      </c>
      <c r="D147" s="3">
        <v>658</v>
      </c>
      <c r="E147" s="3">
        <v>1756</v>
      </c>
      <c r="F147" s="3">
        <v>1733</v>
      </c>
      <c r="G147" s="3">
        <v>1744</v>
      </c>
      <c r="H147" s="3">
        <v>1650</v>
      </c>
      <c r="I147" s="3">
        <v>1655</v>
      </c>
      <c r="J147" s="3">
        <v>1615</v>
      </c>
      <c r="K147" s="3">
        <v>1650</v>
      </c>
      <c r="L147" s="3">
        <v>1816</v>
      </c>
      <c r="M147" s="3">
        <v>817</v>
      </c>
      <c r="N147" s="3"/>
      <c r="O147" s="254">
        <f t="shared" si="107"/>
        <v>1993</v>
      </c>
      <c r="P147" s="225">
        <f t="shared" si="108"/>
        <v>1</v>
      </c>
      <c r="Q147" s="225">
        <f t="shared" si="108"/>
        <v>1</v>
      </c>
      <c r="R147" s="225">
        <f t="shared" si="108"/>
        <v>0</v>
      </c>
      <c r="S147" s="225">
        <f t="shared" si="108"/>
        <v>0</v>
      </c>
      <c r="T147" s="225">
        <f t="shared" si="108"/>
        <v>0</v>
      </c>
      <c r="U147" s="225">
        <f t="shared" si="108"/>
        <v>0</v>
      </c>
      <c r="V147" s="225">
        <f t="shared" si="108"/>
        <v>0</v>
      </c>
      <c r="W147" s="225">
        <f t="shared" si="108"/>
        <v>0</v>
      </c>
      <c r="X147" s="225">
        <f t="shared" si="108"/>
        <v>0</v>
      </c>
      <c r="Y147" s="225">
        <f t="shared" si="108"/>
        <v>0</v>
      </c>
      <c r="Z147" s="225">
        <f t="shared" si="108"/>
        <v>0</v>
      </c>
      <c r="AA147" s="225">
        <f t="shared" si="108"/>
        <v>1</v>
      </c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</row>
    <row r="148" spans="1:78">
      <c r="A148" s="3">
        <f t="shared" si="106"/>
        <v>1994</v>
      </c>
      <c r="B148" s="9">
        <v>711</v>
      </c>
      <c r="C148" s="3">
        <v>653</v>
      </c>
      <c r="D148" s="3">
        <v>1620</v>
      </c>
      <c r="E148" s="3">
        <v>1641</v>
      </c>
      <c r="F148" s="3">
        <v>1629</v>
      </c>
      <c r="G148" s="3">
        <v>1627</v>
      </c>
      <c r="H148" s="3">
        <v>1733</v>
      </c>
      <c r="I148" s="3">
        <v>1648</v>
      </c>
      <c r="J148" s="3">
        <v>1555</v>
      </c>
      <c r="K148" s="3">
        <v>1624</v>
      </c>
      <c r="L148" s="3">
        <v>1820</v>
      </c>
      <c r="M148" s="3">
        <v>1815</v>
      </c>
      <c r="N148" s="3"/>
      <c r="O148" s="254">
        <f t="shared" si="107"/>
        <v>1994</v>
      </c>
      <c r="P148" s="225">
        <f t="shared" si="108"/>
        <v>1</v>
      </c>
      <c r="Q148" s="225">
        <f t="shared" si="108"/>
        <v>0</v>
      </c>
      <c r="R148" s="225">
        <f t="shared" si="108"/>
        <v>0</v>
      </c>
      <c r="S148" s="225">
        <f t="shared" ref="S148:AA176" si="109">IF(AND(E148&gt;700,E148&lt;1000),1,0)</f>
        <v>0</v>
      </c>
      <c r="T148" s="225">
        <f t="shared" si="109"/>
        <v>0</v>
      </c>
      <c r="U148" s="225">
        <f t="shared" si="109"/>
        <v>0</v>
      </c>
      <c r="V148" s="225">
        <f t="shared" si="109"/>
        <v>0</v>
      </c>
      <c r="W148" s="225">
        <f t="shared" si="109"/>
        <v>0</v>
      </c>
      <c r="X148" s="225">
        <f t="shared" si="109"/>
        <v>0</v>
      </c>
      <c r="Y148" s="225">
        <f t="shared" si="109"/>
        <v>0</v>
      </c>
      <c r="Z148" s="225">
        <f t="shared" si="109"/>
        <v>0</v>
      </c>
      <c r="AA148" s="225">
        <f t="shared" si="109"/>
        <v>0</v>
      </c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78">
      <c r="A149" s="3">
        <f t="shared" si="106"/>
        <v>1995</v>
      </c>
      <c r="B149" s="9">
        <v>744</v>
      </c>
      <c r="C149" s="3">
        <v>717</v>
      </c>
      <c r="D149" s="3">
        <v>711</v>
      </c>
      <c r="E149" s="3">
        <v>1557</v>
      </c>
      <c r="F149" s="3">
        <v>1747</v>
      </c>
      <c r="G149" s="3">
        <v>1638</v>
      </c>
      <c r="H149" s="3">
        <v>1612</v>
      </c>
      <c r="I149" s="3">
        <v>1621</v>
      </c>
      <c r="J149" s="3">
        <v>1648</v>
      </c>
      <c r="K149" s="3">
        <v>1616</v>
      </c>
      <c r="L149" s="3">
        <v>1542</v>
      </c>
      <c r="M149" s="3">
        <v>718</v>
      </c>
      <c r="N149" s="3"/>
      <c r="O149" s="254">
        <f t="shared" si="107"/>
        <v>1995</v>
      </c>
      <c r="P149" s="225">
        <f t="shared" ref="P149:R176" si="110">IF(AND(B149&gt;700,B149&lt;1000),1,0)</f>
        <v>1</v>
      </c>
      <c r="Q149" s="225">
        <f t="shared" si="110"/>
        <v>1</v>
      </c>
      <c r="R149" s="225">
        <f t="shared" si="110"/>
        <v>1</v>
      </c>
      <c r="S149" s="225">
        <f t="shared" si="109"/>
        <v>0</v>
      </c>
      <c r="T149" s="225">
        <f t="shared" si="109"/>
        <v>0</v>
      </c>
      <c r="U149" s="225">
        <f t="shared" si="109"/>
        <v>0</v>
      </c>
      <c r="V149" s="225">
        <f t="shared" si="109"/>
        <v>0</v>
      </c>
      <c r="W149" s="225">
        <f t="shared" si="109"/>
        <v>0</v>
      </c>
      <c r="X149" s="225">
        <f t="shared" si="109"/>
        <v>0</v>
      </c>
      <c r="Y149" s="225">
        <f t="shared" si="109"/>
        <v>0</v>
      </c>
      <c r="Z149" s="225">
        <f t="shared" si="109"/>
        <v>0</v>
      </c>
      <c r="AA149" s="225">
        <f t="shared" si="109"/>
        <v>1</v>
      </c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</row>
    <row r="150" spans="1:78">
      <c r="A150" s="3">
        <f t="shared" si="106"/>
        <v>1996</v>
      </c>
      <c r="B150" s="9">
        <v>711</v>
      </c>
      <c r="C150" s="3">
        <v>702</v>
      </c>
      <c r="D150" s="3">
        <v>821</v>
      </c>
      <c r="E150" s="3">
        <v>1650</v>
      </c>
      <c r="F150" s="3">
        <v>1650</v>
      </c>
      <c r="G150" s="3">
        <v>1408</v>
      </c>
      <c r="H150" s="3">
        <v>1654</v>
      </c>
      <c r="I150" s="3">
        <v>1652</v>
      </c>
      <c r="J150" s="3">
        <v>1613</v>
      </c>
      <c r="K150" s="3">
        <v>1522</v>
      </c>
      <c r="L150" s="3">
        <v>1531</v>
      </c>
      <c r="M150" s="3">
        <v>722</v>
      </c>
      <c r="N150" s="3"/>
      <c r="O150" s="254">
        <f t="shared" si="107"/>
        <v>1996</v>
      </c>
      <c r="P150" s="225">
        <f t="shared" si="110"/>
        <v>1</v>
      </c>
      <c r="Q150" s="225">
        <f t="shared" si="110"/>
        <v>1</v>
      </c>
      <c r="R150" s="225">
        <f t="shared" si="110"/>
        <v>1</v>
      </c>
      <c r="S150" s="225">
        <f t="shared" si="109"/>
        <v>0</v>
      </c>
      <c r="T150" s="225">
        <f t="shared" si="109"/>
        <v>0</v>
      </c>
      <c r="U150" s="225">
        <f t="shared" si="109"/>
        <v>0</v>
      </c>
      <c r="V150" s="225">
        <f t="shared" si="109"/>
        <v>0</v>
      </c>
      <c r="W150" s="225">
        <f t="shared" si="109"/>
        <v>0</v>
      </c>
      <c r="X150" s="225">
        <f t="shared" si="109"/>
        <v>0</v>
      </c>
      <c r="Y150" s="225">
        <f t="shared" si="109"/>
        <v>0</v>
      </c>
      <c r="Z150" s="225">
        <f t="shared" si="109"/>
        <v>0</v>
      </c>
      <c r="AA150" s="225">
        <f t="shared" si="109"/>
        <v>1</v>
      </c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78">
      <c r="A151" s="3">
        <f t="shared" si="106"/>
        <v>1997</v>
      </c>
      <c r="B151" s="9">
        <v>812</v>
      </c>
      <c r="C151" s="3">
        <v>704</v>
      </c>
      <c r="D151" s="3">
        <v>1857</v>
      </c>
      <c r="E151" s="3">
        <v>1744</v>
      </c>
      <c r="F151" s="3">
        <v>1751</v>
      </c>
      <c r="G151" s="3">
        <v>1607</v>
      </c>
      <c r="H151" s="3">
        <v>1514</v>
      </c>
      <c r="I151" s="3">
        <v>1603</v>
      </c>
      <c r="J151" s="3">
        <v>1625</v>
      </c>
      <c r="K151" s="3">
        <v>1641</v>
      </c>
      <c r="L151" s="3">
        <v>1424</v>
      </c>
      <c r="M151" s="3">
        <v>1847</v>
      </c>
      <c r="N151" s="3"/>
      <c r="O151" s="254">
        <f t="shared" si="107"/>
        <v>1997</v>
      </c>
      <c r="P151" s="225">
        <f t="shared" si="110"/>
        <v>1</v>
      </c>
      <c r="Q151" s="225">
        <f t="shared" si="110"/>
        <v>1</v>
      </c>
      <c r="R151" s="225">
        <f t="shared" si="110"/>
        <v>0</v>
      </c>
      <c r="S151" s="225">
        <f t="shared" si="109"/>
        <v>0</v>
      </c>
      <c r="T151" s="225">
        <f t="shared" si="109"/>
        <v>0</v>
      </c>
      <c r="U151" s="225">
        <f t="shared" si="109"/>
        <v>0</v>
      </c>
      <c r="V151" s="225">
        <f t="shared" si="109"/>
        <v>0</v>
      </c>
      <c r="W151" s="225">
        <f t="shared" si="109"/>
        <v>0</v>
      </c>
      <c r="X151" s="225">
        <f t="shared" si="109"/>
        <v>0</v>
      </c>
      <c r="Y151" s="225">
        <f t="shared" si="109"/>
        <v>0</v>
      </c>
      <c r="Z151" s="225">
        <f t="shared" si="109"/>
        <v>0</v>
      </c>
      <c r="AA151" s="225">
        <f t="shared" si="109"/>
        <v>0</v>
      </c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</row>
    <row r="152" spans="1:78">
      <c r="A152" s="3">
        <f t="shared" si="106"/>
        <v>1998</v>
      </c>
      <c r="B152" s="9">
        <v>714</v>
      </c>
      <c r="C152" s="3">
        <v>740</v>
      </c>
      <c r="D152" s="3">
        <v>657</v>
      </c>
      <c r="E152" s="3">
        <v>1618</v>
      </c>
      <c r="F152" s="3">
        <v>1550</v>
      </c>
      <c r="G152" s="3">
        <v>1625</v>
      </c>
      <c r="H152" s="3">
        <v>1519</v>
      </c>
      <c r="I152" s="3">
        <v>1642</v>
      </c>
      <c r="J152" s="3">
        <v>1510</v>
      </c>
      <c r="K152" s="3">
        <v>1529</v>
      </c>
      <c r="L152" s="3">
        <v>1833</v>
      </c>
      <c r="M152" s="3">
        <v>1829</v>
      </c>
      <c r="N152" s="3"/>
      <c r="O152" s="254">
        <f t="shared" si="107"/>
        <v>1998</v>
      </c>
      <c r="P152" s="225">
        <f t="shared" si="110"/>
        <v>1</v>
      </c>
      <c r="Q152" s="225">
        <f t="shared" si="110"/>
        <v>1</v>
      </c>
      <c r="R152" s="225">
        <f t="shared" si="110"/>
        <v>0</v>
      </c>
      <c r="S152" s="225">
        <f t="shared" si="109"/>
        <v>0</v>
      </c>
      <c r="T152" s="225">
        <f t="shared" si="109"/>
        <v>0</v>
      </c>
      <c r="U152" s="225">
        <f t="shared" si="109"/>
        <v>0</v>
      </c>
      <c r="V152" s="225">
        <f t="shared" si="109"/>
        <v>0</v>
      </c>
      <c r="W152" s="225">
        <f t="shared" si="109"/>
        <v>0</v>
      </c>
      <c r="X152" s="225">
        <f t="shared" si="109"/>
        <v>0</v>
      </c>
      <c r="Y152" s="225">
        <f t="shared" si="109"/>
        <v>0</v>
      </c>
      <c r="Z152" s="225">
        <f t="shared" si="109"/>
        <v>0</v>
      </c>
      <c r="AA152" s="225">
        <f t="shared" si="109"/>
        <v>0</v>
      </c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78">
      <c r="A153" s="3">
        <f t="shared" si="106"/>
        <v>1999</v>
      </c>
      <c r="B153" s="9">
        <v>742</v>
      </c>
      <c r="C153" s="3">
        <v>703</v>
      </c>
      <c r="D153" s="3">
        <v>709</v>
      </c>
      <c r="E153" s="3">
        <v>1746</v>
      </c>
      <c r="F153" s="3">
        <v>1649</v>
      </c>
      <c r="G153" s="3">
        <v>1610</v>
      </c>
      <c r="H153" s="3">
        <v>1646</v>
      </c>
      <c r="I153" s="3">
        <v>1645</v>
      </c>
      <c r="J153" s="3">
        <v>1650</v>
      </c>
      <c r="K153" s="3">
        <v>1615</v>
      </c>
      <c r="L153" s="3">
        <v>1800</v>
      </c>
      <c r="M153" s="3">
        <v>652</v>
      </c>
      <c r="N153" s="3"/>
      <c r="O153" s="254">
        <f t="shared" si="107"/>
        <v>1999</v>
      </c>
      <c r="P153" s="225">
        <f t="shared" si="110"/>
        <v>1</v>
      </c>
      <c r="Q153" s="225">
        <f t="shared" si="110"/>
        <v>1</v>
      </c>
      <c r="R153" s="225">
        <f t="shared" si="110"/>
        <v>1</v>
      </c>
      <c r="S153" s="225">
        <f t="shared" si="109"/>
        <v>0</v>
      </c>
      <c r="T153" s="225">
        <f t="shared" si="109"/>
        <v>0</v>
      </c>
      <c r="U153" s="225">
        <f t="shared" si="109"/>
        <v>0</v>
      </c>
      <c r="V153" s="225">
        <f t="shared" si="109"/>
        <v>0</v>
      </c>
      <c r="W153" s="225">
        <f t="shared" si="109"/>
        <v>0</v>
      </c>
      <c r="X153" s="225">
        <f t="shared" si="109"/>
        <v>0</v>
      </c>
      <c r="Y153" s="225">
        <f t="shared" si="109"/>
        <v>0</v>
      </c>
      <c r="Z153" s="225">
        <f t="shared" si="109"/>
        <v>0</v>
      </c>
      <c r="AA153" s="225">
        <f t="shared" si="109"/>
        <v>0</v>
      </c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78">
      <c r="A154" s="3">
        <f t="shared" si="106"/>
        <v>2000</v>
      </c>
      <c r="B154" s="9">
        <v>701</v>
      </c>
      <c r="C154" s="3">
        <v>807</v>
      </c>
      <c r="D154" s="3">
        <v>1622</v>
      </c>
      <c r="E154" s="3">
        <v>1729</v>
      </c>
      <c r="F154" s="3">
        <v>1654</v>
      </c>
      <c r="G154" s="3">
        <v>1642</v>
      </c>
      <c r="H154" s="3">
        <v>1624</v>
      </c>
      <c r="I154" s="3">
        <v>1646</v>
      </c>
      <c r="J154" s="3">
        <v>1657</v>
      </c>
      <c r="K154" s="3">
        <v>1511</v>
      </c>
      <c r="L154" s="3">
        <v>1828</v>
      </c>
      <c r="M154" s="3">
        <v>708</v>
      </c>
      <c r="N154" s="3"/>
      <c r="O154" s="254">
        <f t="shared" si="107"/>
        <v>2000</v>
      </c>
      <c r="P154" s="225">
        <f t="shared" si="110"/>
        <v>1</v>
      </c>
      <c r="Q154" s="225">
        <f t="shared" si="110"/>
        <v>1</v>
      </c>
      <c r="R154" s="225">
        <f t="shared" si="110"/>
        <v>0</v>
      </c>
      <c r="S154" s="225">
        <f t="shared" si="109"/>
        <v>0</v>
      </c>
      <c r="T154" s="225">
        <f t="shared" si="109"/>
        <v>0</v>
      </c>
      <c r="U154" s="225">
        <f t="shared" si="109"/>
        <v>0</v>
      </c>
      <c r="V154" s="225">
        <f t="shared" si="109"/>
        <v>0</v>
      </c>
      <c r="W154" s="225">
        <f t="shared" si="109"/>
        <v>0</v>
      </c>
      <c r="X154" s="225">
        <f t="shared" si="109"/>
        <v>0</v>
      </c>
      <c r="Y154" s="225">
        <f t="shared" si="109"/>
        <v>0</v>
      </c>
      <c r="Z154" s="225">
        <f t="shared" si="109"/>
        <v>0</v>
      </c>
      <c r="AA154" s="225">
        <f t="shared" si="109"/>
        <v>1</v>
      </c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78">
      <c r="A155" s="3">
        <f t="shared" si="106"/>
        <v>2001</v>
      </c>
      <c r="B155" s="9">
        <v>707</v>
      </c>
      <c r="C155" s="3">
        <v>704</v>
      </c>
      <c r="D155" s="3">
        <v>1923</v>
      </c>
      <c r="E155" s="3">
        <v>1700</v>
      </c>
      <c r="F155" s="3">
        <v>1623</v>
      </c>
      <c r="G155" s="3">
        <v>1726</v>
      </c>
      <c r="H155" s="3">
        <v>1616</v>
      </c>
      <c r="I155" s="3">
        <v>1614</v>
      </c>
      <c r="J155" s="3">
        <v>1437</v>
      </c>
      <c r="K155" s="3">
        <v>1921</v>
      </c>
      <c r="L155" s="3">
        <v>1831</v>
      </c>
      <c r="M155" s="3">
        <v>804</v>
      </c>
      <c r="N155" s="3"/>
      <c r="O155" s="254">
        <f t="shared" si="107"/>
        <v>2001</v>
      </c>
      <c r="P155" s="225">
        <f t="shared" si="110"/>
        <v>1</v>
      </c>
      <c r="Q155" s="225">
        <f t="shared" si="110"/>
        <v>1</v>
      </c>
      <c r="R155" s="225">
        <f t="shared" si="110"/>
        <v>0</v>
      </c>
      <c r="S155" s="225">
        <f t="shared" si="109"/>
        <v>0</v>
      </c>
      <c r="T155" s="225">
        <f t="shared" si="109"/>
        <v>0</v>
      </c>
      <c r="U155" s="225">
        <f t="shared" si="109"/>
        <v>0</v>
      </c>
      <c r="V155" s="225">
        <f t="shared" si="109"/>
        <v>0</v>
      </c>
      <c r="W155" s="225">
        <f t="shared" si="109"/>
        <v>0</v>
      </c>
      <c r="X155" s="225">
        <f t="shared" si="109"/>
        <v>0</v>
      </c>
      <c r="Y155" s="225">
        <f t="shared" si="109"/>
        <v>0</v>
      </c>
      <c r="Z155" s="225">
        <f t="shared" si="109"/>
        <v>0</v>
      </c>
      <c r="AA155" s="225">
        <f t="shared" si="109"/>
        <v>1</v>
      </c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78">
      <c r="A156" s="3">
        <f t="shared" si="106"/>
        <v>2002</v>
      </c>
      <c r="B156" s="9">
        <v>714</v>
      </c>
      <c r="C156" s="3">
        <v>713</v>
      </c>
      <c r="D156" s="3">
        <v>721</v>
      </c>
      <c r="E156" s="3">
        <v>1554</v>
      </c>
      <c r="F156" s="3">
        <v>1700</v>
      </c>
      <c r="G156" s="3">
        <v>1519</v>
      </c>
      <c r="H156" s="3">
        <v>1651</v>
      </c>
      <c r="I156" s="3">
        <v>1543</v>
      </c>
      <c r="J156" s="3">
        <v>1658</v>
      </c>
      <c r="K156" s="3">
        <v>1654</v>
      </c>
      <c r="L156" s="3">
        <v>1412</v>
      </c>
      <c r="M156" s="3">
        <v>711</v>
      </c>
      <c r="N156" s="3"/>
      <c r="O156" s="254">
        <f t="shared" si="107"/>
        <v>2002</v>
      </c>
      <c r="P156" s="225">
        <f t="shared" si="110"/>
        <v>1</v>
      </c>
      <c r="Q156" s="225">
        <f t="shared" si="110"/>
        <v>1</v>
      </c>
      <c r="R156" s="225">
        <f t="shared" si="110"/>
        <v>1</v>
      </c>
      <c r="S156" s="225">
        <f t="shared" si="109"/>
        <v>0</v>
      </c>
      <c r="T156" s="225">
        <f t="shared" si="109"/>
        <v>0</v>
      </c>
      <c r="U156" s="225">
        <f t="shared" si="109"/>
        <v>0</v>
      </c>
      <c r="V156" s="225">
        <f t="shared" si="109"/>
        <v>0</v>
      </c>
      <c r="W156" s="225">
        <f t="shared" si="109"/>
        <v>0</v>
      </c>
      <c r="X156" s="225">
        <f t="shared" si="109"/>
        <v>0</v>
      </c>
      <c r="Y156" s="225">
        <f t="shared" si="109"/>
        <v>0</v>
      </c>
      <c r="Z156" s="225">
        <f t="shared" si="109"/>
        <v>0</v>
      </c>
      <c r="AA156" s="225">
        <f t="shared" si="109"/>
        <v>1</v>
      </c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78">
      <c r="A157" s="3">
        <f t="shared" si="106"/>
        <v>2003</v>
      </c>
      <c r="B157" s="9">
        <v>703</v>
      </c>
      <c r="C157" s="3">
        <v>700</v>
      </c>
      <c r="D157" s="3">
        <v>1516</v>
      </c>
      <c r="E157" s="3">
        <v>1658</v>
      </c>
      <c r="F157" s="3">
        <v>1630</v>
      </c>
      <c r="G157" s="3">
        <v>1522</v>
      </c>
      <c r="H157" s="3">
        <v>1625</v>
      </c>
      <c r="I157" s="3">
        <v>1650</v>
      </c>
      <c r="J157" s="3">
        <v>1703</v>
      </c>
      <c r="K157" s="3">
        <v>1626</v>
      </c>
      <c r="L157" s="3">
        <v>1437</v>
      </c>
      <c r="M157" s="3">
        <v>812</v>
      </c>
      <c r="N157" s="3"/>
      <c r="O157" s="254">
        <f t="shared" si="107"/>
        <v>2003</v>
      </c>
      <c r="P157" s="225">
        <f t="shared" si="110"/>
        <v>1</v>
      </c>
      <c r="Q157" s="225">
        <f t="shared" si="110"/>
        <v>0</v>
      </c>
      <c r="R157" s="225">
        <f t="shared" si="110"/>
        <v>0</v>
      </c>
      <c r="S157" s="225">
        <f t="shared" si="109"/>
        <v>0</v>
      </c>
      <c r="T157" s="225">
        <f t="shared" si="109"/>
        <v>0</v>
      </c>
      <c r="U157" s="225">
        <f t="shared" si="109"/>
        <v>0</v>
      </c>
      <c r="V157" s="225">
        <f t="shared" si="109"/>
        <v>0</v>
      </c>
      <c r="W157" s="225">
        <f t="shared" si="109"/>
        <v>0</v>
      </c>
      <c r="X157" s="225">
        <f t="shared" si="109"/>
        <v>0</v>
      </c>
      <c r="Y157" s="225">
        <f t="shared" si="109"/>
        <v>0</v>
      </c>
      <c r="Z157" s="225">
        <f t="shared" si="109"/>
        <v>0</v>
      </c>
      <c r="AA157" s="225">
        <f t="shared" si="109"/>
        <v>1</v>
      </c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78">
      <c r="A158" s="3">
        <f t="shared" si="106"/>
        <v>2004</v>
      </c>
      <c r="B158" s="9">
        <v>705</v>
      </c>
      <c r="C158" s="3">
        <v>706</v>
      </c>
      <c r="D158" s="3">
        <v>1648</v>
      </c>
      <c r="E158" s="3">
        <v>1559</v>
      </c>
      <c r="F158" s="3">
        <v>1626</v>
      </c>
      <c r="G158" s="3">
        <v>1646</v>
      </c>
      <c r="H158" s="3">
        <v>1642</v>
      </c>
      <c r="I158" s="3">
        <v>1546</v>
      </c>
      <c r="J158" s="3">
        <v>1550</v>
      </c>
      <c r="K158" s="3">
        <v>1630</v>
      </c>
      <c r="L158" s="3">
        <v>1538</v>
      </c>
      <c r="M158" s="3">
        <v>704</v>
      </c>
      <c r="N158" s="3"/>
      <c r="O158" s="254">
        <f t="shared" si="107"/>
        <v>2004</v>
      </c>
      <c r="P158" s="225">
        <f t="shared" si="110"/>
        <v>1</v>
      </c>
      <c r="Q158" s="225">
        <f t="shared" si="110"/>
        <v>1</v>
      </c>
      <c r="R158" s="225">
        <f t="shared" si="110"/>
        <v>0</v>
      </c>
      <c r="S158" s="225">
        <f t="shared" si="109"/>
        <v>0</v>
      </c>
      <c r="T158" s="225">
        <f t="shared" si="109"/>
        <v>0</v>
      </c>
      <c r="U158" s="225">
        <f t="shared" si="109"/>
        <v>0</v>
      </c>
      <c r="V158" s="225">
        <f t="shared" si="109"/>
        <v>0</v>
      </c>
      <c r="W158" s="225">
        <f t="shared" si="109"/>
        <v>0</v>
      </c>
      <c r="X158" s="225">
        <f t="shared" si="109"/>
        <v>0</v>
      </c>
      <c r="Y158" s="225">
        <f t="shared" si="109"/>
        <v>0</v>
      </c>
      <c r="Z158" s="225">
        <f t="shared" si="109"/>
        <v>0</v>
      </c>
      <c r="AA158" s="225">
        <f t="shared" si="109"/>
        <v>1</v>
      </c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78">
      <c r="A159" s="3">
        <f t="shared" ref="A159:A177" si="111">A39</f>
        <v>2005</v>
      </c>
      <c r="B159" s="9">
        <v>710</v>
      </c>
      <c r="C159" s="3">
        <v>712</v>
      </c>
      <c r="D159" s="3">
        <v>1642</v>
      </c>
      <c r="E159" s="3">
        <v>1735</v>
      </c>
      <c r="F159" s="3">
        <v>1652</v>
      </c>
      <c r="G159" s="3">
        <v>1639</v>
      </c>
      <c r="H159" s="3">
        <v>1626</v>
      </c>
      <c r="I159" s="3">
        <v>1650</v>
      </c>
      <c r="J159" s="3">
        <v>1628</v>
      </c>
      <c r="K159" s="3">
        <v>1622</v>
      </c>
      <c r="L159" s="3">
        <v>1831</v>
      </c>
      <c r="M159" s="3">
        <v>800</v>
      </c>
      <c r="N159" s="3"/>
      <c r="O159" s="254">
        <f t="shared" si="107"/>
        <v>2005</v>
      </c>
      <c r="P159" s="225">
        <f t="shared" si="110"/>
        <v>1</v>
      </c>
      <c r="Q159" s="225">
        <f t="shared" si="110"/>
        <v>1</v>
      </c>
      <c r="R159" s="225">
        <f t="shared" si="110"/>
        <v>0</v>
      </c>
      <c r="S159" s="225">
        <f t="shared" si="109"/>
        <v>0</v>
      </c>
      <c r="T159" s="225">
        <f t="shared" si="109"/>
        <v>0</v>
      </c>
      <c r="U159" s="225">
        <f t="shared" si="109"/>
        <v>0</v>
      </c>
      <c r="V159" s="225">
        <f t="shared" si="109"/>
        <v>0</v>
      </c>
      <c r="W159" s="225">
        <f t="shared" si="109"/>
        <v>0</v>
      </c>
      <c r="X159" s="225">
        <f t="shared" si="109"/>
        <v>0</v>
      </c>
      <c r="Y159" s="225">
        <f t="shared" si="109"/>
        <v>0</v>
      </c>
      <c r="Z159" s="225">
        <f t="shared" si="109"/>
        <v>0</v>
      </c>
      <c r="AA159" s="225">
        <f t="shared" si="109"/>
        <v>1</v>
      </c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78">
      <c r="A160" s="3">
        <f t="shared" si="111"/>
        <v>2006</v>
      </c>
      <c r="B160" s="9">
        <v>657</v>
      </c>
      <c r="C160" s="3">
        <v>646</v>
      </c>
      <c r="D160" s="3">
        <v>1923</v>
      </c>
      <c r="E160" s="3">
        <v>1521</v>
      </c>
      <c r="F160" s="3">
        <v>1651</v>
      </c>
      <c r="G160" s="3">
        <v>1705</v>
      </c>
      <c r="H160" s="3">
        <v>1638</v>
      </c>
      <c r="I160" s="3">
        <v>1645</v>
      </c>
      <c r="J160" s="3">
        <v>1619</v>
      </c>
      <c r="K160" s="3">
        <v>1605</v>
      </c>
      <c r="L160" s="3">
        <v>1550</v>
      </c>
      <c r="M160" s="3">
        <v>1829</v>
      </c>
      <c r="N160" s="3"/>
      <c r="O160" s="254">
        <f t="shared" si="107"/>
        <v>2006</v>
      </c>
      <c r="P160" s="225">
        <f t="shared" si="110"/>
        <v>0</v>
      </c>
      <c r="Q160" s="225">
        <f t="shared" si="110"/>
        <v>0</v>
      </c>
      <c r="R160" s="225">
        <f t="shared" si="110"/>
        <v>0</v>
      </c>
      <c r="S160" s="225">
        <f t="shared" si="109"/>
        <v>0</v>
      </c>
      <c r="T160" s="225">
        <f t="shared" si="109"/>
        <v>0</v>
      </c>
      <c r="U160" s="225">
        <f t="shared" si="109"/>
        <v>0</v>
      </c>
      <c r="V160" s="225">
        <f t="shared" si="109"/>
        <v>0</v>
      </c>
      <c r="W160" s="225">
        <f t="shared" si="109"/>
        <v>0</v>
      </c>
      <c r="X160" s="225">
        <f t="shared" si="109"/>
        <v>0</v>
      </c>
      <c r="Y160" s="225">
        <f t="shared" si="109"/>
        <v>0</v>
      </c>
      <c r="Z160" s="225">
        <f t="shared" si="109"/>
        <v>0</v>
      </c>
      <c r="AA160" s="225">
        <f t="shared" si="109"/>
        <v>0</v>
      </c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1:78" ht="15.75">
      <c r="A161" s="3">
        <f t="shared" si="111"/>
        <v>2007</v>
      </c>
      <c r="B161" s="395">
        <v>711</v>
      </c>
      <c r="C161" s="396">
        <v>724</v>
      </c>
      <c r="D161" s="396">
        <v>1723</v>
      </c>
      <c r="E161" s="396">
        <v>1643</v>
      </c>
      <c r="F161" s="396">
        <v>1648</v>
      </c>
      <c r="G161" s="396">
        <v>1608</v>
      </c>
      <c r="H161" s="396">
        <v>1653</v>
      </c>
      <c r="I161" s="396">
        <v>1709</v>
      </c>
      <c r="J161" s="396">
        <v>1653</v>
      </c>
      <c r="K161" s="396">
        <v>1628</v>
      </c>
      <c r="L161" s="396">
        <v>1622</v>
      </c>
      <c r="M161" s="396">
        <v>2026</v>
      </c>
      <c r="N161" s="3"/>
      <c r="O161" s="254">
        <f t="shared" si="107"/>
        <v>2007</v>
      </c>
      <c r="P161" s="225">
        <f t="shared" si="110"/>
        <v>1</v>
      </c>
      <c r="Q161" s="225">
        <f t="shared" si="110"/>
        <v>1</v>
      </c>
      <c r="R161" s="225">
        <f t="shared" si="110"/>
        <v>0</v>
      </c>
      <c r="S161" s="225">
        <f t="shared" si="109"/>
        <v>0</v>
      </c>
      <c r="T161" s="225">
        <f t="shared" si="109"/>
        <v>0</v>
      </c>
      <c r="U161" s="225">
        <f t="shared" si="109"/>
        <v>0</v>
      </c>
      <c r="V161" s="225">
        <f t="shared" si="109"/>
        <v>0</v>
      </c>
      <c r="W161" s="225">
        <f t="shared" si="109"/>
        <v>0</v>
      </c>
      <c r="X161" s="225">
        <f t="shared" si="109"/>
        <v>0</v>
      </c>
      <c r="Y161" s="225">
        <f t="shared" si="109"/>
        <v>0</v>
      </c>
      <c r="Z161" s="225">
        <f t="shared" si="109"/>
        <v>0</v>
      </c>
      <c r="AA161" s="225">
        <f t="shared" si="109"/>
        <v>0</v>
      </c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1:78">
      <c r="A162" s="3">
        <f t="shared" si="111"/>
        <v>2008</v>
      </c>
      <c r="B162" s="9">
        <v>721</v>
      </c>
      <c r="C162" s="3">
        <v>706</v>
      </c>
      <c r="D162" s="3">
        <v>1638</v>
      </c>
      <c r="E162" s="3">
        <v>1657</v>
      </c>
      <c r="F162" s="3">
        <v>1601</v>
      </c>
      <c r="G162" s="3">
        <v>1652</v>
      </c>
      <c r="H162" s="3">
        <v>1528</v>
      </c>
      <c r="I162" s="3">
        <v>1651</v>
      </c>
      <c r="J162" s="3">
        <v>1648</v>
      </c>
      <c r="K162" s="3">
        <v>1637</v>
      </c>
      <c r="L162" s="3">
        <v>1508</v>
      </c>
      <c r="M162" s="3">
        <v>648</v>
      </c>
      <c r="N162" s="3"/>
      <c r="O162" s="254">
        <f t="shared" si="107"/>
        <v>2008</v>
      </c>
      <c r="P162" s="225">
        <f t="shared" si="110"/>
        <v>1</v>
      </c>
      <c r="Q162" s="225">
        <f t="shared" si="110"/>
        <v>1</v>
      </c>
      <c r="R162" s="225">
        <f t="shared" si="110"/>
        <v>0</v>
      </c>
      <c r="S162" s="225">
        <f t="shared" si="109"/>
        <v>0</v>
      </c>
      <c r="T162" s="225">
        <f t="shared" si="109"/>
        <v>0</v>
      </c>
      <c r="U162" s="225">
        <f t="shared" si="109"/>
        <v>0</v>
      </c>
      <c r="V162" s="225">
        <f t="shared" si="109"/>
        <v>0</v>
      </c>
      <c r="W162" s="225">
        <f t="shared" si="109"/>
        <v>0</v>
      </c>
      <c r="X162" s="225">
        <f t="shared" si="109"/>
        <v>0</v>
      </c>
      <c r="Y162" s="225">
        <f t="shared" si="109"/>
        <v>0</v>
      </c>
      <c r="Z162" s="225">
        <f t="shared" si="109"/>
        <v>0</v>
      </c>
      <c r="AA162" s="225">
        <f t="shared" si="109"/>
        <v>0</v>
      </c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1:78">
      <c r="A163" s="3">
        <f t="shared" si="111"/>
        <v>2009</v>
      </c>
      <c r="B163" s="9">
        <v>703</v>
      </c>
      <c r="C163" s="3">
        <v>726</v>
      </c>
      <c r="D163" s="3">
        <v>714</v>
      </c>
      <c r="E163" s="3">
        <v>1705</v>
      </c>
      <c r="F163" s="3">
        <v>1649</v>
      </c>
      <c r="G163" s="3">
        <v>1504</v>
      </c>
      <c r="H163" s="3">
        <v>1636</v>
      </c>
      <c r="I163" s="3">
        <v>1642</v>
      </c>
      <c r="J163" s="3">
        <v>1641</v>
      </c>
      <c r="K163" s="3">
        <v>1617</v>
      </c>
      <c r="L163" s="3">
        <v>1451</v>
      </c>
      <c r="M163" s="3">
        <v>1825</v>
      </c>
      <c r="N163" s="3"/>
      <c r="O163" s="254">
        <f t="shared" si="107"/>
        <v>2009</v>
      </c>
      <c r="P163" s="225">
        <f t="shared" si="110"/>
        <v>1</v>
      </c>
      <c r="Q163" s="225">
        <f t="shared" si="110"/>
        <v>1</v>
      </c>
      <c r="R163" s="225">
        <f t="shared" si="110"/>
        <v>1</v>
      </c>
      <c r="S163" s="225">
        <f t="shared" si="109"/>
        <v>0</v>
      </c>
      <c r="T163" s="225">
        <f t="shared" si="109"/>
        <v>0</v>
      </c>
      <c r="U163" s="225">
        <f t="shared" si="109"/>
        <v>0</v>
      </c>
      <c r="V163" s="225">
        <f t="shared" si="109"/>
        <v>0</v>
      </c>
      <c r="W163" s="225">
        <f t="shared" si="109"/>
        <v>0</v>
      </c>
      <c r="X163" s="225">
        <f t="shared" si="109"/>
        <v>0</v>
      </c>
      <c r="Y163" s="225">
        <f t="shared" si="109"/>
        <v>0</v>
      </c>
      <c r="Z163" s="225">
        <f t="shared" si="109"/>
        <v>0</v>
      </c>
      <c r="AA163" s="225">
        <f t="shared" si="109"/>
        <v>0</v>
      </c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1:78">
      <c r="A164" s="3">
        <f t="shared" si="111"/>
        <v>2010</v>
      </c>
      <c r="B164" s="409">
        <v>659</v>
      </c>
      <c r="C164" s="3">
        <v>703</v>
      </c>
      <c r="D164" s="3">
        <v>706</v>
      </c>
      <c r="E164" s="3">
        <v>1728</v>
      </c>
      <c r="F164" s="3">
        <v>1736</v>
      </c>
      <c r="G164" s="3">
        <v>1644</v>
      </c>
      <c r="H164" s="3">
        <v>1444</v>
      </c>
      <c r="I164" s="3">
        <v>1627</v>
      </c>
      <c r="J164" s="3">
        <v>1548</v>
      </c>
      <c r="K164" s="3">
        <v>1543</v>
      </c>
      <c r="L164" s="3">
        <v>1651</v>
      </c>
      <c r="M164" s="3">
        <v>652</v>
      </c>
      <c r="N164" s="3"/>
      <c r="O164" s="254">
        <f t="shared" si="107"/>
        <v>2010</v>
      </c>
      <c r="P164" s="225">
        <f t="shared" si="110"/>
        <v>0</v>
      </c>
      <c r="Q164" s="225">
        <f t="shared" si="110"/>
        <v>1</v>
      </c>
      <c r="R164" s="225">
        <f t="shared" si="110"/>
        <v>1</v>
      </c>
      <c r="S164" s="225">
        <f t="shared" si="109"/>
        <v>0</v>
      </c>
      <c r="T164" s="225">
        <f t="shared" si="109"/>
        <v>0</v>
      </c>
      <c r="U164" s="225">
        <f t="shared" si="109"/>
        <v>0</v>
      </c>
      <c r="V164" s="225">
        <f t="shared" si="109"/>
        <v>0</v>
      </c>
      <c r="W164" s="225">
        <f t="shared" si="109"/>
        <v>0</v>
      </c>
      <c r="X164" s="225">
        <f t="shared" si="109"/>
        <v>0</v>
      </c>
      <c r="Y164" s="225">
        <f t="shared" si="109"/>
        <v>0</v>
      </c>
      <c r="Z164" s="225">
        <f t="shared" si="109"/>
        <v>0</v>
      </c>
      <c r="AA164" s="225">
        <f t="shared" si="109"/>
        <v>0</v>
      </c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1:78">
      <c r="A165" s="3">
        <f t="shared" si="111"/>
        <v>2011</v>
      </c>
      <c r="B165" s="9">
        <v>711</v>
      </c>
      <c r="C165" s="3">
        <v>709</v>
      </c>
      <c r="D165" s="3">
        <v>1730</v>
      </c>
      <c r="E165" s="3">
        <v>1547</v>
      </c>
      <c r="F165" s="3">
        <v>1707</v>
      </c>
      <c r="G165" s="3">
        <v>1524</v>
      </c>
      <c r="H165" s="3">
        <v>1652</v>
      </c>
      <c r="I165" s="3">
        <v>1628</v>
      </c>
      <c r="J165" s="3">
        <v>1735</v>
      </c>
      <c r="K165" s="3">
        <v>1623</v>
      </c>
      <c r="L165" s="3">
        <v>1526</v>
      </c>
      <c r="M165" s="3">
        <v>1805</v>
      </c>
      <c r="N165" s="3"/>
      <c r="O165" s="254">
        <f t="shared" si="107"/>
        <v>2011</v>
      </c>
      <c r="P165" s="225">
        <f t="shared" si="110"/>
        <v>1</v>
      </c>
      <c r="Q165" s="225">
        <f t="shared" si="110"/>
        <v>1</v>
      </c>
      <c r="R165" s="225">
        <f t="shared" si="110"/>
        <v>0</v>
      </c>
      <c r="S165" s="225">
        <f t="shared" si="109"/>
        <v>0</v>
      </c>
      <c r="T165" s="225">
        <f t="shared" si="109"/>
        <v>0</v>
      </c>
      <c r="U165" s="225">
        <f t="shared" si="109"/>
        <v>0</v>
      </c>
      <c r="V165" s="225">
        <f t="shared" si="109"/>
        <v>0</v>
      </c>
      <c r="W165" s="225">
        <f t="shared" si="109"/>
        <v>0</v>
      </c>
      <c r="X165" s="225">
        <f t="shared" si="109"/>
        <v>0</v>
      </c>
      <c r="Y165" s="225">
        <f t="shared" si="109"/>
        <v>0</v>
      </c>
      <c r="Z165" s="225">
        <f t="shared" si="109"/>
        <v>0</v>
      </c>
      <c r="AA165" s="225">
        <f t="shared" si="109"/>
        <v>0</v>
      </c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1:78">
      <c r="A166" s="3">
        <f t="shared" si="111"/>
        <v>2012</v>
      </c>
      <c r="B166" s="9">
        <v>701</v>
      </c>
      <c r="C166" s="3">
        <v>658</v>
      </c>
      <c r="D166" s="3">
        <v>1709</v>
      </c>
      <c r="E166" s="3">
        <v>1657</v>
      </c>
      <c r="F166" s="3">
        <v>1633</v>
      </c>
      <c r="G166" s="3">
        <v>1542</v>
      </c>
      <c r="H166" s="3">
        <v>1652</v>
      </c>
      <c r="I166" s="3">
        <v>1653</v>
      </c>
      <c r="J166" s="3">
        <v>1648</v>
      </c>
      <c r="K166" s="3">
        <v>1554</v>
      </c>
      <c r="L166" s="3">
        <v>1822</v>
      </c>
      <c r="M166" s="3">
        <v>1823</v>
      </c>
      <c r="N166" s="3"/>
      <c r="O166" s="254">
        <f t="shared" si="107"/>
        <v>2012</v>
      </c>
      <c r="P166" s="225">
        <f t="shared" si="110"/>
        <v>1</v>
      </c>
      <c r="Q166" s="225">
        <f t="shared" si="110"/>
        <v>0</v>
      </c>
      <c r="R166" s="225">
        <f t="shared" si="110"/>
        <v>0</v>
      </c>
      <c r="S166" s="225">
        <f t="shared" si="109"/>
        <v>0</v>
      </c>
      <c r="T166" s="225">
        <f t="shared" si="109"/>
        <v>0</v>
      </c>
      <c r="U166" s="225">
        <f t="shared" si="109"/>
        <v>0</v>
      </c>
      <c r="V166" s="225">
        <f t="shared" si="109"/>
        <v>0</v>
      </c>
      <c r="W166" s="225">
        <f t="shared" si="109"/>
        <v>0</v>
      </c>
      <c r="X166" s="225">
        <f t="shared" si="109"/>
        <v>0</v>
      </c>
      <c r="Y166" s="225">
        <f t="shared" si="109"/>
        <v>0</v>
      </c>
      <c r="Z166" s="225">
        <f t="shared" si="109"/>
        <v>0</v>
      </c>
      <c r="AA166" s="225">
        <f t="shared" si="109"/>
        <v>0</v>
      </c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1:78">
      <c r="A167" s="3">
        <f t="shared" si="111"/>
        <v>2013</v>
      </c>
      <c r="B167" s="9">
        <v>1827</v>
      </c>
      <c r="C167" s="3">
        <v>721</v>
      </c>
      <c r="D167" s="3">
        <v>711</v>
      </c>
      <c r="E167" s="3">
        <v>1646</v>
      </c>
      <c r="F167" s="3">
        <v>1719</v>
      </c>
      <c r="G167" s="3">
        <v>1639</v>
      </c>
      <c r="H167" s="3">
        <v>1652</v>
      </c>
      <c r="I167" s="3">
        <v>1640</v>
      </c>
      <c r="J167" s="3">
        <v>1557</v>
      </c>
      <c r="K167" s="3">
        <v>1652</v>
      </c>
      <c r="L167" s="3">
        <v>1617</v>
      </c>
      <c r="M167" s="3">
        <v>1818</v>
      </c>
      <c r="N167" s="3"/>
      <c r="O167" s="254">
        <f t="shared" si="107"/>
        <v>2013</v>
      </c>
      <c r="P167" s="225">
        <f t="shared" si="110"/>
        <v>0</v>
      </c>
      <c r="Q167" s="225">
        <f t="shared" si="110"/>
        <v>1</v>
      </c>
      <c r="R167" s="225">
        <f t="shared" si="110"/>
        <v>1</v>
      </c>
      <c r="S167" s="225">
        <f t="shared" si="109"/>
        <v>0</v>
      </c>
      <c r="T167" s="225">
        <f t="shared" si="109"/>
        <v>0</v>
      </c>
      <c r="U167" s="225">
        <f t="shared" si="109"/>
        <v>0</v>
      </c>
      <c r="V167" s="225">
        <f t="shared" si="109"/>
        <v>0</v>
      </c>
      <c r="W167" s="225">
        <f t="shared" si="109"/>
        <v>0</v>
      </c>
      <c r="X167" s="225">
        <f t="shared" si="109"/>
        <v>0</v>
      </c>
      <c r="Y167" s="225">
        <f t="shared" si="109"/>
        <v>0</v>
      </c>
      <c r="Z167" s="225">
        <f t="shared" si="109"/>
        <v>0</v>
      </c>
      <c r="AA167" s="225">
        <f t="shared" si="109"/>
        <v>0</v>
      </c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1:78">
      <c r="A168" s="3">
        <f t="shared" si="111"/>
        <v>2014</v>
      </c>
      <c r="B168" s="9">
        <v>712</v>
      </c>
      <c r="C168" s="3">
        <v>1837</v>
      </c>
      <c r="D168" s="3">
        <v>1744</v>
      </c>
      <c r="E168" s="3">
        <v>1531</v>
      </c>
      <c r="F168" s="1">
        <v>1623</v>
      </c>
      <c r="G168" s="3">
        <v>1547</v>
      </c>
      <c r="H168" s="3">
        <v>1649</v>
      </c>
      <c r="I168" s="3">
        <v>1625</v>
      </c>
      <c r="J168" s="3">
        <v>1650</v>
      </c>
      <c r="K168" s="3">
        <v>17</v>
      </c>
      <c r="L168" s="3">
        <v>647</v>
      </c>
      <c r="M168" s="3">
        <v>709</v>
      </c>
      <c r="N168" s="3"/>
      <c r="O168" s="254">
        <f t="shared" si="107"/>
        <v>2014</v>
      </c>
      <c r="P168" s="225">
        <f t="shared" si="110"/>
        <v>1</v>
      </c>
      <c r="Q168" s="225">
        <f t="shared" si="110"/>
        <v>0</v>
      </c>
      <c r="R168" s="225">
        <f t="shared" si="110"/>
        <v>0</v>
      </c>
      <c r="S168" s="225">
        <f t="shared" si="109"/>
        <v>0</v>
      </c>
      <c r="T168" s="225">
        <f t="shared" si="109"/>
        <v>0</v>
      </c>
      <c r="U168" s="225">
        <f t="shared" si="109"/>
        <v>0</v>
      </c>
      <c r="V168" s="225">
        <f t="shared" si="109"/>
        <v>0</v>
      </c>
      <c r="W168" s="225">
        <f t="shared" si="109"/>
        <v>0</v>
      </c>
      <c r="X168" s="225">
        <f t="shared" si="109"/>
        <v>0</v>
      </c>
      <c r="Y168" s="225">
        <f t="shared" si="109"/>
        <v>0</v>
      </c>
      <c r="Z168" s="225">
        <f t="shared" si="109"/>
        <v>0</v>
      </c>
      <c r="AA168" s="225">
        <f t="shared" si="109"/>
        <v>1</v>
      </c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1:78">
      <c r="A169" s="3">
        <f t="shared" si="111"/>
        <v>2015</v>
      </c>
      <c r="B169" s="9">
        <v>816</v>
      </c>
      <c r="C169" s="3">
        <v>702</v>
      </c>
      <c r="D169" s="3">
        <v>1649</v>
      </c>
      <c r="E169" s="3">
        <v>1641</v>
      </c>
      <c r="F169" s="3">
        <v>1720</v>
      </c>
      <c r="G169" s="3">
        <v>1545</v>
      </c>
      <c r="H169" s="3">
        <v>1624</v>
      </c>
      <c r="I169" s="3">
        <v>1654</v>
      </c>
      <c r="J169" s="3">
        <v>1631</v>
      </c>
      <c r="K169" s="3">
        <v>1530</v>
      </c>
      <c r="L169" s="3">
        <v>1421</v>
      </c>
      <c r="M169" s="3">
        <v>1538</v>
      </c>
      <c r="N169" s="3"/>
      <c r="O169" s="254">
        <f t="shared" si="107"/>
        <v>2015</v>
      </c>
      <c r="P169" s="225">
        <f t="shared" si="110"/>
        <v>1</v>
      </c>
      <c r="Q169" s="225">
        <f t="shared" si="110"/>
        <v>1</v>
      </c>
      <c r="R169" s="225">
        <f t="shared" si="110"/>
        <v>0</v>
      </c>
      <c r="S169" s="225">
        <f t="shared" si="109"/>
        <v>0</v>
      </c>
      <c r="T169" s="225">
        <f t="shared" si="109"/>
        <v>0</v>
      </c>
      <c r="U169" s="225">
        <f t="shared" si="109"/>
        <v>0</v>
      </c>
      <c r="V169" s="225">
        <f t="shared" si="109"/>
        <v>0</v>
      </c>
      <c r="W169" s="225">
        <f t="shared" si="109"/>
        <v>0</v>
      </c>
      <c r="X169" s="225">
        <f t="shared" si="109"/>
        <v>0</v>
      </c>
      <c r="Y169" s="225">
        <f t="shared" si="109"/>
        <v>0</v>
      </c>
      <c r="Z169" s="225">
        <f t="shared" si="109"/>
        <v>0</v>
      </c>
      <c r="AA169" s="225">
        <f t="shared" si="109"/>
        <v>0</v>
      </c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1:78">
      <c r="A170" s="3">
        <f t="shared" si="111"/>
        <v>2016</v>
      </c>
      <c r="B170" s="9">
        <v>714</v>
      </c>
      <c r="C170" s="3">
        <v>710</v>
      </c>
      <c r="D170" s="3">
        <v>1727</v>
      </c>
      <c r="E170" s="3">
        <v>1656</v>
      </c>
      <c r="F170" s="3">
        <v>1657</v>
      </c>
      <c r="G170" s="3">
        <v>1634</v>
      </c>
      <c r="H170" s="3">
        <v>1715</v>
      </c>
      <c r="I170" s="3">
        <v>1630</v>
      </c>
      <c r="J170" s="3">
        <v>1626</v>
      </c>
      <c r="K170" s="3">
        <v>1629</v>
      </c>
      <c r="L170" s="3">
        <v>1557</v>
      </c>
      <c r="M170" s="3">
        <v>1512</v>
      </c>
      <c r="N170" s="3"/>
      <c r="O170" s="254">
        <f t="shared" si="107"/>
        <v>2016</v>
      </c>
      <c r="P170" s="225">
        <f t="shared" si="110"/>
        <v>1</v>
      </c>
      <c r="Q170" s="225">
        <f t="shared" si="110"/>
        <v>1</v>
      </c>
      <c r="R170" s="225">
        <f t="shared" si="110"/>
        <v>0</v>
      </c>
      <c r="S170" s="225">
        <f t="shared" si="109"/>
        <v>0</v>
      </c>
      <c r="T170" s="225">
        <f t="shared" si="109"/>
        <v>0</v>
      </c>
      <c r="U170" s="225">
        <f t="shared" si="109"/>
        <v>0</v>
      </c>
      <c r="V170" s="225">
        <f t="shared" si="109"/>
        <v>0</v>
      </c>
      <c r="W170" s="225">
        <f t="shared" si="109"/>
        <v>0</v>
      </c>
      <c r="X170" s="225">
        <f t="shared" si="109"/>
        <v>0</v>
      </c>
      <c r="Y170" s="225">
        <f t="shared" si="109"/>
        <v>0</v>
      </c>
      <c r="Z170" s="225">
        <f t="shared" si="109"/>
        <v>0</v>
      </c>
      <c r="AA170" s="225">
        <f t="shared" si="109"/>
        <v>0</v>
      </c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1:78">
      <c r="A171" s="3">
        <f t="shared" si="111"/>
        <v>2017</v>
      </c>
      <c r="B171" s="9">
        <v>713</v>
      </c>
      <c r="C171" s="3">
        <v>1545</v>
      </c>
      <c r="D171" s="3">
        <v>1629</v>
      </c>
      <c r="E171" s="3">
        <v>1618</v>
      </c>
      <c r="F171" s="3">
        <v>1603</v>
      </c>
      <c r="G171" s="3">
        <v>1655</v>
      </c>
      <c r="H171" s="3">
        <v>1729</v>
      </c>
      <c r="I171" s="3">
        <v>1452</v>
      </c>
      <c r="J171" s="3">
        <v>1422</v>
      </c>
      <c r="K171" s="3">
        <v>1629</v>
      </c>
      <c r="L171" s="3">
        <v>1609</v>
      </c>
      <c r="M171" s="3">
        <v>727</v>
      </c>
      <c r="N171" s="3"/>
      <c r="O171" s="254">
        <f t="shared" si="107"/>
        <v>2017</v>
      </c>
      <c r="P171" s="225">
        <f t="shared" si="110"/>
        <v>1</v>
      </c>
      <c r="Q171" s="225">
        <f t="shared" si="110"/>
        <v>0</v>
      </c>
      <c r="R171" s="225">
        <f t="shared" si="110"/>
        <v>0</v>
      </c>
      <c r="S171" s="225">
        <f t="shared" si="109"/>
        <v>0</v>
      </c>
      <c r="T171" s="225">
        <f t="shared" si="109"/>
        <v>0</v>
      </c>
      <c r="U171" s="225">
        <f t="shared" si="109"/>
        <v>0</v>
      </c>
      <c r="V171" s="225">
        <f t="shared" si="109"/>
        <v>0</v>
      </c>
      <c r="W171" s="225">
        <f t="shared" si="109"/>
        <v>0</v>
      </c>
      <c r="X171" s="225">
        <f t="shared" si="109"/>
        <v>0</v>
      </c>
      <c r="Y171" s="225">
        <f t="shared" si="109"/>
        <v>0</v>
      </c>
      <c r="Z171" s="225">
        <f t="shared" si="109"/>
        <v>0</v>
      </c>
      <c r="AA171" s="225">
        <f t="shared" si="109"/>
        <v>1</v>
      </c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1:78">
      <c r="A172" s="3">
        <f t="shared" si="111"/>
        <v>2018</v>
      </c>
      <c r="B172" s="9">
        <v>651</v>
      </c>
      <c r="C172" s="3">
        <v>1601</v>
      </c>
      <c r="D172" s="3">
        <v>1533</v>
      </c>
      <c r="E172" s="3">
        <v>1726</v>
      </c>
      <c r="F172" s="3">
        <v>1607</v>
      </c>
      <c r="G172" s="3">
        <v>1602</v>
      </c>
      <c r="H172" s="3">
        <v>1525</v>
      </c>
      <c r="I172" s="3">
        <v>1704</v>
      </c>
      <c r="J172" s="3">
        <v>1625</v>
      </c>
      <c r="K172" s="3">
        <v>1626</v>
      </c>
      <c r="L172" s="3">
        <v>1428</v>
      </c>
      <c r="M172" s="3">
        <v>1821</v>
      </c>
      <c r="N172" s="3"/>
      <c r="O172" s="254">
        <f t="shared" si="107"/>
        <v>2018</v>
      </c>
      <c r="P172" s="225">
        <f t="shared" si="110"/>
        <v>0</v>
      </c>
      <c r="Q172" s="225">
        <f t="shared" si="110"/>
        <v>0</v>
      </c>
      <c r="R172" s="225">
        <f t="shared" si="110"/>
        <v>0</v>
      </c>
      <c r="S172" s="225">
        <f t="shared" si="109"/>
        <v>0</v>
      </c>
      <c r="T172" s="225">
        <f t="shared" si="109"/>
        <v>0</v>
      </c>
      <c r="U172" s="225">
        <f t="shared" si="109"/>
        <v>0</v>
      </c>
      <c r="V172" s="225">
        <f t="shared" si="109"/>
        <v>0</v>
      </c>
      <c r="W172" s="225">
        <f t="shared" si="109"/>
        <v>0</v>
      </c>
      <c r="X172" s="225">
        <f t="shared" si="109"/>
        <v>0</v>
      </c>
      <c r="Y172" s="225">
        <f t="shared" si="109"/>
        <v>0</v>
      </c>
      <c r="Z172" s="225">
        <f t="shared" si="109"/>
        <v>0</v>
      </c>
      <c r="AA172" s="225">
        <f t="shared" si="109"/>
        <v>0</v>
      </c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  <row r="173" spans="1:78">
      <c r="A173" s="184">
        <f t="shared" si="111"/>
        <v>2019</v>
      </c>
      <c r="B173" s="3">
        <v>721</v>
      </c>
      <c r="C173" s="3">
        <v>1527</v>
      </c>
      <c r="D173" s="3">
        <v>1717</v>
      </c>
      <c r="E173" s="3">
        <v>1650</v>
      </c>
      <c r="F173" s="3">
        <v>1700</v>
      </c>
      <c r="G173" s="3">
        <v>1649</v>
      </c>
      <c r="H173" s="3">
        <v>1625</v>
      </c>
      <c r="I173" s="3">
        <v>1714</v>
      </c>
      <c r="J173" s="3">
        <v>1523</v>
      </c>
      <c r="K173" s="3">
        <v>1656</v>
      </c>
      <c r="L173" s="3">
        <v>1533</v>
      </c>
      <c r="M173" s="3">
        <v>1827</v>
      </c>
      <c r="N173" s="3"/>
      <c r="O173" s="254">
        <f t="shared" si="107"/>
        <v>2019</v>
      </c>
      <c r="P173" s="225">
        <f t="shared" si="110"/>
        <v>1</v>
      </c>
      <c r="Q173" s="225">
        <f t="shared" si="110"/>
        <v>0</v>
      </c>
      <c r="R173" s="225">
        <f t="shared" si="110"/>
        <v>0</v>
      </c>
      <c r="S173" s="225">
        <f t="shared" si="109"/>
        <v>0</v>
      </c>
      <c r="T173" s="225">
        <f t="shared" si="109"/>
        <v>0</v>
      </c>
      <c r="U173" s="225">
        <f t="shared" si="109"/>
        <v>0</v>
      </c>
      <c r="V173" s="225">
        <f t="shared" si="109"/>
        <v>0</v>
      </c>
      <c r="W173" s="225">
        <f t="shared" si="109"/>
        <v>0</v>
      </c>
      <c r="X173" s="225">
        <f t="shared" si="109"/>
        <v>0</v>
      </c>
      <c r="Y173" s="225">
        <f t="shared" si="109"/>
        <v>0</v>
      </c>
      <c r="Z173" s="225">
        <f t="shared" si="109"/>
        <v>0</v>
      </c>
      <c r="AA173" s="225">
        <f t="shared" si="109"/>
        <v>0</v>
      </c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</row>
    <row r="174" spans="1:78">
      <c r="A174" s="184">
        <f t="shared" si="111"/>
        <v>2020</v>
      </c>
      <c r="B174" s="3">
        <v>722</v>
      </c>
      <c r="C174" s="3">
        <v>1646</v>
      </c>
      <c r="D174" s="3">
        <v>1726</v>
      </c>
      <c r="E174" s="3">
        <v>1648</v>
      </c>
      <c r="F174" s="3">
        <v>1655</v>
      </c>
      <c r="G174" s="3">
        <v>1650</v>
      </c>
      <c r="H174" s="3">
        <v>1524</v>
      </c>
      <c r="I174" s="3">
        <v>1620</v>
      </c>
      <c r="J174" s="3">
        <v>1633</v>
      </c>
      <c r="K174" s="3">
        <v>1650</v>
      </c>
      <c r="L174" s="3">
        <v>1444</v>
      </c>
      <c r="M174" s="3">
        <v>930</v>
      </c>
      <c r="N174" s="3"/>
      <c r="O174" s="254">
        <f t="shared" si="107"/>
        <v>2020</v>
      </c>
      <c r="P174" s="225">
        <f t="shared" si="110"/>
        <v>1</v>
      </c>
      <c r="Q174" s="225">
        <f t="shared" si="110"/>
        <v>0</v>
      </c>
      <c r="R174" s="225">
        <f t="shared" si="110"/>
        <v>0</v>
      </c>
      <c r="S174" s="225">
        <f t="shared" si="109"/>
        <v>0</v>
      </c>
      <c r="T174" s="225">
        <f t="shared" si="109"/>
        <v>0</v>
      </c>
      <c r="U174" s="225">
        <f t="shared" si="109"/>
        <v>0</v>
      </c>
      <c r="V174" s="225">
        <f t="shared" si="109"/>
        <v>0</v>
      </c>
      <c r="W174" s="225">
        <f t="shared" si="109"/>
        <v>0</v>
      </c>
      <c r="X174" s="225">
        <f t="shared" si="109"/>
        <v>0</v>
      </c>
      <c r="Y174" s="225">
        <f t="shared" si="109"/>
        <v>0</v>
      </c>
      <c r="Z174" s="225">
        <f t="shared" si="109"/>
        <v>0</v>
      </c>
      <c r="AA174" s="225">
        <f t="shared" si="109"/>
        <v>1</v>
      </c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</row>
    <row r="175" spans="1:78">
      <c r="A175" s="184">
        <f t="shared" si="111"/>
        <v>2021</v>
      </c>
      <c r="B175" s="10" t="s">
        <v>327</v>
      </c>
      <c r="C175" s="3">
        <v>751</v>
      </c>
      <c r="D175" s="3">
        <v>1656</v>
      </c>
      <c r="E175" s="3">
        <v>1629</v>
      </c>
      <c r="F175" s="3">
        <v>1653</v>
      </c>
      <c r="G175" s="3">
        <v>1645</v>
      </c>
      <c r="H175" s="3">
        <v>1653</v>
      </c>
      <c r="I175" s="408">
        <v>1717</v>
      </c>
      <c r="J175" s="3">
        <v>1603</v>
      </c>
      <c r="K175" s="3">
        <v>1619</v>
      </c>
      <c r="L175" s="10" t="s">
        <v>328</v>
      </c>
      <c r="M175" s="3">
        <v>1541</v>
      </c>
      <c r="N175" s="3"/>
      <c r="O175" s="254">
        <f t="shared" si="107"/>
        <v>2021</v>
      </c>
      <c r="P175" s="225">
        <f t="shared" si="110"/>
        <v>0</v>
      </c>
      <c r="Q175" s="225">
        <f t="shared" si="110"/>
        <v>1</v>
      </c>
      <c r="R175" s="225">
        <f t="shared" si="110"/>
        <v>0</v>
      </c>
      <c r="S175" s="225">
        <f t="shared" si="109"/>
        <v>0</v>
      </c>
      <c r="T175" s="225">
        <f t="shared" si="109"/>
        <v>0</v>
      </c>
      <c r="U175" s="225">
        <f t="shared" si="109"/>
        <v>0</v>
      </c>
      <c r="V175" s="225">
        <f t="shared" si="109"/>
        <v>0</v>
      </c>
      <c r="W175" s="225">
        <f t="shared" si="109"/>
        <v>0</v>
      </c>
      <c r="X175" s="225">
        <f t="shared" si="109"/>
        <v>0</v>
      </c>
      <c r="Y175" s="225">
        <f t="shared" si="109"/>
        <v>0</v>
      </c>
      <c r="Z175" s="225">
        <f t="shared" si="109"/>
        <v>0</v>
      </c>
      <c r="AA175" s="225">
        <f t="shared" si="109"/>
        <v>0</v>
      </c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</row>
    <row r="176" spans="1:78">
      <c r="A176" s="184">
        <f t="shared" si="111"/>
        <v>2022</v>
      </c>
      <c r="B176" s="3">
        <v>726</v>
      </c>
      <c r="C176" s="3">
        <v>1612</v>
      </c>
      <c r="D176" s="3">
        <v>1447</v>
      </c>
      <c r="E176" s="1">
        <v>1658</v>
      </c>
      <c r="F176" s="1">
        <v>1642</v>
      </c>
      <c r="G176" s="1">
        <v>1652</v>
      </c>
      <c r="H176" s="3">
        <v>1657</v>
      </c>
      <c r="I176" s="3">
        <v>1649</v>
      </c>
      <c r="J176" s="3">
        <v>1530</v>
      </c>
      <c r="K176" s="3">
        <v>1648</v>
      </c>
      <c r="L176" s="3">
        <v>1652</v>
      </c>
      <c r="M176" s="3">
        <v>902</v>
      </c>
      <c r="N176" s="3"/>
      <c r="O176" s="254">
        <f t="shared" si="107"/>
        <v>2022</v>
      </c>
      <c r="P176" s="225">
        <f t="shared" si="110"/>
        <v>1</v>
      </c>
      <c r="Q176" s="225">
        <f t="shared" si="110"/>
        <v>0</v>
      </c>
      <c r="R176" s="225">
        <f t="shared" si="110"/>
        <v>0</v>
      </c>
      <c r="S176" s="225">
        <f t="shared" si="109"/>
        <v>0</v>
      </c>
      <c r="T176" s="225">
        <f t="shared" si="109"/>
        <v>0</v>
      </c>
      <c r="U176" s="225">
        <f t="shared" si="109"/>
        <v>0</v>
      </c>
      <c r="V176" s="225">
        <f t="shared" ref="V176:AA176" si="112">IF(AND(H176&gt;700,H176&lt;1000),1,0)</f>
        <v>0</v>
      </c>
      <c r="W176" s="225">
        <f t="shared" si="112"/>
        <v>0</v>
      </c>
      <c r="X176" s="225">
        <f t="shared" si="112"/>
        <v>0</v>
      </c>
      <c r="Y176" s="225">
        <f t="shared" si="112"/>
        <v>0</v>
      </c>
      <c r="Z176" s="225">
        <f t="shared" si="112"/>
        <v>0</v>
      </c>
      <c r="AA176" s="225">
        <f t="shared" si="112"/>
        <v>1</v>
      </c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</row>
    <row r="177" spans="1:78">
      <c r="A177" s="184">
        <f t="shared" si="111"/>
        <v>2023</v>
      </c>
      <c r="B177" s="3">
        <v>812</v>
      </c>
      <c r="C177" s="3">
        <v>1626</v>
      </c>
      <c r="D177" s="3">
        <v>1750</v>
      </c>
      <c r="E177" s="1">
        <v>1651</v>
      </c>
      <c r="H177" s="3"/>
      <c r="I177" s="3"/>
      <c r="J177" s="3"/>
      <c r="K177" s="3"/>
      <c r="L177" s="3"/>
      <c r="M177" s="3"/>
      <c r="N177" s="3"/>
      <c r="O177" s="254">
        <f t="shared" ref="O177" si="113">+A177</f>
        <v>2023</v>
      </c>
      <c r="P177" s="225">
        <f>IF(AND(B177&gt;700,B177&lt;1000),1,0)</f>
        <v>1</v>
      </c>
      <c r="Q177" s="225">
        <f t="shared" ref="Q177" si="114">IF(AND(C177&gt;700,C177&lt;1000),1,0)</f>
        <v>0</v>
      </c>
      <c r="R177" s="225">
        <f t="shared" ref="R177:U177" si="115">IF(AND(D177&gt;700,D177&lt;1000),1,0)</f>
        <v>0</v>
      </c>
      <c r="S177" s="225">
        <f t="shared" si="115"/>
        <v>0</v>
      </c>
      <c r="T177" s="225">
        <f t="shared" si="115"/>
        <v>0</v>
      </c>
      <c r="U177" s="225">
        <f t="shared" si="115"/>
        <v>0</v>
      </c>
      <c r="V177" s="225">
        <f t="shared" ref="V177" si="116">IF(AND(H177&gt;700,H177&lt;1000),1,0)</f>
        <v>0</v>
      </c>
      <c r="W177" s="225">
        <f t="shared" ref="W177" si="117">IF(AND(I177&gt;700,I177&lt;1000),1,0)</f>
        <v>0</v>
      </c>
      <c r="X177" s="225">
        <f t="shared" ref="X177" si="118">IF(AND(J177&gt;700,J177&lt;1000),1,0)</f>
        <v>0</v>
      </c>
      <c r="Y177" s="225">
        <f t="shared" ref="Y177" si="119">IF(AND(K177&gt;700,K177&lt;1000),1,0)</f>
        <v>0</v>
      </c>
      <c r="Z177" s="225">
        <f t="shared" ref="Z177" si="120">IF(AND(L177&gt;700,L177&lt;1000),1,0)</f>
        <v>0</v>
      </c>
      <c r="AA177" s="225">
        <f t="shared" ref="AA177" si="121">IF(AND(M177&gt;700,M177&lt;1000),1,0)</f>
        <v>0</v>
      </c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78">
      <c r="A178"/>
      <c r="B178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</row>
    <row r="179" spans="1:78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</row>
    <row r="180" spans="1:78" ht="15.75">
      <c r="A180" s="1" t="s">
        <v>63</v>
      </c>
      <c r="B180" s="1">
        <f>MEDIAN(B127:B176)</f>
        <v>720</v>
      </c>
      <c r="C180" s="1">
        <f t="shared" ref="C180:M180" si="122">MEDIAN(C127:C176)</f>
        <v>718.5</v>
      </c>
      <c r="D180" s="1">
        <f t="shared" si="122"/>
        <v>1625.5</v>
      </c>
      <c r="E180" s="1">
        <f t="shared" si="122"/>
        <v>1657</v>
      </c>
      <c r="F180" s="1">
        <f t="shared" si="122"/>
        <v>1654.5</v>
      </c>
      <c r="G180" s="1">
        <f t="shared" si="122"/>
        <v>1643.5</v>
      </c>
      <c r="H180" s="1">
        <f t="shared" si="122"/>
        <v>1649.5</v>
      </c>
      <c r="I180" s="1">
        <f t="shared" si="122"/>
        <v>1645</v>
      </c>
      <c r="J180" s="1">
        <f t="shared" si="122"/>
        <v>1634</v>
      </c>
      <c r="K180" s="1">
        <f t="shared" si="122"/>
        <v>1630.5</v>
      </c>
      <c r="L180" s="1">
        <f t="shared" si="122"/>
        <v>1651</v>
      </c>
      <c r="M180" s="1">
        <f t="shared" si="122"/>
        <v>827.5</v>
      </c>
      <c r="N180" s="3"/>
      <c r="O180" s="428" t="s">
        <v>306</v>
      </c>
      <c r="P180" s="225">
        <f>COUNTA(P127:P176)</f>
        <v>50</v>
      </c>
      <c r="Q180" s="225">
        <f t="shared" ref="Q180:AA180" si="123">COUNTA(Q127:Q176)</f>
        <v>50</v>
      </c>
      <c r="R180" s="225">
        <f t="shared" si="123"/>
        <v>50</v>
      </c>
      <c r="S180" s="225">
        <f t="shared" si="123"/>
        <v>50</v>
      </c>
      <c r="T180" s="225">
        <f t="shared" si="123"/>
        <v>50</v>
      </c>
      <c r="U180" s="225">
        <f t="shared" si="123"/>
        <v>50</v>
      </c>
      <c r="V180" s="225">
        <f t="shared" si="123"/>
        <v>50</v>
      </c>
      <c r="W180" s="225">
        <f t="shared" si="123"/>
        <v>50</v>
      </c>
      <c r="X180" s="225">
        <f t="shared" si="123"/>
        <v>50</v>
      </c>
      <c r="Y180" s="225">
        <f t="shared" si="123"/>
        <v>50</v>
      </c>
      <c r="Z180" s="225">
        <f t="shared" si="123"/>
        <v>50</v>
      </c>
      <c r="AA180" s="225">
        <f t="shared" si="123"/>
        <v>50</v>
      </c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</row>
    <row r="181" spans="1:78" ht="15.75">
      <c r="A181" s="1" t="s">
        <v>64</v>
      </c>
      <c r="B181" s="68">
        <f>AVERAGE(B127:B176)</f>
        <v>777.9795918367347</v>
      </c>
      <c r="C181" s="68">
        <f t="shared" ref="C181:M181" si="124">AVERAGE(C127:C176)</f>
        <v>899.04</v>
      </c>
      <c r="D181" s="68">
        <f t="shared" si="124"/>
        <v>1351.06</v>
      </c>
      <c r="E181" s="68">
        <f t="shared" si="124"/>
        <v>1682.68</v>
      </c>
      <c r="F181" s="68">
        <f t="shared" si="124"/>
        <v>1673.96</v>
      </c>
      <c r="G181" s="68">
        <f t="shared" si="124"/>
        <v>1648.5</v>
      </c>
      <c r="H181" s="68">
        <f t="shared" si="124"/>
        <v>1654.8</v>
      </c>
      <c r="I181" s="68">
        <f t="shared" si="124"/>
        <v>1633.84</v>
      </c>
      <c r="J181" s="68">
        <f t="shared" si="124"/>
        <v>1633.74</v>
      </c>
      <c r="K181" s="68">
        <f t="shared" si="124"/>
        <v>1623.08</v>
      </c>
      <c r="L181" s="68">
        <f t="shared" si="124"/>
        <v>1564.7551020408164</v>
      </c>
      <c r="M181" s="68">
        <f t="shared" si="124"/>
        <v>1177.56</v>
      </c>
      <c r="N181" s="3"/>
      <c r="O181" s="428" t="s">
        <v>307</v>
      </c>
      <c r="P181" s="225">
        <f>SUM(P127:P176)</f>
        <v>44</v>
      </c>
      <c r="Q181" s="225">
        <f t="shared" ref="Q181:AA181" si="125">SUM(Q127:Q176)</f>
        <v>35</v>
      </c>
      <c r="R181" s="225">
        <f t="shared" si="125"/>
        <v>16</v>
      </c>
      <c r="S181" s="225">
        <f t="shared" si="125"/>
        <v>1</v>
      </c>
      <c r="T181" s="225">
        <f t="shared" si="125"/>
        <v>0</v>
      </c>
      <c r="U181" s="225">
        <f t="shared" si="125"/>
        <v>0</v>
      </c>
      <c r="V181" s="225">
        <f t="shared" si="125"/>
        <v>0</v>
      </c>
      <c r="W181" s="225">
        <f t="shared" si="125"/>
        <v>0</v>
      </c>
      <c r="X181" s="225">
        <f t="shared" si="125"/>
        <v>0</v>
      </c>
      <c r="Y181" s="225">
        <f t="shared" si="125"/>
        <v>0</v>
      </c>
      <c r="Z181" s="225">
        <f t="shared" si="125"/>
        <v>5</v>
      </c>
      <c r="AA181" s="225">
        <f t="shared" si="125"/>
        <v>27</v>
      </c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</row>
    <row r="182" spans="1:78" ht="15.75">
      <c r="A182" s="1" t="s">
        <v>65</v>
      </c>
      <c r="B182" s="32">
        <f>P182</f>
        <v>0.88</v>
      </c>
      <c r="C182" s="32">
        <f t="shared" ref="C182:M182" si="126">Q182</f>
        <v>0.7</v>
      </c>
      <c r="D182" s="32">
        <f t="shared" si="126"/>
        <v>0.32</v>
      </c>
      <c r="E182" s="321">
        <f t="shared" si="126"/>
        <v>0.02</v>
      </c>
      <c r="F182" s="321">
        <f t="shared" si="126"/>
        <v>0</v>
      </c>
      <c r="G182" s="321">
        <f t="shared" si="126"/>
        <v>0</v>
      </c>
      <c r="H182" s="321">
        <f t="shared" si="126"/>
        <v>0</v>
      </c>
      <c r="I182" s="321">
        <f t="shared" si="126"/>
        <v>0</v>
      </c>
      <c r="J182" s="321">
        <f t="shared" si="126"/>
        <v>0</v>
      </c>
      <c r="K182" s="321">
        <f t="shared" si="126"/>
        <v>0</v>
      </c>
      <c r="L182" s="32">
        <f t="shared" si="126"/>
        <v>0.1</v>
      </c>
      <c r="M182" s="32">
        <f t="shared" si="126"/>
        <v>0.54</v>
      </c>
      <c r="N182" s="3"/>
      <c r="O182" s="428" t="s">
        <v>65</v>
      </c>
      <c r="P182" s="324">
        <f>P181/P180</f>
        <v>0.88</v>
      </c>
      <c r="Q182" s="324">
        <f>Q181/Q180</f>
        <v>0.7</v>
      </c>
      <c r="R182" s="324">
        <f t="shared" ref="R182:AA182" si="127">R181/R180</f>
        <v>0.32</v>
      </c>
      <c r="S182" s="324">
        <f t="shared" si="127"/>
        <v>0.02</v>
      </c>
      <c r="T182" s="324">
        <f t="shared" si="127"/>
        <v>0</v>
      </c>
      <c r="U182" s="324">
        <f t="shared" si="127"/>
        <v>0</v>
      </c>
      <c r="V182" s="324">
        <f t="shared" si="127"/>
        <v>0</v>
      </c>
      <c r="W182" s="324">
        <f t="shared" si="127"/>
        <v>0</v>
      </c>
      <c r="X182" s="324">
        <f t="shared" si="127"/>
        <v>0</v>
      </c>
      <c r="Y182" s="324">
        <f t="shared" si="127"/>
        <v>0</v>
      </c>
      <c r="Z182" s="324">
        <f t="shared" si="127"/>
        <v>0.1</v>
      </c>
      <c r="AA182" s="324">
        <f t="shared" si="127"/>
        <v>0.54</v>
      </c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</row>
    <row r="183" spans="1:78" ht="16.5" thickBot="1">
      <c r="A183" s="1" t="s">
        <v>66</v>
      </c>
      <c r="B183" s="321">
        <f>1-B182</f>
        <v>0.12</v>
      </c>
      <c r="C183" s="321">
        <f t="shared" ref="C183:M183" si="128">1-C182</f>
        <v>0.30000000000000004</v>
      </c>
      <c r="D183" s="32">
        <f t="shared" si="128"/>
        <v>0.67999999999999994</v>
      </c>
      <c r="E183" s="32">
        <f t="shared" si="128"/>
        <v>0.98</v>
      </c>
      <c r="F183" s="32">
        <f t="shared" si="128"/>
        <v>1</v>
      </c>
      <c r="G183" s="32">
        <f t="shared" si="128"/>
        <v>1</v>
      </c>
      <c r="H183" s="32">
        <f t="shared" si="128"/>
        <v>1</v>
      </c>
      <c r="I183" s="32">
        <f t="shared" si="128"/>
        <v>1</v>
      </c>
      <c r="J183" s="32">
        <f t="shared" si="128"/>
        <v>1</v>
      </c>
      <c r="K183" s="32">
        <f t="shared" si="128"/>
        <v>1</v>
      </c>
      <c r="L183" s="32">
        <f t="shared" si="128"/>
        <v>0.9</v>
      </c>
      <c r="M183" s="321">
        <f t="shared" si="128"/>
        <v>0.45999999999999996</v>
      </c>
      <c r="N183" s="3"/>
      <c r="O183" s="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</row>
    <row r="184" spans="1:78">
      <c r="N184" s="3"/>
      <c r="O184" s="277" t="s">
        <v>295</v>
      </c>
      <c r="P184" s="294">
        <f>COUNTA(P155:P164)</f>
        <v>10</v>
      </c>
      <c r="Q184" s="294">
        <f>COUNTA(Q155:Q164)</f>
        <v>10</v>
      </c>
      <c r="R184" s="294">
        <f>COUNTA(R155:R164)</f>
        <v>10</v>
      </c>
      <c r="S184" s="294">
        <f t="shared" ref="S184:AA184" si="129">COUNTA(S155:S164)</f>
        <v>10</v>
      </c>
      <c r="T184" s="294">
        <f>COUNTA(T155:T164)</f>
        <v>10</v>
      </c>
      <c r="U184" s="294">
        <f t="shared" si="129"/>
        <v>10</v>
      </c>
      <c r="V184" s="294">
        <f>COUNTA(V155:V164)</f>
        <v>10</v>
      </c>
      <c r="W184" s="294">
        <f t="shared" si="129"/>
        <v>10</v>
      </c>
      <c r="X184" s="294">
        <f t="shared" si="129"/>
        <v>10</v>
      </c>
      <c r="Y184" s="294">
        <f t="shared" si="129"/>
        <v>10</v>
      </c>
      <c r="Z184" s="294">
        <f t="shared" si="129"/>
        <v>10</v>
      </c>
      <c r="AA184" s="295">
        <f t="shared" si="129"/>
        <v>10</v>
      </c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</row>
    <row r="185" spans="1:78" ht="15.75">
      <c r="B185" s="5" t="s">
        <v>73</v>
      </c>
      <c r="N185" s="3"/>
      <c r="O185" s="278"/>
      <c r="P185" s="225">
        <f>SUM(P155:P164)</f>
        <v>8</v>
      </c>
      <c r="Q185" s="225">
        <f t="shared" ref="Q185:AA185" si="130">SUM(Q155:Q164)</f>
        <v>8</v>
      </c>
      <c r="R185" s="225">
        <f t="shared" si="130"/>
        <v>3</v>
      </c>
      <c r="S185" s="225">
        <f t="shared" si="130"/>
        <v>0</v>
      </c>
      <c r="T185" s="225">
        <f t="shared" si="130"/>
        <v>0</v>
      </c>
      <c r="U185" s="225">
        <f t="shared" si="130"/>
        <v>0</v>
      </c>
      <c r="V185" s="225">
        <f t="shared" si="130"/>
        <v>0</v>
      </c>
      <c r="W185" s="225">
        <f t="shared" si="130"/>
        <v>0</v>
      </c>
      <c r="X185" s="225">
        <f t="shared" si="130"/>
        <v>0</v>
      </c>
      <c r="Y185" s="225">
        <f t="shared" si="130"/>
        <v>0</v>
      </c>
      <c r="Z185" s="225">
        <f t="shared" si="130"/>
        <v>0</v>
      </c>
      <c r="AA185" s="296">
        <f t="shared" si="130"/>
        <v>5</v>
      </c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</row>
    <row r="186" spans="1:78" ht="15.75">
      <c r="B186" s="5"/>
      <c r="N186" s="3"/>
      <c r="O186" s="278"/>
      <c r="P186" s="297">
        <f>+P185/P184</f>
        <v>0.8</v>
      </c>
      <c r="Q186" s="297">
        <f t="shared" ref="Q186:AA186" si="131">+Q185/Q184</f>
        <v>0.8</v>
      </c>
      <c r="R186" s="297">
        <f t="shared" si="131"/>
        <v>0.3</v>
      </c>
      <c r="S186" s="297">
        <f t="shared" si="131"/>
        <v>0</v>
      </c>
      <c r="T186" s="297">
        <f t="shared" si="131"/>
        <v>0</v>
      </c>
      <c r="U186" s="297">
        <f t="shared" si="131"/>
        <v>0</v>
      </c>
      <c r="V186" s="297">
        <f t="shared" si="131"/>
        <v>0</v>
      </c>
      <c r="W186" s="297">
        <f t="shared" si="131"/>
        <v>0</v>
      </c>
      <c r="X186" s="297">
        <f t="shared" si="131"/>
        <v>0</v>
      </c>
      <c r="Y186" s="297">
        <f t="shared" si="131"/>
        <v>0</v>
      </c>
      <c r="Z186" s="297">
        <f t="shared" si="131"/>
        <v>0</v>
      </c>
      <c r="AA186" s="298">
        <f t="shared" si="131"/>
        <v>0.5</v>
      </c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</row>
    <row r="187" spans="1:78" ht="16.5" thickBot="1">
      <c r="B187" s="5"/>
      <c r="N187" s="3"/>
      <c r="O187" s="279"/>
      <c r="P187" s="299">
        <f>1-P186</f>
        <v>0.19999999999999996</v>
      </c>
      <c r="Q187" s="299">
        <f t="shared" ref="Q187:AA187" si="132">1-Q186</f>
        <v>0.19999999999999996</v>
      </c>
      <c r="R187" s="299">
        <f t="shared" si="132"/>
        <v>0.7</v>
      </c>
      <c r="S187" s="299">
        <f t="shared" si="132"/>
        <v>1</v>
      </c>
      <c r="T187" s="299">
        <f t="shared" si="132"/>
        <v>1</v>
      </c>
      <c r="U187" s="299">
        <f t="shared" si="132"/>
        <v>1</v>
      </c>
      <c r="V187" s="299">
        <f t="shared" si="132"/>
        <v>1</v>
      </c>
      <c r="W187" s="299">
        <f t="shared" si="132"/>
        <v>1</v>
      </c>
      <c r="X187" s="299">
        <f t="shared" si="132"/>
        <v>1</v>
      </c>
      <c r="Y187" s="299">
        <f t="shared" si="132"/>
        <v>1</v>
      </c>
      <c r="Z187" s="299">
        <f t="shared" si="132"/>
        <v>1</v>
      </c>
      <c r="AA187" s="300">
        <f t="shared" si="132"/>
        <v>0.5</v>
      </c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</row>
    <row r="188" spans="1:78" ht="15.75">
      <c r="B188" s="5"/>
      <c r="N188" s="3"/>
      <c r="O188" s="277" t="s">
        <v>294</v>
      </c>
      <c r="P188" s="294">
        <f>COUNTA(P165:P174)</f>
        <v>10</v>
      </c>
      <c r="Q188" s="294">
        <f t="shared" ref="Q188:AA188" si="133">COUNTA(Q165:Q174)</f>
        <v>10</v>
      </c>
      <c r="R188" s="294">
        <f t="shared" si="133"/>
        <v>10</v>
      </c>
      <c r="S188" s="294">
        <f t="shared" si="133"/>
        <v>10</v>
      </c>
      <c r="T188" s="294">
        <f t="shared" si="133"/>
        <v>10</v>
      </c>
      <c r="U188" s="294">
        <f t="shared" si="133"/>
        <v>10</v>
      </c>
      <c r="V188" s="294">
        <f t="shared" si="133"/>
        <v>10</v>
      </c>
      <c r="W188" s="294">
        <f t="shared" si="133"/>
        <v>10</v>
      </c>
      <c r="X188" s="294">
        <f t="shared" si="133"/>
        <v>10</v>
      </c>
      <c r="Y188" s="294">
        <f t="shared" si="133"/>
        <v>10</v>
      </c>
      <c r="Z188" s="294">
        <f t="shared" si="133"/>
        <v>10</v>
      </c>
      <c r="AA188" s="295">
        <f t="shared" si="133"/>
        <v>10</v>
      </c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</row>
    <row r="189" spans="1:78" ht="15.75">
      <c r="B189" s="5"/>
      <c r="N189" s="3"/>
      <c r="O189" s="278"/>
      <c r="P189" s="225">
        <f>SUM(P165:P174)</f>
        <v>8</v>
      </c>
      <c r="Q189" s="225">
        <f t="shared" ref="Q189:AA189" si="134">SUM(Q165:Q174)</f>
        <v>4</v>
      </c>
      <c r="R189" s="225">
        <f t="shared" si="134"/>
        <v>1</v>
      </c>
      <c r="S189" s="225">
        <f t="shared" si="134"/>
        <v>0</v>
      </c>
      <c r="T189" s="225">
        <f t="shared" si="134"/>
        <v>0</v>
      </c>
      <c r="U189" s="225">
        <f t="shared" si="134"/>
        <v>0</v>
      </c>
      <c r="V189" s="225">
        <f t="shared" si="134"/>
        <v>0</v>
      </c>
      <c r="W189" s="225">
        <f t="shared" si="134"/>
        <v>0</v>
      </c>
      <c r="X189" s="225">
        <f t="shared" si="134"/>
        <v>0</v>
      </c>
      <c r="Y189" s="225">
        <f t="shared" si="134"/>
        <v>0</v>
      </c>
      <c r="Z189" s="225">
        <f t="shared" si="134"/>
        <v>0</v>
      </c>
      <c r="AA189" s="296">
        <f t="shared" si="134"/>
        <v>3</v>
      </c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</row>
    <row r="190" spans="1:78" ht="15.75">
      <c r="A190" s="3"/>
      <c r="B190" s="5" t="s">
        <v>7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278"/>
      <c r="P190" s="297">
        <f>+P189/P188</f>
        <v>0.8</v>
      </c>
      <c r="Q190" s="297">
        <f t="shared" ref="Q190:AA190" si="135">+Q189/Q188</f>
        <v>0.4</v>
      </c>
      <c r="R190" s="297">
        <f t="shared" si="135"/>
        <v>0.1</v>
      </c>
      <c r="S190" s="297">
        <f t="shared" si="135"/>
        <v>0</v>
      </c>
      <c r="T190" s="297">
        <f t="shared" si="135"/>
        <v>0</v>
      </c>
      <c r="U190" s="297">
        <f t="shared" si="135"/>
        <v>0</v>
      </c>
      <c r="V190" s="297">
        <f t="shared" si="135"/>
        <v>0</v>
      </c>
      <c r="W190" s="297">
        <f>+W189/W188</f>
        <v>0</v>
      </c>
      <c r="X190" s="297">
        <f t="shared" si="135"/>
        <v>0</v>
      </c>
      <c r="Y190" s="297">
        <f t="shared" si="135"/>
        <v>0</v>
      </c>
      <c r="Z190" s="297">
        <f t="shared" si="135"/>
        <v>0</v>
      </c>
      <c r="AA190" s="298">
        <f t="shared" si="135"/>
        <v>0.3</v>
      </c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</row>
    <row r="191" spans="1:78" ht="15.75" thickBo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279"/>
      <c r="P191" s="299">
        <f t="shared" ref="P191:AA191" si="136">1-P190</f>
        <v>0.19999999999999996</v>
      </c>
      <c r="Q191" s="299">
        <f t="shared" si="136"/>
        <v>0.6</v>
      </c>
      <c r="R191" s="299">
        <f t="shared" si="136"/>
        <v>0.9</v>
      </c>
      <c r="S191" s="299">
        <f t="shared" si="136"/>
        <v>1</v>
      </c>
      <c r="T191" s="299">
        <f t="shared" si="136"/>
        <v>1</v>
      </c>
      <c r="U191" s="299">
        <f t="shared" si="136"/>
        <v>1</v>
      </c>
      <c r="V191" s="299">
        <f t="shared" si="136"/>
        <v>1</v>
      </c>
      <c r="W191" s="299">
        <f t="shared" si="136"/>
        <v>1</v>
      </c>
      <c r="X191" s="299">
        <f t="shared" si="136"/>
        <v>1</v>
      </c>
      <c r="Y191" s="299">
        <f t="shared" si="136"/>
        <v>1</v>
      </c>
      <c r="Z191" s="299">
        <f t="shared" si="136"/>
        <v>1</v>
      </c>
      <c r="AA191" s="300">
        <f t="shared" si="136"/>
        <v>0.7</v>
      </c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</row>
    <row r="192" spans="1:78">
      <c r="A192" s="3"/>
      <c r="B192" s="10" t="s">
        <v>4</v>
      </c>
      <c r="C192" s="10" t="s">
        <v>8</v>
      </c>
      <c r="D192" s="10" t="s">
        <v>9</v>
      </c>
      <c r="E192" s="10" t="s">
        <v>10</v>
      </c>
      <c r="F192" s="10" t="s">
        <v>11</v>
      </c>
      <c r="G192" s="10" t="s">
        <v>12</v>
      </c>
      <c r="H192" s="10" t="s">
        <v>13</v>
      </c>
      <c r="I192" s="10" t="s">
        <v>15</v>
      </c>
      <c r="J192" s="10" t="s">
        <v>16</v>
      </c>
      <c r="K192" s="10" t="s">
        <v>17</v>
      </c>
      <c r="L192" s="10" t="s">
        <v>18</v>
      </c>
      <c r="M192" s="10" t="s">
        <v>19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</row>
    <row r="193" spans="1:78">
      <c r="A193" s="184">
        <f t="shared" ref="A193:A243" si="137">A7</f>
        <v>1973</v>
      </c>
      <c r="B193" s="14">
        <v>33</v>
      </c>
      <c r="C193" s="14">
        <v>58</v>
      </c>
      <c r="D193" s="14">
        <v>63</v>
      </c>
      <c r="E193" s="14">
        <v>76</v>
      </c>
      <c r="F193" s="14">
        <v>89</v>
      </c>
      <c r="G193" s="14">
        <v>88</v>
      </c>
      <c r="H193" s="14">
        <v>89</v>
      </c>
      <c r="I193" s="14">
        <v>88</v>
      </c>
      <c r="J193" s="14">
        <v>88</v>
      </c>
      <c r="K193" s="14">
        <v>88</v>
      </c>
      <c r="L193" s="14">
        <v>78</v>
      </c>
      <c r="M193" s="14">
        <v>42</v>
      </c>
      <c r="N193" s="3"/>
      <c r="O193" s="3"/>
      <c r="P193" s="422">
        <f>SUM(B127:N176,B177:D177)-SUM(Instant!B123:M173)</f>
        <v>-14764</v>
      </c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</row>
    <row r="194" spans="1:78">
      <c r="A194" s="184">
        <f t="shared" si="137"/>
        <v>1974</v>
      </c>
      <c r="B194" s="3">
        <v>74</v>
      </c>
      <c r="C194" s="3">
        <v>35</v>
      </c>
      <c r="D194" s="3">
        <v>81</v>
      </c>
      <c r="E194" s="3">
        <v>87</v>
      </c>
      <c r="F194" s="3">
        <v>75</v>
      </c>
      <c r="G194" s="3">
        <v>89</v>
      </c>
      <c r="H194" s="3">
        <v>87</v>
      </c>
      <c r="I194" s="3">
        <v>89</v>
      </c>
      <c r="J194" s="3">
        <v>91</v>
      </c>
      <c r="K194" s="3">
        <v>81</v>
      </c>
      <c r="L194" s="3">
        <v>71</v>
      </c>
      <c r="M194" s="3">
        <v>38</v>
      </c>
      <c r="N194" s="3"/>
      <c r="O194" s="3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</row>
    <row r="195" spans="1:78">
      <c r="A195" s="184">
        <f t="shared" si="137"/>
        <v>1975</v>
      </c>
      <c r="B195" s="3">
        <v>34</v>
      </c>
      <c r="C195" s="3">
        <v>45</v>
      </c>
      <c r="D195" s="3">
        <v>39</v>
      </c>
      <c r="E195" s="3">
        <v>90</v>
      </c>
      <c r="F195" s="3">
        <v>92</v>
      </c>
      <c r="G195" s="3">
        <v>92</v>
      </c>
      <c r="H195" s="3">
        <v>90</v>
      </c>
      <c r="I195" s="3">
        <v>93</v>
      </c>
      <c r="J195" s="3">
        <v>89</v>
      </c>
      <c r="K195" s="3">
        <v>88</v>
      </c>
      <c r="L195" s="3">
        <v>44</v>
      </c>
      <c r="M195" s="3">
        <v>44</v>
      </c>
      <c r="N195" s="3"/>
      <c r="O195" s="3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</row>
    <row r="196" spans="1:78">
      <c r="A196" s="184">
        <f t="shared" si="137"/>
        <v>1976</v>
      </c>
      <c r="B196" s="3">
        <v>30</v>
      </c>
      <c r="C196" s="3">
        <v>41</v>
      </c>
      <c r="D196" s="3">
        <v>76</v>
      </c>
      <c r="E196" s="3">
        <v>86</v>
      </c>
      <c r="F196" s="3">
        <v>85</v>
      </c>
      <c r="G196" s="3">
        <v>89</v>
      </c>
      <c r="H196" s="3">
        <v>89</v>
      </c>
      <c r="I196" s="3">
        <v>87</v>
      </c>
      <c r="J196" s="3">
        <v>79</v>
      </c>
      <c r="K196" s="3">
        <v>80</v>
      </c>
      <c r="L196" s="3">
        <v>40</v>
      </c>
      <c r="M196" s="3">
        <v>40</v>
      </c>
      <c r="N196" s="3"/>
      <c r="O196" s="3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</row>
    <row r="197" spans="1:78">
      <c r="A197" s="184">
        <f t="shared" si="137"/>
        <v>1977</v>
      </c>
      <c r="B197" s="3">
        <v>29</v>
      </c>
      <c r="C197" s="3">
        <v>35</v>
      </c>
      <c r="D197" s="3">
        <v>77</v>
      </c>
      <c r="E197" s="3">
        <v>78</v>
      </c>
      <c r="F197" s="3">
        <v>82</v>
      </c>
      <c r="G197" s="3">
        <v>93</v>
      </c>
      <c r="H197" s="3">
        <v>91</v>
      </c>
      <c r="I197" s="3">
        <v>88</v>
      </c>
      <c r="J197" s="3">
        <v>91</v>
      </c>
      <c r="K197" s="3">
        <v>84</v>
      </c>
      <c r="L197" s="3">
        <v>77</v>
      </c>
      <c r="M197" s="3">
        <v>35</v>
      </c>
      <c r="N197" s="3"/>
      <c r="O197" s="3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</row>
    <row r="198" spans="1:78">
      <c r="A198" s="184">
        <f t="shared" si="137"/>
        <v>1978</v>
      </c>
      <c r="B198" s="3">
        <v>29</v>
      </c>
      <c r="C198" s="3">
        <v>31</v>
      </c>
      <c r="D198" s="3">
        <v>40</v>
      </c>
      <c r="E198" s="3">
        <v>79</v>
      </c>
      <c r="F198" s="3">
        <v>90</v>
      </c>
      <c r="G198" s="3">
        <v>92</v>
      </c>
      <c r="H198" s="3">
        <v>92</v>
      </c>
      <c r="I198" s="3">
        <v>91</v>
      </c>
      <c r="J198" s="3">
        <v>91</v>
      </c>
      <c r="K198" s="3">
        <v>87</v>
      </c>
      <c r="L198" s="3">
        <v>78</v>
      </c>
      <c r="M198" s="3">
        <v>51</v>
      </c>
      <c r="N198" s="3"/>
      <c r="O198" s="3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</row>
    <row r="199" spans="1:78">
      <c r="A199" s="184">
        <f t="shared" si="137"/>
        <v>1979</v>
      </c>
      <c r="B199" s="3">
        <v>32</v>
      </c>
      <c r="C199" s="3">
        <v>37</v>
      </c>
      <c r="D199" s="3">
        <v>49</v>
      </c>
      <c r="E199" s="3">
        <v>80</v>
      </c>
      <c r="F199" s="3">
        <v>87</v>
      </c>
      <c r="G199" s="3">
        <v>90</v>
      </c>
      <c r="H199" s="3">
        <v>91</v>
      </c>
      <c r="I199" s="3">
        <v>90</v>
      </c>
      <c r="J199" s="3">
        <v>89</v>
      </c>
      <c r="K199" s="3">
        <v>86</v>
      </c>
      <c r="L199" s="3">
        <v>44</v>
      </c>
      <c r="M199" s="3">
        <v>40</v>
      </c>
      <c r="N199" s="3"/>
      <c r="O199" s="3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</row>
    <row r="200" spans="1:78">
      <c r="A200" s="184">
        <f t="shared" si="137"/>
        <v>1980</v>
      </c>
      <c r="B200" s="3">
        <v>37</v>
      </c>
      <c r="C200" s="3">
        <v>37</v>
      </c>
      <c r="D200" s="3">
        <v>40</v>
      </c>
      <c r="E200" s="3">
        <v>71</v>
      </c>
      <c r="F200" s="3">
        <v>89</v>
      </c>
      <c r="G200" s="3">
        <v>88</v>
      </c>
      <c r="H200" s="3">
        <v>88</v>
      </c>
      <c r="I200" s="3">
        <v>90</v>
      </c>
      <c r="J200" s="3">
        <v>89</v>
      </c>
      <c r="K200" s="3">
        <v>79</v>
      </c>
      <c r="L200" s="3">
        <v>76</v>
      </c>
      <c r="M200" s="3">
        <v>46</v>
      </c>
      <c r="N200" s="3"/>
      <c r="O200" s="3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</row>
    <row r="201" spans="1:78">
      <c r="A201" s="184">
        <f t="shared" si="137"/>
        <v>1981</v>
      </c>
      <c r="B201" s="3">
        <v>23</v>
      </c>
      <c r="C201" s="3">
        <v>42</v>
      </c>
      <c r="D201" s="3">
        <v>55</v>
      </c>
      <c r="E201" s="3">
        <v>76</v>
      </c>
      <c r="F201" s="3">
        <v>85</v>
      </c>
      <c r="G201" s="3">
        <v>88</v>
      </c>
      <c r="H201" s="3">
        <v>91</v>
      </c>
      <c r="I201" s="3">
        <v>91</v>
      </c>
      <c r="J201" s="3">
        <v>87</v>
      </c>
      <c r="K201" s="3">
        <v>86</v>
      </c>
      <c r="L201" s="3">
        <v>39</v>
      </c>
      <c r="M201" s="3">
        <v>32</v>
      </c>
      <c r="N201" s="3"/>
      <c r="O201" s="3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</row>
    <row r="202" spans="1:78">
      <c r="A202" s="184">
        <f t="shared" si="137"/>
        <v>1982</v>
      </c>
      <c r="B202" s="3">
        <v>24</v>
      </c>
      <c r="C202" s="3">
        <v>73</v>
      </c>
      <c r="D202" s="3">
        <v>40</v>
      </c>
      <c r="E202" s="3">
        <v>77</v>
      </c>
      <c r="F202" s="3">
        <v>88</v>
      </c>
      <c r="G202" s="3">
        <v>89</v>
      </c>
      <c r="H202" s="3">
        <v>85</v>
      </c>
      <c r="I202" s="3">
        <v>90</v>
      </c>
      <c r="J202" s="3">
        <v>91</v>
      </c>
      <c r="K202" s="3">
        <v>88</v>
      </c>
      <c r="L202" s="3">
        <v>80</v>
      </c>
      <c r="M202" s="3">
        <v>37</v>
      </c>
      <c r="N202" s="3"/>
      <c r="O202" s="3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</row>
    <row r="203" spans="1:78">
      <c r="A203" s="184">
        <f t="shared" si="137"/>
        <v>1983</v>
      </c>
      <c r="B203" s="3">
        <v>36</v>
      </c>
      <c r="C203" s="3">
        <v>39</v>
      </c>
      <c r="D203" s="3">
        <v>49</v>
      </c>
      <c r="E203" s="3">
        <v>79</v>
      </c>
      <c r="F203" s="3">
        <v>87</v>
      </c>
      <c r="G203" s="3">
        <v>88</v>
      </c>
      <c r="H203" s="3">
        <v>90</v>
      </c>
      <c r="I203" s="3">
        <v>91</v>
      </c>
      <c r="J203" s="3">
        <v>89</v>
      </c>
      <c r="K203" s="3">
        <v>86</v>
      </c>
      <c r="L203" s="3">
        <v>43</v>
      </c>
      <c r="M203" s="3">
        <v>23</v>
      </c>
      <c r="N203" s="3"/>
      <c r="O203" s="3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</row>
    <row r="204" spans="1:78">
      <c r="A204" s="184">
        <f t="shared" si="137"/>
        <v>1984</v>
      </c>
      <c r="B204" s="3">
        <v>41</v>
      </c>
      <c r="C204" s="3">
        <v>37</v>
      </c>
      <c r="D204" s="3">
        <v>40</v>
      </c>
      <c r="E204" s="3">
        <v>85</v>
      </c>
      <c r="F204" s="3">
        <v>93</v>
      </c>
      <c r="G204" s="3">
        <v>88</v>
      </c>
      <c r="H204" s="3">
        <v>92</v>
      </c>
      <c r="I204" s="3">
        <v>90</v>
      </c>
      <c r="J204" s="3">
        <v>92</v>
      </c>
      <c r="K204" s="3">
        <v>81</v>
      </c>
      <c r="L204" s="3">
        <v>42</v>
      </c>
      <c r="M204" s="3">
        <v>37</v>
      </c>
      <c r="N204" s="3"/>
      <c r="O204" s="3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</row>
    <row r="205" spans="1:78">
      <c r="A205" s="184">
        <f t="shared" si="137"/>
        <v>1985</v>
      </c>
      <c r="B205" s="3">
        <v>26</v>
      </c>
      <c r="C205" s="3">
        <v>39</v>
      </c>
      <c r="D205" s="3">
        <v>39</v>
      </c>
      <c r="E205" s="3">
        <v>85</v>
      </c>
      <c r="F205" s="3">
        <v>90</v>
      </c>
      <c r="G205" s="3">
        <v>95</v>
      </c>
      <c r="H205" s="3">
        <v>91</v>
      </c>
      <c r="I205" s="3">
        <v>83</v>
      </c>
      <c r="J205" s="3">
        <v>90</v>
      </c>
      <c r="K205" s="3">
        <v>89</v>
      </c>
      <c r="L205" s="3">
        <v>81</v>
      </c>
      <c r="M205" s="3">
        <v>32</v>
      </c>
      <c r="N205" s="3"/>
      <c r="O205" s="3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</row>
    <row r="206" spans="1:78">
      <c r="A206" s="184">
        <f t="shared" si="137"/>
        <v>1986</v>
      </c>
      <c r="B206" s="3">
        <v>26</v>
      </c>
      <c r="C206" s="3">
        <v>40</v>
      </c>
      <c r="D206" s="3">
        <v>47</v>
      </c>
      <c r="E206" s="3">
        <v>89</v>
      </c>
      <c r="F206" s="1">
        <v>93</v>
      </c>
      <c r="G206" s="1">
        <v>89</v>
      </c>
      <c r="H206" s="3">
        <v>91</v>
      </c>
      <c r="I206" s="3">
        <v>92</v>
      </c>
      <c r="J206" s="3">
        <v>92</v>
      </c>
      <c r="K206" s="3">
        <v>90</v>
      </c>
      <c r="L206" s="3">
        <v>79</v>
      </c>
      <c r="M206" s="3">
        <v>75</v>
      </c>
      <c r="N206" s="3"/>
      <c r="O206" s="3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</row>
    <row r="207" spans="1:78">
      <c r="A207" s="184">
        <f t="shared" si="137"/>
        <v>1987</v>
      </c>
      <c r="B207" s="3">
        <v>36</v>
      </c>
      <c r="C207" s="3">
        <v>35</v>
      </c>
      <c r="D207" s="3">
        <v>51</v>
      </c>
      <c r="E207" s="3">
        <v>42</v>
      </c>
      <c r="F207" s="3">
        <v>85</v>
      </c>
      <c r="G207" s="3">
        <v>94</v>
      </c>
      <c r="H207" s="3">
        <v>92</v>
      </c>
      <c r="I207" s="3">
        <v>92</v>
      </c>
      <c r="J207" s="3">
        <v>91</v>
      </c>
      <c r="K207" s="3">
        <v>82</v>
      </c>
      <c r="L207" s="3">
        <v>80</v>
      </c>
      <c r="M207" s="3">
        <v>39</v>
      </c>
      <c r="N207" s="3"/>
      <c r="O207" s="3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</row>
    <row r="208" spans="1:78">
      <c r="A208" s="184">
        <f t="shared" si="137"/>
        <v>1988</v>
      </c>
      <c r="B208" s="3">
        <v>34</v>
      </c>
      <c r="C208" s="3">
        <v>38</v>
      </c>
      <c r="D208" s="3">
        <v>38</v>
      </c>
      <c r="E208" s="3">
        <v>81</v>
      </c>
      <c r="F208" s="3">
        <v>90</v>
      </c>
      <c r="G208" s="3">
        <v>88</v>
      </c>
      <c r="H208" s="3">
        <v>94</v>
      </c>
      <c r="I208" s="3">
        <v>92</v>
      </c>
      <c r="J208" s="3">
        <v>91</v>
      </c>
      <c r="K208" s="3">
        <v>83</v>
      </c>
      <c r="L208" s="3">
        <v>78</v>
      </c>
      <c r="M208" s="3">
        <v>37</v>
      </c>
      <c r="N208" s="3"/>
      <c r="O208" s="3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</row>
    <row r="209" spans="1:78">
      <c r="A209" s="184">
        <f t="shared" si="137"/>
        <v>1989</v>
      </c>
      <c r="B209" s="3">
        <v>44</v>
      </c>
      <c r="C209" s="3">
        <v>35</v>
      </c>
      <c r="D209" s="3">
        <v>44</v>
      </c>
      <c r="E209" s="3">
        <v>85</v>
      </c>
      <c r="F209" s="3">
        <v>93</v>
      </c>
      <c r="G209" s="3">
        <v>92</v>
      </c>
      <c r="H209" s="3">
        <v>92</v>
      </c>
      <c r="I209" s="3">
        <v>92</v>
      </c>
      <c r="J209" s="3">
        <v>90</v>
      </c>
      <c r="K209" s="3">
        <v>88</v>
      </c>
      <c r="L209" s="3">
        <v>77</v>
      </c>
      <c r="M209" s="3">
        <v>29</v>
      </c>
      <c r="N209" s="3"/>
      <c r="O209" s="3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</row>
    <row r="210" spans="1:78">
      <c r="A210" s="184">
        <f t="shared" si="137"/>
        <v>1990</v>
      </c>
      <c r="B210" s="3">
        <v>44</v>
      </c>
      <c r="C210" s="3">
        <v>50</v>
      </c>
      <c r="D210" s="3">
        <v>84</v>
      </c>
      <c r="E210" s="3">
        <v>85</v>
      </c>
      <c r="F210" s="3">
        <v>88</v>
      </c>
      <c r="G210" s="3">
        <v>90</v>
      </c>
      <c r="H210" s="3">
        <v>93</v>
      </c>
      <c r="I210" s="3">
        <v>90</v>
      </c>
      <c r="J210" s="3">
        <v>91</v>
      </c>
      <c r="K210" s="3">
        <v>90</v>
      </c>
      <c r="L210" s="3">
        <v>78</v>
      </c>
      <c r="M210" s="3">
        <v>41</v>
      </c>
      <c r="N210" s="3"/>
      <c r="O210" s="3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</row>
    <row r="211" spans="1:78">
      <c r="A211" s="184">
        <f t="shared" si="137"/>
        <v>1991</v>
      </c>
      <c r="B211" s="3">
        <v>42</v>
      </c>
      <c r="C211" s="3">
        <v>38</v>
      </c>
      <c r="D211" s="3">
        <v>43</v>
      </c>
      <c r="E211" s="3">
        <v>91</v>
      </c>
      <c r="F211" s="3">
        <v>93</v>
      </c>
      <c r="G211" s="3">
        <v>83</v>
      </c>
      <c r="H211" s="3">
        <v>89</v>
      </c>
      <c r="I211" s="3">
        <v>92</v>
      </c>
      <c r="J211" s="3">
        <v>89</v>
      </c>
      <c r="K211" s="3">
        <v>86</v>
      </c>
      <c r="L211" s="3">
        <v>42</v>
      </c>
      <c r="M211" s="3">
        <v>46</v>
      </c>
      <c r="N211" s="3"/>
      <c r="O211" s="3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</row>
    <row r="212" spans="1:78">
      <c r="A212" s="184">
        <f t="shared" si="137"/>
        <v>1992</v>
      </c>
      <c r="B212" s="3">
        <v>37</v>
      </c>
      <c r="C212" s="3">
        <v>47</v>
      </c>
      <c r="D212" s="3">
        <v>52</v>
      </c>
      <c r="E212" s="3">
        <v>84</v>
      </c>
      <c r="F212" s="3">
        <v>86</v>
      </c>
      <c r="G212" s="3">
        <v>90</v>
      </c>
      <c r="H212" s="3">
        <v>93</v>
      </c>
      <c r="I212" s="3">
        <v>92</v>
      </c>
      <c r="J212" s="3">
        <v>90</v>
      </c>
      <c r="K212" s="3">
        <v>85</v>
      </c>
      <c r="L212" s="3">
        <v>79</v>
      </c>
      <c r="M212" s="3">
        <v>44</v>
      </c>
      <c r="N212" s="3"/>
      <c r="O212" s="3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</row>
    <row r="213" spans="1:78">
      <c r="A213" s="184">
        <f t="shared" si="137"/>
        <v>1993</v>
      </c>
      <c r="B213" s="3">
        <v>41</v>
      </c>
      <c r="C213" s="3">
        <v>36</v>
      </c>
      <c r="D213" s="3">
        <v>36</v>
      </c>
      <c r="E213" s="3">
        <v>82</v>
      </c>
      <c r="F213" s="3">
        <v>82</v>
      </c>
      <c r="G213" s="3">
        <v>95</v>
      </c>
      <c r="H213" s="3">
        <v>90</v>
      </c>
      <c r="I213" s="3">
        <v>95</v>
      </c>
      <c r="J213" s="3">
        <v>89</v>
      </c>
      <c r="K213" s="3">
        <v>89</v>
      </c>
      <c r="L213" s="3">
        <v>86</v>
      </c>
      <c r="M213" s="3">
        <v>39</v>
      </c>
      <c r="N213" s="3"/>
      <c r="O213" s="3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</row>
    <row r="214" spans="1:78">
      <c r="A214" s="184">
        <f t="shared" si="137"/>
        <v>1994</v>
      </c>
      <c r="B214" s="3">
        <v>42</v>
      </c>
      <c r="C214" s="3">
        <v>37</v>
      </c>
      <c r="D214" s="3">
        <v>85</v>
      </c>
      <c r="E214" s="3">
        <v>85</v>
      </c>
      <c r="F214" s="3">
        <v>88</v>
      </c>
      <c r="G214" s="3">
        <v>92</v>
      </c>
      <c r="H214" s="3">
        <v>92</v>
      </c>
      <c r="I214" s="3">
        <v>88</v>
      </c>
      <c r="J214" s="3">
        <v>90</v>
      </c>
      <c r="K214" s="3">
        <v>85</v>
      </c>
      <c r="L214" s="3">
        <v>79</v>
      </c>
      <c r="M214" s="3">
        <v>73</v>
      </c>
      <c r="N214" s="3"/>
      <c r="O214" s="3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</row>
    <row r="215" spans="1:78">
      <c r="A215" s="184">
        <f t="shared" si="137"/>
        <v>1995</v>
      </c>
      <c r="B215" s="3">
        <v>36</v>
      </c>
      <c r="C215" s="3">
        <v>28</v>
      </c>
      <c r="D215" s="3">
        <v>48</v>
      </c>
      <c r="E215" s="3">
        <v>86</v>
      </c>
      <c r="F215" s="3">
        <v>90</v>
      </c>
      <c r="G215" s="3">
        <v>89</v>
      </c>
      <c r="H215" s="3">
        <v>90</v>
      </c>
      <c r="I215" s="3">
        <v>96</v>
      </c>
      <c r="J215" s="3">
        <v>91</v>
      </c>
      <c r="K215" s="3">
        <v>86</v>
      </c>
      <c r="L215" s="3">
        <v>84</v>
      </c>
      <c r="M215" s="3">
        <v>34</v>
      </c>
      <c r="N215" s="3"/>
      <c r="O215" s="3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</row>
    <row r="216" spans="1:78">
      <c r="A216" s="184">
        <f t="shared" si="137"/>
        <v>1996</v>
      </c>
      <c r="B216" s="3">
        <v>31</v>
      </c>
      <c r="C216" s="3">
        <v>26</v>
      </c>
      <c r="D216" s="3">
        <v>36</v>
      </c>
      <c r="E216" s="3">
        <v>87</v>
      </c>
      <c r="F216" s="3">
        <v>90</v>
      </c>
      <c r="G216" s="3">
        <v>92</v>
      </c>
      <c r="H216" s="3">
        <v>92</v>
      </c>
      <c r="I216" s="3">
        <v>91</v>
      </c>
      <c r="J216" s="3">
        <v>90</v>
      </c>
      <c r="K216" s="3">
        <v>88</v>
      </c>
      <c r="L216" s="3">
        <v>87</v>
      </c>
      <c r="M216" s="3">
        <v>36</v>
      </c>
      <c r="N216" s="3"/>
      <c r="O216" s="3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</row>
    <row r="217" spans="1:78">
      <c r="A217" s="184">
        <f t="shared" si="137"/>
        <v>1997</v>
      </c>
      <c r="B217" s="3">
        <v>37</v>
      </c>
      <c r="C217" s="3">
        <v>47</v>
      </c>
      <c r="D217" s="3">
        <v>79</v>
      </c>
      <c r="E217" s="3">
        <v>82</v>
      </c>
      <c r="F217" s="3">
        <v>86</v>
      </c>
      <c r="G217" s="3">
        <v>90</v>
      </c>
      <c r="H217" s="3">
        <v>86</v>
      </c>
      <c r="I217" s="3">
        <v>94</v>
      </c>
      <c r="J217" s="3">
        <v>93</v>
      </c>
      <c r="K217" s="3">
        <v>88</v>
      </c>
      <c r="L217" s="3">
        <v>83</v>
      </c>
      <c r="M217" s="3">
        <v>54</v>
      </c>
      <c r="N217" s="3"/>
      <c r="O217" s="3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</row>
    <row r="218" spans="1:78">
      <c r="A218" s="184">
        <f t="shared" si="137"/>
        <v>1998</v>
      </c>
      <c r="B218" s="3">
        <v>46</v>
      </c>
      <c r="C218" s="3">
        <v>47</v>
      </c>
      <c r="D218" s="3">
        <v>41</v>
      </c>
      <c r="E218" s="3">
        <v>83</v>
      </c>
      <c r="F218" s="3">
        <v>87</v>
      </c>
      <c r="G218" s="3">
        <v>93</v>
      </c>
      <c r="H218" s="3">
        <v>97</v>
      </c>
      <c r="I218" s="3">
        <v>97</v>
      </c>
      <c r="J218" s="3">
        <v>90</v>
      </c>
      <c r="K218" s="3">
        <v>91</v>
      </c>
      <c r="L218" s="3">
        <v>76</v>
      </c>
      <c r="M218" s="3">
        <v>76</v>
      </c>
      <c r="N218" s="3"/>
      <c r="O218" s="3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</row>
    <row r="219" spans="1:78">
      <c r="A219" s="184">
        <f t="shared" si="137"/>
        <v>1999</v>
      </c>
      <c r="B219" s="3">
        <v>32</v>
      </c>
      <c r="C219" s="3">
        <v>42</v>
      </c>
      <c r="D219" s="3">
        <v>45</v>
      </c>
      <c r="E219" s="3">
        <v>84</v>
      </c>
      <c r="F219" s="3">
        <v>84</v>
      </c>
      <c r="G219" s="3">
        <v>92</v>
      </c>
      <c r="H219" s="3">
        <v>91</v>
      </c>
      <c r="I219" s="3">
        <v>91</v>
      </c>
      <c r="J219" s="3">
        <v>91</v>
      </c>
      <c r="K219" s="3">
        <v>89</v>
      </c>
      <c r="L219" s="3">
        <v>75</v>
      </c>
      <c r="M219" s="3">
        <v>41</v>
      </c>
      <c r="N219" s="3"/>
      <c r="O219" s="3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</row>
    <row r="220" spans="1:78">
      <c r="A220" s="184">
        <f t="shared" si="137"/>
        <v>2000</v>
      </c>
      <c r="B220" s="3">
        <v>32</v>
      </c>
      <c r="C220" s="3">
        <v>41</v>
      </c>
      <c r="D220" s="3">
        <v>82</v>
      </c>
      <c r="E220" s="3">
        <v>80</v>
      </c>
      <c r="F220" s="3">
        <v>88</v>
      </c>
      <c r="G220" s="3">
        <v>88</v>
      </c>
      <c r="H220" s="3">
        <v>90</v>
      </c>
      <c r="I220" s="3">
        <v>93</v>
      </c>
      <c r="J220" s="3">
        <v>89</v>
      </c>
      <c r="K220" s="3">
        <v>88</v>
      </c>
      <c r="L220" s="3">
        <v>77</v>
      </c>
      <c r="M220" s="3">
        <v>36</v>
      </c>
      <c r="N220" s="3"/>
      <c r="O220" s="3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</row>
    <row r="221" spans="1:78">
      <c r="A221" s="184">
        <f t="shared" si="137"/>
        <v>2001</v>
      </c>
      <c r="B221" s="3">
        <v>35</v>
      </c>
      <c r="C221" s="3">
        <v>46</v>
      </c>
      <c r="D221" s="3">
        <v>76</v>
      </c>
      <c r="E221" s="3">
        <v>86</v>
      </c>
      <c r="F221" s="3">
        <v>87</v>
      </c>
      <c r="G221" s="3">
        <v>92</v>
      </c>
      <c r="H221" s="3">
        <v>91</v>
      </c>
      <c r="I221" s="3">
        <v>93</v>
      </c>
      <c r="J221" s="3">
        <v>91</v>
      </c>
      <c r="K221" s="3">
        <v>82</v>
      </c>
      <c r="L221" s="3">
        <v>78</v>
      </c>
      <c r="M221" s="3">
        <v>44</v>
      </c>
      <c r="N221" s="3"/>
      <c r="O221" s="3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</row>
    <row r="222" spans="1:78">
      <c r="A222" s="184">
        <f t="shared" si="137"/>
        <v>2002</v>
      </c>
      <c r="B222" s="3">
        <v>40</v>
      </c>
      <c r="C222" s="3">
        <v>35</v>
      </c>
      <c r="D222" s="3">
        <v>37</v>
      </c>
      <c r="E222" s="3">
        <v>85</v>
      </c>
      <c r="F222" s="3">
        <v>87</v>
      </c>
      <c r="G222" s="3">
        <v>93</v>
      </c>
      <c r="H222" s="3">
        <v>96</v>
      </c>
      <c r="I222" s="3">
        <v>91</v>
      </c>
      <c r="J222" s="3">
        <v>88</v>
      </c>
      <c r="K222" s="3">
        <v>90</v>
      </c>
      <c r="L222" s="3">
        <v>83</v>
      </c>
      <c r="M222" s="3">
        <v>48</v>
      </c>
      <c r="N222" s="3"/>
      <c r="O222" s="3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</row>
    <row r="223" spans="1:78">
      <c r="A223" s="184">
        <f t="shared" si="137"/>
        <v>2003</v>
      </c>
      <c r="B223" s="1">
        <v>28</v>
      </c>
      <c r="C223" s="1">
        <v>48</v>
      </c>
      <c r="D223" s="1">
        <v>83</v>
      </c>
      <c r="E223" s="1">
        <v>85</v>
      </c>
      <c r="F223" s="1">
        <v>86</v>
      </c>
      <c r="G223" s="1">
        <v>92</v>
      </c>
      <c r="H223" s="1">
        <v>94</v>
      </c>
      <c r="I223" s="1">
        <v>91</v>
      </c>
      <c r="J223" s="1">
        <v>93</v>
      </c>
      <c r="K223" s="1">
        <v>88</v>
      </c>
      <c r="L223" s="1">
        <v>87</v>
      </c>
      <c r="M223" s="1">
        <v>41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78">
      <c r="A224" s="184">
        <f t="shared" si="137"/>
        <v>2004</v>
      </c>
      <c r="B224" s="1">
        <v>39</v>
      </c>
      <c r="C224" s="1">
        <v>43</v>
      </c>
      <c r="D224" s="1">
        <v>80</v>
      </c>
      <c r="E224" s="1">
        <v>88</v>
      </c>
      <c r="F224" s="1">
        <v>88</v>
      </c>
      <c r="G224" s="1">
        <v>94</v>
      </c>
      <c r="H224" s="1">
        <v>94</v>
      </c>
      <c r="I224" s="1">
        <v>92</v>
      </c>
      <c r="J224" s="1">
        <v>94</v>
      </c>
      <c r="K224" s="1">
        <v>88</v>
      </c>
      <c r="L224" s="1">
        <v>85</v>
      </c>
      <c r="M224" s="1">
        <v>35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>
      <c r="A225" s="184">
        <f t="shared" si="137"/>
        <v>2005</v>
      </c>
      <c r="B225" s="1">
        <v>33</v>
      </c>
      <c r="C225" s="1">
        <v>43</v>
      </c>
      <c r="D225" s="1">
        <v>83</v>
      </c>
      <c r="E225" s="1">
        <v>84</v>
      </c>
      <c r="F225" s="1">
        <v>93</v>
      </c>
      <c r="G225" s="1">
        <v>90</v>
      </c>
      <c r="H225" s="1">
        <v>93</v>
      </c>
      <c r="I225" s="1">
        <v>93</v>
      </c>
      <c r="J225" s="1">
        <v>93</v>
      </c>
      <c r="K225" s="1">
        <v>91</v>
      </c>
      <c r="L225" s="1">
        <v>80</v>
      </c>
      <c r="M225" s="1">
        <v>40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>
      <c r="A226" s="184">
        <f t="shared" si="137"/>
        <v>2006</v>
      </c>
      <c r="B226" s="1">
        <v>44</v>
      </c>
      <c r="C226" s="1">
        <v>37</v>
      </c>
      <c r="D226" s="1">
        <v>80</v>
      </c>
      <c r="E226" s="1">
        <v>88</v>
      </c>
      <c r="F226" s="1">
        <v>92</v>
      </c>
      <c r="G226" s="1">
        <v>91</v>
      </c>
      <c r="H226" s="1">
        <v>96</v>
      </c>
      <c r="I226" s="1">
        <v>95</v>
      </c>
      <c r="J226" s="1">
        <v>90</v>
      </c>
      <c r="K226" s="1">
        <v>87</v>
      </c>
      <c r="L226" s="1">
        <v>87</v>
      </c>
      <c r="M226" s="1">
        <v>77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>
      <c r="A227" s="184">
        <f t="shared" si="137"/>
        <v>2007</v>
      </c>
      <c r="B227">
        <v>40</v>
      </c>
      <c r="C227">
        <v>40</v>
      </c>
      <c r="D227">
        <v>82</v>
      </c>
      <c r="E227">
        <v>82</v>
      </c>
      <c r="F227">
        <v>86</v>
      </c>
      <c r="G227">
        <v>95</v>
      </c>
      <c r="H227">
        <v>90</v>
      </c>
      <c r="I227">
        <v>95</v>
      </c>
      <c r="J227">
        <v>91</v>
      </c>
      <c r="K227">
        <v>91</v>
      </c>
      <c r="L227">
        <v>82</v>
      </c>
      <c r="M227">
        <v>46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>
      <c r="A228" s="184">
        <f t="shared" si="137"/>
        <v>2008</v>
      </c>
      <c r="B228">
        <v>29</v>
      </c>
      <c r="C228">
        <v>40</v>
      </c>
      <c r="D228">
        <v>78</v>
      </c>
      <c r="E228">
        <v>82</v>
      </c>
      <c r="F228">
        <v>84</v>
      </c>
      <c r="G228">
        <v>96</v>
      </c>
      <c r="H228">
        <v>93</v>
      </c>
      <c r="I228">
        <v>92</v>
      </c>
      <c r="J228">
        <v>91</v>
      </c>
      <c r="K228">
        <v>86</v>
      </c>
      <c r="L228">
        <v>85</v>
      </c>
      <c r="M228">
        <v>40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>
      <c r="A229" s="184">
        <f t="shared" si="137"/>
        <v>2009</v>
      </c>
      <c r="B229">
        <v>33</v>
      </c>
      <c r="C229">
        <v>36</v>
      </c>
      <c r="D229">
        <v>40</v>
      </c>
      <c r="E229">
        <v>82</v>
      </c>
      <c r="F229">
        <v>89</v>
      </c>
      <c r="G229">
        <v>96</v>
      </c>
      <c r="H229">
        <v>91</v>
      </c>
      <c r="I229">
        <v>93</v>
      </c>
      <c r="J229">
        <v>94</v>
      </c>
      <c r="K229">
        <v>91</v>
      </c>
      <c r="L229">
        <v>82</v>
      </c>
      <c r="M229">
        <v>76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>
      <c r="A230" s="184">
        <f t="shared" si="137"/>
        <v>2010</v>
      </c>
      <c r="B230">
        <v>27</v>
      </c>
      <c r="C230">
        <v>37</v>
      </c>
      <c r="D230">
        <v>40</v>
      </c>
      <c r="E230">
        <v>83</v>
      </c>
      <c r="F230">
        <v>87</v>
      </c>
      <c r="G230">
        <v>93</v>
      </c>
      <c r="H230">
        <v>95</v>
      </c>
      <c r="I230">
        <v>92</v>
      </c>
      <c r="J230">
        <v>93</v>
      </c>
      <c r="K230">
        <v>89</v>
      </c>
      <c r="L230">
        <v>86</v>
      </c>
      <c r="M230">
        <v>27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>
      <c r="A231" s="184">
        <f t="shared" si="137"/>
        <v>2011</v>
      </c>
      <c r="B231">
        <v>31</v>
      </c>
      <c r="C231">
        <v>43</v>
      </c>
      <c r="D231">
        <v>81</v>
      </c>
      <c r="E231">
        <v>86</v>
      </c>
      <c r="F231">
        <v>91</v>
      </c>
      <c r="G231">
        <v>92</v>
      </c>
      <c r="H231">
        <v>94</v>
      </c>
      <c r="I231">
        <v>94</v>
      </c>
      <c r="J231">
        <v>91</v>
      </c>
      <c r="K231">
        <v>83</v>
      </c>
      <c r="L231">
        <v>80</v>
      </c>
      <c r="M231">
        <v>72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>
      <c r="A232" s="184">
        <f t="shared" si="137"/>
        <v>2012</v>
      </c>
      <c r="B232">
        <v>35</v>
      </c>
      <c r="C232">
        <v>37</v>
      </c>
      <c r="D232">
        <v>82</v>
      </c>
      <c r="E232">
        <v>84</v>
      </c>
      <c r="F232">
        <v>94</v>
      </c>
      <c r="G232">
        <v>92</v>
      </c>
      <c r="H232">
        <v>91</v>
      </c>
      <c r="I232">
        <v>93</v>
      </c>
      <c r="J232">
        <v>88</v>
      </c>
      <c r="K232">
        <v>90</v>
      </c>
      <c r="L232">
        <v>75</v>
      </c>
      <c r="M232">
        <v>77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>
      <c r="A233" s="184">
        <f t="shared" si="137"/>
        <v>2013</v>
      </c>
      <c r="B233">
        <v>81</v>
      </c>
      <c r="C233">
        <v>37</v>
      </c>
      <c r="D233">
        <v>45</v>
      </c>
      <c r="E233">
        <v>90</v>
      </c>
      <c r="F233">
        <v>90</v>
      </c>
      <c r="G233">
        <v>92</v>
      </c>
      <c r="H233">
        <v>91</v>
      </c>
      <c r="I233">
        <v>92</v>
      </c>
      <c r="J233">
        <v>91</v>
      </c>
      <c r="K233">
        <v>89</v>
      </c>
      <c r="L233">
        <v>80</v>
      </c>
      <c r="M233">
        <v>75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>
      <c r="A234" s="184">
        <f t="shared" si="137"/>
        <v>2014</v>
      </c>
      <c r="B234">
        <v>39</v>
      </c>
      <c r="C234">
        <v>74</v>
      </c>
      <c r="D234">
        <v>83</v>
      </c>
      <c r="E234">
        <v>88</v>
      </c>
      <c r="F234" s="1">
        <v>89</v>
      </c>
      <c r="G234" s="1">
        <v>93</v>
      </c>
      <c r="H234" s="1">
        <v>93</v>
      </c>
      <c r="I234" s="1">
        <v>94</v>
      </c>
      <c r="J234" s="1">
        <v>91</v>
      </c>
      <c r="K234" s="1">
        <v>89</v>
      </c>
      <c r="L234" s="1">
        <v>40</v>
      </c>
      <c r="M234" s="1">
        <v>44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>
      <c r="A235" s="184">
        <f t="shared" si="137"/>
        <v>2015</v>
      </c>
      <c r="B235" s="1">
        <v>37</v>
      </c>
      <c r="C235" s="1">
        <v>34</v>
      </c>
      <c r="D235" s="1">
        <v>84</v>
      </c>
      <c r="E235" s="1">
        <v>84</v>
      </c>
      <c r="F235" s="1">
        <v>90</v>
      </c>
      <c r="G235" s="1">
        <v>90</v>
      </c>
      <c r="H235" s="1">
        <v>93</v>
      </c>
      <c r="I235" s="1">
        <v>93</v>
      </c>
      <c r="J235" s="1">
        <v>91</v>
      </c>
      <c r="K235" s="1">
        <v>86</v>
      </c>
      <c r="L235" s="1">
        <v>87</v>
      </c>
      <c r="M235" s="1">
        <v>84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>
      <c r="A236" s="184">
        <f t="shared" si="137"/>
        <v>2016</v>
      </c>
      <c r="B236" s="1">
        <v>40</v>
      </c>
      <c r="C236" s="1">
        <v>45</v>
      </c>
      <c r="D236" s="1">
        <v>82</v>
      </c>
      <c r="E236" s="1">
        <v>87</v>
      </c>
      <c r="F236" s="1">
        <v>87</v>
      </c>
      <c r="G236" s="1">
        <v>91</v>
      </c>
      <c r="H236" s="1">
        <v>93</v>
      </c>
      <c r="I236" s="1">
        <v>93</v>
      </c>
      <c r="J236" s="1">
        <v>92</v>
      </c>
      <c r="K236" s="1">
        <v>89</v>
      </c>
      <c r="L236" s="1">
        <v>85</v>
      </c>
      <c r="M236" s="1">
        <v>84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>
      <c r="A237" s="184">
        <f t="shared" si="137"/>
        <v>2017</v>
      </c>
      <c r="B237" s="1">
        <v>41</v>
      </c>
      <c r="C237" s="1">
        <v>85</v>
      </c>
      <c r="D237" s="1">
        <v>84</v>
      </c>
      <c r="E237" s="1">
        <v>92</v>
      </c>
      <c r="F237" s="1">
        <v>91</v>
      </c>
      <c r="G237" s="1">
        <v>92</v>
      </c>
      <c r="H237" s="1">
        <v>91</v>
      </c>
      <c r="I237" s="1">
        <v>92</v>
      </c>
      <c r="J237" s="1">
        <v>92</v>
      </c>
      <c r="K237" s="1">
        <v>91</v>
      </c>
      <c r="L237" s="1">
        <v>82</v>
      </c>
      <c r="M237" s="1">
        <v>43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>
      <c r="A238" s="184">
        <f t="shared" si="137"/>
        <v>2018</v>
      </c>
      <c r="B238" s="1">
        <v>28</v>
      </c>
      <c r="C238" s="1">
        <v>85</v>
      </c>
      <c r="D238" s="1">
        <v>81</v>
      </c>
      <c r="E238" s="1">
        <v>83</v>
      </c>
      <c r="F238" s="1">
        <v>90</v>
      </c>
      <c r="G238" s="1">
        <v>92</v>
      </c>
      <c r="H238" s="1">
        <v>93</v>
      </c>
      <c r="I238" s="1">
        <v>92</v>
      </c>
      <c r="J238" s="1">
        <v>92</v>
      </c>
      <c r="K238" s="1">
        <v>92</v>
      </c>
      <c r="L238" s="1">
        <v>84</v>
      </c>
      <c r="M238" s="1">
        <v>75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>
      <c r="A239" s="184">
        <f t="shared" si="137"/>
        <v>2019</v>
      </c>
      <c r="B239" s="1">
        <v>45</v>
      </c>
      <c r="C239" s="1">
        <v>85</v>
      </c>
      <c r="D239" s="1">
        <v>84</v>
      </c>
      <c r="E239" s="1">
        <v>89</v>
      </c>
      <c r="F239" s="1">
        <v>94</v>
      </c>
      <c r="G239" s="1">
        <v>94</v>
      </c>
      <c r="H239" s="1">
        <v>85</v>
      </c>
      <c r="I239" s="1">
        <v>93</v>
      </c>
      <c r="J239" s="1">
        <v>92</v>
      </c>
      <c r="K239" s="1">
        <v>89</v>
      </c>
      <c r="L239" s="1">
        <v>86</v>
      </c>
      <c r="M239" s="1">
        <v>75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>
      <c r="A240" s="184">
        <f t="shared" si="137"/>
        <v>2020</v>
      </c>
      <c r="B240" s="1">
        <v>34</v>
      </c>
      <c r="C240" s="1">
        <v>82</v>
      </c>
      <c r="D240" s="1">
        <v>85</v>
      </c>
      <c r="E240" s="1">
        <v>88</v>
      </c>
      <c r="F240" s="1">
        <v>91</v>
      </c>
      <c r="G240" s="1">
        <v>93</v>
      </c>
      <c r="H240" s="1">
        <v>92</v>
      </c>
      <c r="I240" s="1">
        <v>93</v>
      </c>
      <c r="J240" s="1">
        <v>93</v>
      </c>
      <c r="K240" s="1">
        <v>91</v>
      </c>
      <c r="L240" s="1">
        <v>85</v>
      </c>
      <c r="M240" s="1">
        <v>41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>
      <c r="A241" s="184">
        <f t="shared" si="137"/>
        <v>2021</v>
      </c>
      <c r="B241" s="1">
        <v>46</v>
      </c>
      <c r="C241" s="1">
        <v>42</v>
      </c>
      <c r="D241" s="1">
        <v>84</v>
      </c>
      <c r="E241" s="1">
        <v>86</v>
      </c>
      <c r="F241" s="1">
        <v>89</v>
      </c>
      <c r="G241" s="1">
        <v>90</v>
      </c>
      <c r="H241" s="1">
        <v>91</v>
      </c>
      <c r="I241" s="1">
        <v>94</v>
      </c>
      <c r="J241" s="1">
        <v>92</v>
      </c>
      <c r="K241" s="1">
        <v>91</v>
      </c>
      <c r="L241" s="1">
        <v>82</v>
      </c>
      <c r="M241" s="1">
        <v>79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>
      <c r="A242" s="184">
        <f t="shared" si="137"/>
        <v>2022</v>
      </c>
      <c r="B242" s="1">
        <v>45</v>
      </c>
      <c r="C242" s="1">
        <v>84</v>
      </c>
      <c r="D242" s="1">
        <v>81</v>
      </c>
      <c r="E242" s="1">
        <v>86</v>
      </c>
      <c r="F242" s="1">
        <v>91</v>
      </c>
      <c r="G242" s="1">
        <v>93</v>
      </c>
      <c r="H242" s="1">
        <v>93</v>
      </c>
      <c r="I242" s="1">
        <v>93</v>
      </c>
      <c r="J242" s="1">
        <v>89</v>
      </c>
      <c r="K242" s="1">
        <v>88</v>
      </c>
      <c r="L242" s="1">
        <v>88</v>
      </c>
      <c r="M242" s="1">
        <v>32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>
      <c r="A243" s="184">
        <f t="shared" si="137"/>
        <v>2023</v>
      </c>
      <c r="B243" s="1">
        <v>42</v>
      </c>
      <c r="C243" s="1">
        <v>84</v>
      </c>
      <c r="D243" s="1">
        <v>84</v>
      </c>
      <c r="E243" s="1">
        <v>88</v>
      </c>
    </row>
    <row r="244" spans="1:27"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</row>
  </sheetData>
  <mergeCells count="2">
    <mergeCell ref="P4:Q4"/>
    <mergeCell ref="O59:Q60"/>
  </mergeCells>
  <phoneticPr fontId="9" type="noConversion"/>
  <pageMargins left="0.25" right="0.25694444444444442" top="0.25" bottom="0.25" header="0" footer="0"/>
  <pageSetup scale="71" orientation="landscape" r:id="rId1"/>
  <headerFooter alignWithMargins="0"/>
  <customProperties>
    <customPr name="_pios_id" r:id="rId2"/>
    <customPr name="EpmWorksheetKeyString_GUID" r:id="rId3"/>
  </customProperties>
  <ignoredErrors>
    <ignoredError sqref="Q14:Q23 Q8:Q13 Q24:Q34 S35:S40 S7 Q7 S8:S34 Q35:Q40" formulaRange="1"/>
  </ignoredErrors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74"/>
  <sheetViews>
    <sheetView showGridLines="0" zoomScale="70" zoomScaleNormal="70" workbookViewId="0">
      <pane ySplit="5" topLeftCell="A45" activePane="bottomLeft" state="frozen"/>
      <selection activeCell="B1" sqref="B1:M1048576"/>
      <selection pane="bottomLeft" activeCell="N57" sqref="N57"/>
    </sheetView>
  </sheetViews>
  <sheetFormatPr defaultColWidth="9.6640625" defaultRowHeight="15"/>
  <cols>
    <col min="1" max="1" width="8.5546875" style="1" customWidth="1"/>
    <col min="2" max="13" width="7.6640625" style="1" customWidth="1"/>
    <col min="14" max="16384" width="9.6640625" style="1"/>
  </cols>
  <sheetData>
    <row r="1" spans="1:13" ht="15" customHeight="1">
      <c r="A1" s="29" t="s">
        <v>125</v>
      </c>
      <c r="E1" s="1" t="s">
        <v>330</v>
      </c>
    </row>
    <row r="2" spans="1:13" ht="15" customHeight="1">
      <c r="A2" s="29" t="s">
        <v>126</v>
      </c>
    </row>
    <row r="3" spans="1:13" ht="15" customHeight="1"/>
    <row r="4" spans="1:13" ht="15" customHeight="1">
      <c r="A4" s="3"/>
      <c r="B4" s="13" t="s">
        <v>127</v>
      </c>
      <c r="C4" s="13" t="s">
        <v>127</v>
      </c>
      <c r="D4" s="13" t="s">
        <v>127</v>
      </c>
      <c r="E4" s="13" t="s">
        <v>128</v>
      </c>
      <c r="F4" s="13" t="s">
        <v>128</v>
      </c>
      <c r="G4" s="13" t="s">
        <v>128</v>
      </c>
      <c r="H4" s="13" t="s">
        <v>128</v>
      </c>
      <c r="I4" s="13" t="s">
        <v>128</v>
      </c>
      <c r="J4" s="13" t="s">
        <v>128</v>
      </c>
      <c r="K4" s="13" t="s">
        <v>128</v>
      </c>
      <c r="L4" s="13" t="s">
        <v>127</v>
      </c>
      <c r="M4" s="13" t="s">
        <v>127</v>
      </c>
    </row>
    <row r="5" spans="1:13" ht="15.75">
      <c r="A5" s="10"/>
      <c r="B5" s="90" t="s">
        <v>4</v>
      </c>
      <c r="C5" s="90" t="s">
        <v>8</v>
      </c>
      <c r="D5" s="90" t="s">
        <v>9</v>
      </c>
      <c r="E5" s="90" t="s">
        <v>10</v>
      </c>
      <c r="F5" s="90" t="s">
        <v>11</v>
      </c>
      <c r="G5" s="90" t="s">
        <v>12</v>
      </c>
      <c r="H5" s="90" t="s">
        <v>13</v>
      </c>
      <c r="I5" s="90" t="s">
        <v>15</v>
      </c>
      <c r="J5" s="90" t="s">
        <v>16</v>
      </c>
      <c r="K5" s="90" t="s">
        <v>17</v>
      </c>
      <c r="L5" s="90" t="s">
        <v>18</v>
      </c>
      <c r="M5" s="90" t="s">
        <v>19</v>
      </c>
    </row>
    <row r="6" spans="1:13">
      <c r="A6" s="3">
        <f>'Instant Old no Delete'!A7</f>
        <v>1973</v>
      </c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>
      <c r="A7" s="3">
        <f>'Instant Old no Delete'!A8</f>
        <v>1974</v>
      </c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3">
      <c r="A8" s="3">
        <f>'Instant Old no Delete'!A9</f>
        <v>1975</v>
      </c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3">
      <c r="A9" s="3">
        <f>'Instant Old no Delete'!A10</f>
        <v>1976</v>
      </c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3">
      <c r="A10" s="3">
        <f>'Instant Old no Delete'!A11</f>
        <v>1977</v>
      </c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1:13">
      <c r="A11" s="3">
        <f>'Instant Old no Delete'!A12</f>
        <v>1978</v>
      </c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</row>
    <row r="12" spans="1:13">
      <c r="A12" s="3">
        <f>'Instant Old no Delete'!A13</f>
        <v>1979</v>
      </c>
      <c r="B12" s="80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1:13">
      <c r="A13" s="3">
        <f>'Instant Old no Delete'!A14</f>
        <v>1980</v>
      </c>
      <c r="B13" s="80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pans="1:13">
      <c r="A14" s="3">
        <f>'Instant Old no Delete'!A15</f>
        <v>1981</v>
      </c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1:13">
      <c r="A15" s="3">
        <f>'Instant Old no Delete'!A16</f>
        <v>1982</v>
      </c>
      <c r="B15" s="80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</row>
    <row r="16" spans="1:13">
      <c r="A16" s="3">
        <f>'Instant Old no Delete'!A17</f>
        <v>1983</v>
      </c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1:28">
      <c r="A17" s="3">
        <f>'Instant Old no Delete'!A18</f>
        <v>1984</v>
      </c>
      <c r="B17" s="80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W17" s="29" t="s">
        <v>130</v>
      </c>
      <c r="X17" s="29" t="s">
        <v>132</v>
      </c>
      <c r="AA17" s="29" t="s">
        <v>134</v>
      </c>
      <c r="AB17" s="29" t="s">
        <v>135</v>
      </c>
    </row>
    <row r="18" spans="1:28">
      <c r="A18" s="3">
        <f>'Instant Old no Delete'!A19</f>
        <v>1985</v>
      </c>
      <c r="B18" s="80">
        <v>34</v>
      </c>
      <c r="C18" s="81">
        <v>28</v>
      </c>
      <c r="D18" s="81">
        <v>22</v>
      </c>
      <c r="E18" s="81">
        <v>16</v>
      </c>
      <c r="F18" s="81">
        <v>18</v>
      </c>
      <c r="G18" s="81">
        <v>26</v>
      </c>
      <c r="H18" s="81">
        <v>20</v>
      </c>
      <c r="I18" s="81">
        <v>25</v>
      </c>
      <c r="J18" s="81">
        <v>26</v>
      </c>
      <c r="K18" s="81">
        <v>23</v>
      </c>
      <c r="L18" s="81">
        <v>14</v>
      </c>
      <c r="M18" s="81">
        <v>50</v>
      </c>
      <c r="V18" s="1">
        <v>1985</v>
      </c>
      <c r="Z18" s="1">
        <v>1985</v>
      </c>
    </row>
    <row r="19" spans="1:28">
      <c r="A19" s="3">
        <f>'Instant Old no Delete'!A20</f>
        <v>1986</v>
      </c>
      <c r="B19" s="80">
        <v>70</v>
      </c>
      <c r="C19" s="81">
        <v>58</v>
      </c>
      <c r="D19" s="81">
        <v>37</v>
      </c>
      <c r="E19" s="81">
        <v>34</v>
      </c>
      <c r="F19" s="81">
        <v>41</v>
      </c>
      <c r="G19" s="81">
        <v>35</v>
      </c>
      <c r="H19" s="81">
        <v>32</v>
      </c>
      <c r="I19" s="81">
        <v>37</v>
      </c>
      <c r="J19" s="81">
        <v>43</v>
      </c>
      <c r="K19" s="81">
        <v>45</v>
      </c>
      <c r="L19" s="81">
        <v>14</v>
      </c>
      <c r="M19" s="81">
        <v>17</v>
      </c>
      <c r="V19" s="1">
        <f t="shared" ref="V19:V35" si="0">V18+1</f>
        <v>1986</v>
      </c>
      <c r="Z19" s="1">
        <f t="shared" ref="Z19:Z33" si="1">Z18+1</f>
        <v>1986</v>
      </c>
    </row>
    <row r="20" spans="1:28">
      <c r="A20" s="3">
        <f>'Instant Old no Delete'!A21</f>
        <v>1987</v>
      </c>
      <c r="B20" s="80">
        <v>56</v>
      </c>
      <c r="C20" s="81">
        <v>80</v>
      </c>
      <c r="D20" s="81">
        <v>36</v>
      </c>
      <c r="E20" s="81">
        <v>18</v>
      </c>
      <c r="F20" s="81">
        <v>44</v>
      </c>
      <c r="G20" s="81">
        <v>48</v>
      </c>
      <c r="H20" s="81">
        <v>57</v>
      </c>
      <c r="I20" s="81">
        <v>59</v>
      </c>
      <c r="J20" s="81">
        <v>49</v>
      </c>
      <c r="K20" s="81">
        <v>43</v>
      </c>
      <c r="L20" s="81">
        <v>17</v>
      </c>
      <c r="M20" s="81">
        <v>94</v>
      </c>
      <c r="V20" s="1">
        <f t="shared" si="0"/>
        <v>1987</v>
      </c>
      <c r="X20" s="1">
        <f>D20</f>
        <v>36</v>
      </c>
      <c r="Z20" s="1">
        <f t="shared" si="1"/>
        <v>1987</v>
      </c>
    </row>
    <row r="21" spans="1:28">
      <c r="A21" s="3">
        <f>'Instant Old no Delete'!A22</f>
        <v>1988</v>
      </c>
      <c r="B21" s="80">
        <v>114</v>
      </c>
      <c r="C21" s="81">
        <v>90</v>
      </c>
      <c r="D21" s="81">
        <v>83</v>
      </c>
      <c r="E21" s="81">
        <v>44</v>
      </c>
      <c r="F21" s="81">
        <v>57</v>
      </c>
      <c r="G21" s="81">
        <v>54</v>
      </c>
      <c r="H21" s="81">
        <v>76</v>
      </c>
      <c r="I21" s="81">
        <v>65</v>
      </c>
      <c r="J21" s="81">
        <v>59</v>
      </c>
      <c r="K21" s="81">
        <v>60</v>
      </c>
      <c r="L21" s="81">
        <v>21</v>
      </c>
      <c r="M21" s="81">
        <v>127</v>
      </c>
      <c r="V21" s="1">
        <f t="shared" si="0"/>
        <v>1988</v>
      </c>
      <c r="W21" s="1">
        <f>IF('Total Retail'!D138=800,D21,0)</f>
        <v>83</v>
      </c>
      <c r="Z21" s="1">
        <f t="shared" si="1"/>
        <v>1988</v>
      </c>
      <c r="AB21" s="1">
        <f>L21</f>
        <v>21</v>
      </c>
    </row>
    <row r="22" spans="1:28">
      <c r="A22" s="3">
        <f>'Instant Old no Delete'!A23</f>
        <v>1989</v>
      </c>
      <c r="B22" s="80">
        <v>101</v>
      </c>
      <c r="C22" s="81">
        <v>128</v>
      </c>
      <c r="D22" s="81">
        <v>104</v>
      </c>
      <c r="E22" s="81">
        <v>51</v>
      </c>
      <c r="F22" s="81">
        <v>80</v>
      </c>
      <c r="G22" s="81">
        <v>81</v>
      </c>
      <c r="H22" s="81">
        <v>81</v>
      </c>
      <c r="I22" s="81">
        <v>78</v>
      </c>
      <c r="J22" s="81">
        <v>63</v>
      </c>
      <c r="K22" s="81">
        <v>65</v>
      </c>
      <c r="L22" s="81">
        <v>12</v>
      </c>
      <c r="M22" s="81">
        <v>117</v>
      </c>
      <c r="V22" s="1">
        <f t="shared" si="0"/>
        <v>1989</v>
      </c>
      <c r="W22" s="1">
        <f>IF('Total Retail'!D139=800,D22,0)</f>
        <v>104</v>
      </c>
      <c r="Z22" s="1">
        <f t="shared" si="1"/>
        <v>1989</v>
      </c>
    </row>
    <row r="23" spans="1:28">
      <c r="A23" s="3">
        <f>'Instant Old no Delete'!A24</f>
        <v>1990</v>
      </c>
      <c r="B23" s="80">
        <v>91</v>
      </c>
      <c r="C23" s="81">
        <v>79</v>
      </c>
      <c r="D23" s="81">
        <v>19</v>
      </c>
      <c r="E23" s="81">
        <v>65</v>
      </c>
      <c r="F23" s="81">
        <v>76</v>
      </c>
      <c r="G23" s="81">
        <v>71</v>
      </c>
      <c r="H23" s="81">
        <v>69</v>
      </c>
      <c r="I23" s="81">
        <v>68</v>
      </c>
      <c r="J23" s="81">
        <v>74</v>
      </c>
      <c r="K23" s="81">
        <v>66</v>
      </c>
      <c r="L23" s="81">
        <v>24</v>
      </c>
      <c r="M23" s="81">
        <v>51</v>
      </c>
      <c r="V23" s="1">
        <f t="shared" si="0"/>
        <v>1990</v>
      </c>
      <c r="X23" s="1">
        <f>D23</f>
        <v>19</v>
      </c>
      <c r="Z23" s="1">
        <f t="shared" si="1"/>
        <v>1990</v>
      </c>
      <c r="AB23" s="1">
        <f>L23</f>
        <v>24</v>
      </c>
    </row>
    <row r="24" spans="1:28">
      <c r="A24" s="3">
        <f>'Instant Old no Delete'!A25</f>
        <v>1991</v>
      </c>
      <c r="B24" s="80">
        <v>119</v>
      </c>
      <c r="C24" s="81">
        <v>139</v>
      </c>
      <c r="D24" s="81">
        <v>73</v>
      </c>
      <c r="E24" s="81">
        <v>69</v>
      </c>
      <c r="F24" s="81">
        <v>68</v>
      </c>
      <c r="G24" s="81">
        <v>57</v>
      </c>
      <c r="H24" s="81">
        <v>64</v>
      </c>
      <c r="I24" s="81">
        <v>72</v>
      </c>
      <c r="J24" s="81">
        <v>64</v>
      </c>
      <c r="K24" s="81">
        <v>53</v>
      </c>
      <c r="L24" s="81">
        <v>83</v>
      </c>
      <c r="M24" s="81">
        <v>100</v>
      </c>
      <c r="V24" s="1">
        <f t="shared" si="0"/>
        <v>1991</v>
      </c>
      <c r="W24" s="1">
        <f>IF('Total Retail'!D141=800,D24,0)</f>
        <v>73</v>
      </c>
      <c r="Z24" s="1">
        <f t="shared" si="1"/>
        <v>1991</v>
      </c>
      <c r="AA24" s="1">
        <f>IF('Total Retail'!L141=800,L24,0)</f>
        <v>83</v>
      </c>
    </row>
    <row r="25" spans="1:28">
      <c r="A25" s="3">
        <f>'Instant Old no Delete'!A26</f>
        <v>1992</v>
      </c>
      <c r="B25" s="80">
        <v>152</v>
      </c>
      <c r="C25" s="81">
        <v>114</v>
      </c>
      <c r="D25" s="81">
        <v>58</v>
      </c>
      <c r="E25" s="81">
        <v>67</v>
      </c>
      <c r="F25" s="81">
        <v>71</v>
      </c>
      <c r="G25" s="81">
        <v>81</v>
      </c>
      <c r="H25" s="81">
        <v>80</v>
      </c>
      <c r="I25" s="81">
        <v>83</v>
      </c>
      <c r="J25" s="81">
        <v>74</v>
      </c>
      <c r="K25" s="81">
        <v>60</v>
      </c>
      <c r="L25" s="81">
        <v>28</v>
      </c>
      <c r="M25" s="81">
        <v>119</v>
      </c>
      <c r="V25" s="1">
        <f t="shared" si="0"/>
        <v>1992</v>
      </c>
      <c r="X25" s="1">
        <f>D25</f>
        <v>58</v>
      </c>
      <c r="Z25" s="1">
        <f t="shared" si="1"/>
        <v>1992</v>
      </c>
      <c r="AB25" s="1">
        <f>L25</f>
        <v>28</v>
      </c>
    </row>
    <row r="26" spans="1:28">
      <c r="A26" s="3">
        <f>'Instant Old no Delete'!A27</f>
        <v>1993</v>
      </c>
      <c r="B26" s="80">
        <v>139</v>
      </c>
      <c r="C26" s="81">
        <v>158</v>
      </c>
      <c r="D26" s="81">
        <v>172</v>
      </c>
      <c r="E26" s="81">
        <v>71</v>
      </c>
      <c r="F26" s="81">
        <v>67</v>
      </c>
      <c r="G26" s="81">
        <v>95</v>
      </c>
      <c r="H26" s="81">
        <v>86</v>
      </c>
      <c r="I26" s="81">
        <v>95</v>
      </c>
      <c r="J26" s="81">
        <v>88</v>
      </c>
      <c r="K26" s="81">
        <v>86</v>
      </c>
      <c r="L26" s="81">
        <v>36</v>
      </c>
      <c r="M26" s="81">
        <v>142</v>
      </c>
      <c r="V26" s="1">
        <f t="shared" si="0"/>
        <v>1993</v>
      </c>
      <c r="W26" s="1">
        <f>IF('Total Retail'!D143=800,D26,0)</f>
        <v>172</v>
      </c>
      <c r="Z26" s="1">
        <f t="shared" si="1"/>
        <v>1993</v>
      </c>
      <c r="AB26" s="1">
        <f>L26</f>
        <v>36</v>
      </c>
    </row>
    <row r="27" spans="1:28">
      <c r="A27" s="3">
        <f>'Instant Old no Delete'!A28</f>
        <v>1994</v>
      </c>
      <c r="B27" s="80">
        <v>150</v>
      </c>
      <c r="C27" s="81">
        <v>184</v>
      </c>
      <c r="D27" s="81">
        <v>31</v>
      </c>
      <c r="E27" s="81">
        <v>82</v>
      </c>
      <c r="F27" s="81">
        <v>93</v>
      </c>
      <c r="G27" s="81">
        <v>105</v>
      </c>
      <c r="H27" s="81">
        <v>101</v>
      </c>
      <c r="I27" s="81">
        <v>94</v>
      </c>
      <c r="J27" s="81">
        <v>87</v>
      </c>
      <c r="K27" s="81">
        <v>75</v>
      </c>
      <c r="L27" s="81">
        <v>38</v>
      </c>
      <c r="M27" s="81">
        <v>42</v>
      </c>
      <c r="P27"/>
      <c r="Q27" s="453" t="s">
        <v>277</v>
      </c>
      <c r="R27" s="454"/>
      <c r="S27" s="453" t="s">
        <v>278</v>
      </c>
      <c r="T27" s="454"/>
      <c r="V27" s="1">
        <f t="shared" si="0"/>
        <v>1994</v>
      </c>
      <c r="X27" s="1">
        <f>D27</f>
        <v>31</v>
      </c>
      <c r="Z27" s="1">
        <f t="shared" si="1"/>
        <v>1994</v>
      </c>
      <c r="AB27" s="1">
        <f>L27</f>
        <v>38</v>
      </c>
    </row>
    <row r="28" spans="1:28">
      <c r="A28" s="3">
        <f>'Instant Old no Delete'!A29</f>
        <v>1995</v>
      </c>
      <c r="B28" s="80">
        <v>179</v>
      </c>
      <c r="C28" s="81">
        <v>235</v>
      </c>
      <c r="D28" s="81">
        <v>122</v>
      </c>
      <c r="E28" s="81">
        <v>93</v>
      </c>
      <c r="F28" s="81">
        <v>108</v>
      </c>
      <c r="G28" s="81">
        <v>95</v>
      </c>
      <c r="H28" s="81">
        <v>100</v>
      </c>
      <c r="I28" s="81">
        <v>106</v>
      </c>
      <c r="J28" s="81">
        <v>93</v>
      </c>
      <c r="K28" s="81">
        <f>79+7</f>
        <v>86</v>
      </c>
      <c r="L28" s="81">
        <f>23+7</f>
        <v>30</v>
      </c>
      <c r="M28" s="81">
        <f>200+7</f>
        <v>207</v>
      </c>
      <c r="P28">
        <v>1995</v>
      </c>
      <c r="Q28" s="244">
        <f>+C28</f>
        <v>235</v>
      </c>
      <c r="R28" s="245" t="s">
        <v>268</v>
      </c>
      <c r="S28" s="244">
        <f>+I28</f>
        <v>106</v>
      </c>
      <c r="T28" s="246" t="s">
        <v>271</v>
      </c>
      <c r="V28" s="1">
        <f t="shared" si="0"/>
        <v>1995</v>
      </c>
      <c r="W28" s="1">
        <f>IF('Total Retail'!D145=800,D28,0)</f>
        <v>122</v>
      </c>
      <c r="Z28" s="1">
        <f t="shared" si="1"/>
        <v>1995</v>
      </c>
      <c r="AB28" s="1">
        <f>L28</f>
        <v>30</v>
      </c>
    </row>
    <row r="29" spans="1:28">
      <c r="A29" s="3">
        <f>'Instant Old no Delete'!A30</f>
        <v>1996</v>
      </c>
      <c r="B29" s="80">
        <v>213</v>
      </c>
      <c r="C29" s="81">
        <v>253</v>
      </c>
      <c r="D29" s="81">
        <v>197</v>
      </c>
      <c r="E29" s="81">
        <v>90</v>
      </c>
      <c r="F29" s="81">
        <v>107</v>
      </c>
      <c r="G29" s="81">
        <v>86</v>
      </c>
      <c r="H29" s="81">
        <v>116</v>
      </c>
      <c r="I29" s="81">
        <v>119</v>
      </c>
      <c r="J29" s="81">
        <v>109</v>
      </c>
      <c r="K29" s="81">
        <v>93</v>
      </c>
      <c r="L29" s="81">
        <v>45</v>
      </c>
      <c r="M29" s="81">
        <v>227</v>
      </c>
      <c r="P29">
        <f>+P28+1</f>
        <v>1996</v>
      </c>
      <c r="Q29" s="247">
        <f>+C29</f>
        <v>253</v>
      </c>
      <c r="R29" s="248" t="s">
        <v>268</v>
      </c>
      <c r="S29" s="247">
        <f>+H29</f>
        <v>116</v>
      </c>
      <c r="T29" s="249" t="s">
        <v>272</v>
      </c>
      <c r="V29" s="1">
        <f t="shared" si="0"/>
        <v>1996</v>
      </c>
      <c r="X29" s="1">
        <f>D29</f>
        <v>197</v>
      </c>
      <c r="Z29" s="1">
        <f t="shared" si="1"/>
        <v>1996</v>
      </c>
      <c r="AB29" s="1">
        <f>L29</f>
        <v>45</v>
      </c>
    </row>
    <row r="30" spans="1:28">
      <c r="A30" s="3">
        <f>'Instant Old no Delete'!A31</f>
        <v>1997</v>
      </c>
      <c r="B30" s="80">
        <v>171</v>
      </c>
      <c r="C30" s="81">
        <v>168</v>
      </c>
      <c r="D30" s="81">
        <v>48</v>
      </c>
      <c r="E30" s="81">
        <v>50</v>
      </c>
      <c r="F30" s="81">
        <v>106</v>
      </c>
      <c r="G30" s="81">
        <v>110</v>
      </c>
      <c r="H30" s="81">
        <v>94</v>
      </c>
      <c r="I30" s="81">
        <v>110</v>
      </c>
      <c r="J30" s="81">
        <v>107</v>
      </c>
      <c r="K30" s="81">
        <v>38</v>
      </c>
      <c r="L30" s="81">
        <f>17+29</f>
        <v>46</v>
      </c>
      <c r="M30" s="81">
        <v>85</v>
      </c>
      <c r="P30">
        <f t="shared" ref="P30:P47" si="2">+P29+1</f>
        <v>1997</v>
      </c>
      <c r="Q30" s="247">
        <f>+B30</f>
        <v>171</v>
      </c>
      <c r="R30" s="248" t="s">
        <v>269</v>
      </c>
      <c r="S30" s="247">
        <f>+F30</f>
        <v>106</v>
      </c>
      <c r="T30" s="249" t="s">
        <v>273</v>
      </c>
      <c r="V30" s="1">
        <f t="shared" si="0"/>
        <v>1997</v>
      </c>
      <c r="X30" s="1">
        <f>D30</f>
        <v>48</v>
      </c>
      <c r="Z30" s="1">
        <f t="shared" si="1"/>
        <v>1997</v>
      </c>
      <c r="AA30" s="1">
        <f>IF('Total Retail'!L147=800,L30,0)</f>
        <v>46</v>
      </c>
    </row>
    <row r="31" spans="1:28">
      <c r="A31" s="3">
        <f>'Instant Old no Delete'!A32</f>
        <v>1998</v>
      </c>
      <c r="B31" s="80">
        <f>17+115</f>
        <v>132</v>
      </c>
      <c r="C31" s="81">
        <f>17+133</f>
        <v>150</v>
      </c>
      <c r="D31" s="81">
        <f>17+151</f>
        <v>168</v>
      </c>
      <c r="E31" s="81">
        <f>17+70</f>
        <v>87</v>
      </c>
      <c r="F31" s="81">
        <f>93+17</f>
        <v>110</v>
      </c>
      <c r="G31" s="81">
        <f>17+98</f>
        <v>115</v>
      </c>
      <c r="H31" s="81">
        <f>91+17</f>
        <v>108</v>
      </c>
      <c r="I31" s="81">
        <f>100+17</f>
        <v>117</v>
      </c>
      <c r="J31" s="81">
        <f>78+17</f>
        <v>95</v>
      </c>
      <c r="K31" s="81">
        <f>87+17</f>
        <v>104</v>
      </c>
      <c r="L31" s="81">
        <f>32+17</f>
        <v>49</v>
      </c>
      <c r="M31" s="81">
        <f>150+17</f>
        <v>167</v>
      </c>
      <c r="P31">
        <f t="shared" si="2"/>
        <v>1998</v>
      </c>
      <c r="Q31" s="247">
        <f>+D31</f>
        <v>168</v>
      </c>
      <c r="R31" s="248" t="s">
        <v>270</v>
      </c>
      <c r="S31" s="247">
        <f>+I31</f>
        <v>117</v>
      </c>
      <c r="T31" s="249" t="s">
        <v>271</v>
      </c>
      <c r="V31" s="1">
        <f t="shared" si="0"/>
        <v>1998</v>
      </c>
      <c r="W31" s="1">
        <f>IF('Total Retail'!D148=800,D31,0)</f>
        <v>168</v>
      </c>
      <c r="Z31" s="1">
        <f t="shared" si="1"/>
        <v>1998</v>
      </c>
      <c r="AB31" s="1">
        <f>L31</f>
        <v>49</v>
      </c>
    </row>
    <row r="32" spans="1:28">
      <c r="A32" s="3">
        <f>'Instant Old no Delete'!A33</f>
        <v>1999</v>
      </c>
      <c r="B32" s="80">
        <v>267</v>
      </c>
      <c r="C32" s="81">
        <v>169</v>
      </c>
      <c r="D32" s="81">
        <v>138</v>
      </c>
      <c r="E32" s="81">
        <v>107</v>
      </c>
      <c r="F32" s="81">
        <v>98</v>
      </c>
      <c r="G32" s="81">
        <v>101</v>
      </c>
      <c r="H32" s="81">
        <v>113</v>
      </c>
      <c r="I32" s="81">
        <v>110</v>
      </c>
      <c r="J32" s="81">
        <v>109</v>
      </c>
      <c r="K32" s="81">
        <v>100</v>
      </c>
      <c r="L32" s="81">
        <v>53</v>
      </c>
      <c r="M32" s="81">
        <v>191</v>
      </c>
      <c r="P32">
        <f t="shared" si="2"/>
        <v>1999</v>
      </c>
      <c r="Q32" s="247">
        <f>+B32</f>
        <v>267</v>
      </c>
      <c r="R32" s="248" t="s">
        <v>269</v>
      </c>
      <c r="S32" s="247">
        <f>+I32</f>
        <v>110</v>
      </c>
      <c r="T32" s="249" t="s">
        <v>271</v>
      </c>
      <c r="V32" s="1">
        <f t="shared" si="0"/>
        <v>1999</v>
      </c>
      <c r="W32" s="1">
        <f>IF('Total Retail'!D149=800,D32,0)</f>
        <v>138</v>
      </c>
      <c r="Z32" s="1">
        <f t="shared" si="1"/>
        <v>1999</v>
      </c>
      <c r="AB32" s="1">
        <f>L32</f>
        <v>53</v>
      </c>
    </row>
    <row r="33" spans="1:28">
      <c r="A33" s="3">
        <f>'Instant Old no Delete'!A34</f>
        <v>2000</v>
      </c>
      <c r="B33" s="80">
        <v>215</v>
      </c>
      <c r="C33" s="81">
        <v>101</v>
      </c>
      <c r="D33" s="81">
        <v>43</v>
      </c>
      <c r="E33" s="81">
        <v>80</v>
      </c>
      <c r="F33" s="81">
        <v>98</v>
      </c>
      <c r="G33" s="81">
        <v>98</v>
      </c>
      <c r="H33" s="81">
        <v>96</v>
      </c>
      <c r="I33" s="81">
        <v>93</v>
      </c>
      <c r="J33" s="81">
        <v>96</v>
      </c>
      <c r="K33" s="81">
        <v>88</v>
      </c>
      <c r="L33" s="81">
        <f>151+19</f>
        <v>170</v>
      </c>
      <c r="M33" s="81">
        <f>181+19</f>
        <v>200</v>
      </c>
      <c r="P33">
        <f t="shared" si="2"/>
        <v>2000</v>
      </c>
      <c r="Q33" s="247">
        <f t="shared" ref="Q33:Q38" si="3">+B33</f>
        <v>215</v>
      </c>
      <c r="R33" s="248" t="s">
        <v>269</v>
      </c>
      <c r="S33" s="247">
        <f>+I33</f>
        <v>93</v>
      </c>
      <c r="T33" s="249" t="s">
        <v>271</v>
      </c>
      <c r="V33" s="1">
        <f t="shared" si="0"/>
        <v>2000</v>
      </c>
      <c r="X33" s="1">
        <f>D33</f>
        <v>43</v>
      </c>
      <c r="Z33" s="1">
        <f t="shared" si="1"/>
        <v>2000</v>
      </c>
      <c r="AA33" s="1">
        <f>IF('Total Retail'!L150=800,L33,0)</f>
        <v>170</v>
      </c>
    </row>
    <row r="34" spans="1:28">
      <c r="A34" s="3">
        <f>'Instant Old no Delete'!A35</f>
        <v>2001</v>
      </c>
      <c r="B34" s="80">
        <f>184+19</f>
        <v>203</v>
      </c>
      <c r="C34" s="81">
        <f>131+20</f>
        <v>151</v>
      </c>
      <c r="D34" s="81">
        <f>35+20</f>
        <v>55</v>
      </c>
      <c r="E34" s="81">
        <v>94</v>
      </c>
      <c r="F34" s="81">
        <v>98</v>
      </c>
      <c r="G34" s="81">
        <v>107</v>
      </c>
      <c r="H34" s="81">
        <f>87+19</f>
        <v>106</v>
      </c>
      <c r="I34" s="81">
        <v>102</v>
      </c>
      <c r="J34" s="81">
        <f>19+74</f>
        <v>93</v>
      </c>
      <c r="K34" s="81">
        <f>19+64</f>
        <v>83</v>
      </c>
      <c r="L34" s="81">
        <v>51</v>
      </c>
      <c r="M34" s="81">
        <v>56</v>
      </c>
      <c r="P34">
        <f t="shared" si="2"/>
        <v>2001</v>
      </c>
      <c r="Q34" s="247">
        <f t="shared" si="3"/>
        <v>203</v>
      </c>
      <c r="R34" s="248" t="s">
        <v>269</v>
      </c>
      <c r="S34" s="247">
        <f>+I34</f>
        <v>102</v>
      </c>
      <c r="T34" s="249" t="s">
        <v>271</v>
      </c>
      <c r="V34" s="1">
        <f t="shared" si="0"/>
        <v>2001</v>
      </c>
      <c r="X34" s="1">
        <f>D34</f>
        <v>55</v>
      </c>
    </row>
    <row r="35" spans="1:28">
      <c r="A35" s="3">
        <f>'Instant Old no Delete'!A36</f>
        <v>2002</v>
      </c>
      <c r="B35" s="80">
        <v>185</v>
      </c>
      <c r="C35" s="81">
        <v>200</v>
      </c>
      <c r="D35" s="81">
        <v>189</v>
      </c>
      <c r="E35" s="81">
        <f>19+62</f>
        <v>81</v>
      </c>
      <c r="F35" s="81">
        <v>99</v>
      </c>
      <c r="G35" s="81">
        <f>19+84</f>
        <v>103</v>
      </c>
      <c r="H35" s="81">
        <v>119</v>
      </c>
      <c r="I35" s="81">
        <v>104</v>
      </c>
      <c r="J35" s="81">
        <v>94</v>
      </c>
      <c r="K35" s="81">
        <f>88+22</f>
        <v>110</v>
      </c>
      <c r="L35" s="81">
        <v>66</v>
      </c>
      <c r="M35" s="81">
        <v>133</v>
      </c>
      <c r="P35">
        <f t="shared" si="2"/>
        <v>2002</v>
      </c>
      <c r="Q35" s="247">
        <f t="shared" si="3"/>
        <v>185</v>
      </c>
      <c r="R35" s="248" t="s">
        <v>269</v>
      </c>
      <c r="S35" s="247">
        <f>+H35</f>
        <v>119</v>
      </c>
      <c r="T35" s="249" t="s">
        <v>272</v>
      </c>
      <c r="V35" s="1">
        <f t="shared" si="0"/>
        <v>2002</v>
      </c>
      <c r="W35" s="1">
        <f>IF('Total Retail'!D152=800,D35,0)</f>
        <v>189</v>
      </c>
    </row>
    <row r="36" spans="1:28">
      <c r="A36" s="3">
        <f>'Instant Old no Delete'!A37</f>
        <v>2003</v>
      </c>
      <c r="B36" s="80">
        <v>231</v>
      </c>
      <c r="C36" s="81">
        <v>122</v>
      </c>
      <c r="D36" s="81">
        <v>45</v>
      </c>
      <c r="E36" s="81">
        <v>69</v>
      </c>
      <c r="F36" s="81">
        <v>90</v>
      </c>
      <c r="G36" s="81">
        <v>73</v>
      </c>
      <c r="H36" s="81">
        <v>84</v>
      </c>
      <c r="I36" s="81">
        <v>97</v>
      </c>
      <c r="J36" s="81">
        <v>89</v>
      </c>
      <c r="K36" s="81">
        <v>77</v>
      </c>
      <c r="L36" s="81">
        <v>78</v>
      </c>
      <c r="M36" s="81">
        <v>127</v>
      </c>
      <c r="P36">
        <f t="shared" si="2"/>
        <v>2003</v>
      </c>
      <c r="Q36" s="247">
        <f t="shared" si="3"/>
        <v>231</v>
      </c>
      <c r="R36" s="248" t="s">
        <v>269</v>
      </c>
      <c r="S36" s="247">
        <f>+H36</f>
        <v>84</v>
      </c>
      <c r="T36" s="249" t="s">
        <v>272</v>
      </c>
    </row>
    <row r="37" spans="1:28">
      <c r="A37" s="3">
        <f>'Instant Old no Delete'!A38</f>
        <v>2004</v>
      </c>
      <c r="B37" s="80">
        <f>136+18</f>
        <v>154</v>
      </c>
      <c r="C37" s="81">
        <f>104+18</f>
        <v>122</v>
      </c>
      <c r="D37" s="81">
        <f>38+18</f>
        <v>56</v>
      </c>
      <c r="E37" s="81">
        <f>62+20</f>
        <v>82</v>
      </c>
      <c r="F37" s="81">
        <f>82+20</f>
        <v>102</v>
      </c>
      <c r="G37" s="81">
        <f>95+20</f>
        <v>115</v>
      </c>
      <c r="H37" s="81">
        <f>89+20</f>
        <v>109</v>
      </c>
      <c r="I37" s="81">
        <f>18+85</f>
        <v>103</v>
      </c>
      <c r="J37" s="81">
        <f>18+76</f>
        <v>94</v>
      </c>
      <c r="K37" s="81">
        <f>18+37</f>
        <v>55</v>
      </c>
      <c r="L37" s="81">
        <f>16+57</f>
        <v>73</v>
      </c>
      <c r="M37" s="81">
        <f>16+173</f>
        <v>189</v>
      </c>
      <c r="P37">
        <f t="shared" si="2"/>
        <v>2004</v>
      </c>
      <c r="Q37" s="247">
        <f t="shared" si="3"/>
        <v>154</v>
      </c>
      <c r="R37" s="248" t="s">
        <v>269</v>
      </c>
      <c r="S37" s="247">
        <f>+G37</f>
        <v>115</v>
      </c>
      <c r="T37" s="249" t="s">
        <v>274</v>
      </c>
      <c r="V37" s="3"/>
      <c r="W37" s="28">
        <f>AVERAGE(W18:W35)</f>
        <v>131.125</v>
      </c>
      <c r="X37" s="28">
        <f>AVERAGE(X18:X35)</f>
        <v>60.875</v>
      </c>
      <c r="Z37" s="3"/>
      <c r="AA37" s="28">
        <f>AVERAGE(AA18:AA33)</f>
        <v>99.666666666666671</v>
      </c>
      <c r="AB37" s="28">
        <f>AVERAGE(AB18:AB33)</f>
        <v>36</v>
      </c>
    </row>
    <row r="38" spans="1:28">
      <c r="A38" s="3">
        <f>'Instant Old no Delete'!A39</f>
        <v>2005</v>
      </c>
      <c r="B38" s="80">
        <f>189+16</f>
        <v>205</v>
      </c>
      <c r="C38" s="81">
        <f>132+16</f>
        <v>148</v>
      </c>
      <c r="D38" s="81">
        <f>18+82</f>
        <v>100</v>
      </c>
      <c r="E38" s="81">
        <f>19+41</f>
        <v>60</v>
      </c>
      <c r="F38" s="81">
        <f>19+78</f>
        <v>97</v>
      </c>
      <c r="G38" s="81">
        <f>19+75</f>
        <v>94</v>
      </c>
      <c r="H38" s="81">
        <f>19+85</f>
        <v>104</v>
      </c>
      <c r="I38" s="81">
        <f>19+79</f>
        <v>98</v>
      </c>
      <c r="J38" s="81">
        <f>19+90</f>
        <v>109</v>
      </c>
      <c r="K38" s="81">
        <f>19+50</f>
        <v>69</v>
      </c>
      <c r="L38" s="81">
        <f>18+48</f>
        <v>66</v>
      </c>
      <c r="M38" s="81">
        <f>18+132</f>
        <v>150</v>
      </c>
      <c r="P38">
        <f t="shared" si="2"/>
        <v>2005</v>
      </c>
      <c r="Q38" s="247">
        <f t="shared" si="3"/>
        <v>205</v>
      </c>
      <c r="R38" s="248" t="s">
        <v>269</v>
      </c>
      <c r="S38" s="247">
        <f>+I38</f>
        <v>98</v>
      </c>
      <c r="T38" s="249" t="s">
        <v>271</v>
      </c>
      <c r="V38" s="3"/>
      <c r="W38" s="10" t="s">
        <v>131</v>
      </c>
      <c r="X38" s="10" t="s">
        <v>133</v>
      </c>
      <c r="Z38" s="3"/>
      <c r="AA38" s="3">
        <f>(83+46)/2</f>
        <v>64.5</v>
      </c>
      <c r="AB38" s="3"/>
    </row>
    <row r="39" spans="1:28">
      <c r="A39" s="3">
        <f>'Instant Old no Delete'!A40</f>
        <v>2006</v>
      </c>
      <c r="B39" s="176">
        <f>18+110</f>
        <v>128</v>
      </c>
      <c r="C39" s="81">
        <f>18+144</f>
        <v>162</v>
      </c>
      <c r="D39" s="81">
        <f>18+38</f>
        <v>56</v>
      </c>
      <c r="E39" s="81">
        <f>19+52</f>
        <v>71</v>
      </c>
      <c r="F39" s="81">
        <f>19+66</f>
        <v>85</v>
      </c>
      <c r="G39" s="81">
        <f>18+65</f>
        <v>83</v>
      </c>
      <c r="H39" s="81">
        <f>18+70</f>
        <v>88</v>
      </c>
      <c r="I39" s="81">
        <f>18+77</f>
        <v>95</v>
      </c>
      <c r="J39" s="81">
        <f>18+65</f>
        <v>83</v>
      </c>
      <c r="K39" s="81">
        <f>18+53</f>
        <v>71</v>
      </c>
      <c r="L39" s="81">
        <f>18+49</f>
        <v>67</v>
      </c>
      <c r="M39" s="81">
        <f>18+38</f>
        <v>56</v>
      </c>
      <c r="P39">
        <f t="shared" si="2"/>
        <v>2006</v>
      </c>
      <c r="Q39" s="247">
        <f>+C39</f>
        <v>162</v>
      </c>
      <c r="R39" s="248" t="s">
        <v>268</v>
      </c>
      <c r="S39" s="247">
        <f>+I39</f>
        <v>95</v>
      </c>
      <c r="T39" s="249" t="s">
        <v>271</v>
      </c>
    </row>
    <row r="40" spans="1:28">
      <c r="A40" s="184">
        <f>'Instant Old no Delete'!A41</f>
        <v>2007</v>
      </c>
      <c r="B40" s="228">
        <v>106.3</v>
      </c>
      <c r="C40" s="228">
        <v>113.8</v>
      </c>
      <c r="D40" s="228">
        <v>45</v>
      </c>
      <c r="E40" s="228">
        <v>54.6</v>
      </c>
      <c r="F40" s="228">
        <v>65.900000000000006</v>
      </c>
      <c r="G40" s="228">
        <v>71.210393499999995</v>
      </c>
      <c r="H40" s="228">
        <v>72.699999999999989</v>
      </c>
      <c r="I40" s="231">
        <v>87.1</v>
      </c>
      <c r="J40" s="228">
        <v>72.599999999999994</v>
      </c>
      <c r="K40" s="228">
        <v>69.900000000000006</v>
      </c>
      <c r="L40" s="228">
        <v>45.7</v>
      </c>
      <c r="M40" s="228">
        <v>67.400000000000006</v>
      </c>
      <c r="P40">
        <f t="shared" si="2"/>
        <v>2007</v>
      </c>
      <c r="Q40" s="247">
        <f>+C40</f>
        <v>113.8</v>
      </c>
      <c r="R40" s="248" t="s">
        <v>268</v>
      </c>
      <c r="S40" s="247">
        <f>+I40</f>
        <v>87.1</v>
      </c>
      <c r="T40" s="249" t="s">
        <v>271</v>
      </c>
    </row>
    <row r="41" spans="1:28">
      <c r="A41" s="184">
        <f>'Instant Old no Delete'!A42</f>
        <v>2008</v>
      </c>
      <c r="B41" s="228">
        <v>146.69999999999999</v>
      </c>
      <c r="C41" s="228">
        <v>100.4</v>
      </c>
      <c r="D41" s="228">
        <v>46.2</v>
      </c>
      <c r="E41" s="228">
        <v>48.599999999999994</v>
      </c>
      <c r="F41" s="228">
        <v>73</v>
      </c>
      <c r="G41" s="228">
        <v>86.467114120970422</v>
      </c>
      <c r="H41" s="228">
        <v>73.400000000000006</v>
      </c>
      <c r="I41" s="228">
        <v>67.400000000000006</v>
      </c>
      <c r="J41" s="228">
        <v>62.199999999999996</v>
      </c>
      <c r="K41" s="228">
        <v>52</v>
      </c>
      <c r="L41" s="228">
        <v>52.5</v>
      </c>
      <c r="M41" s="228">
        <v>89.600000000000009</v>
      </c>
      <c r="P41">
        <f t="shared" si="2"/>
        <v>2008</v>
      </c>
      <c r="Q41" s="247">
        <f>+B41</f>
        <v>146.69999999999999</v>
      </c>
      <c r="R41" s="248" t="s">
        <v>269</v>
      </c>
      <c r="S41" s="247">
        <f>+G41</f>
        <v>86.467114120970422</v>
      </c>
      <c r="T41" s="249" t="s">
        <v>274</v>
      </c>
    </row>
    <row r="42" spans="1:28">
      <c r="A42" s="184">
        <f>'Instant Old no Delete'!A43</f>
        <v>2009</v>
      </c>
      <c r="B42" s="228">
        <v>144.80000000000001</v>
      </c>
      <c r="C42" s="228">
        <v>134.59572600763866</v>
      </c>
      <c r="D42" s="228">
        <v>109.8</v>
      </c>
      <c r="E42" s="228">
        <v>70.300000000000011</v>
      </c>
      <c r="F42" s="228">
        <v>87.942162012749549</v>
      </c>
      <c r="G42" s="231">
        <v>95.7</v>
      </c>
      <c r="H42" s="228">
        <v>86.9</v>
      </c>
      <c r="I42" s="228">
        <v>86.9</v>
      </c>
      <c r="J42" s="228">
        <v>76.974693323405575</v>
      </c>
      <c r="K42" s="228">
        <v>86.701708713285626</v>
      </c>
      <c r="L42" s="228">
        <v>68</v>
      </c>
      <c r="M42" s="228">
        <v>64.2</v>
      </c>
      <c r="P42">
        <f t="shared" si="2"/>
        <v>2009</v>
      </c>
      <c r="Q42" s="247">
        <f>+B42</f>
        <v>144.80000000000001</v>
      </c>
      <c r="R42" s="248" t="s">
        <v>269</v>
      </c>
      <c r="S42" s="247">
        <f>+G42</f>
        <v>95.7</v>
      </c>
      <c r="T42" s="249" t="s">
        <v>274</v>
      </c>
    </row>
    <row r="43" spans="1:28">
      <c r="A43" s="184">
        <f>'Instant Old no Delete'!A44</f>
        <v>2010</v>
      </c>
      <c r="B43" s="228">
        <v>149.10000000000002</v>
      </c>
      <c r="C43" s="228">
        <v>113.2</v>
      </c>
      <c r="D43" s="228">
        <v>102.7</v>
      </c>
      <c r="E43" s="228">
        <v>67.8</v>
      </c>
      <c r="F43" s="228">
        <v>85</v>
      </c>
      <c r="G43" s="228">
        <v>89.600000000000009</v>
      </c>
      <c r="H43" s="228">
        <v>93.100000000000009</v>
      </c>
      <c r="I43" s="228">
        <v>72.900000000000006</v>
      </c>
      <c r="J43" s="228">
        <v>75.100000000000009</v>
      </c>
      <c r="K43" s="228">
        <v>77.3</v>
      </c>
      <c r="L43" s="228">
        <v>70.2</v>
      </c>
      <c r="M43" s="228">
        <v>127.8</v>
      </c>
      <c r="P43">
        <f t="shared" si="2"/>
        <v>2010</v>
      </c>
      <c r="Q43" s="247">
        <f>+B43</f>
        <v>149.10000000000002</v>
      </c>
      <c r="R43" s="248" t="s">
        <v>269</v>
      </c>
      <c r="S43" s="247">
        <f>+G43</f>
        <v>89.600000000000009</v>
      </c>
      <c r="T43" s="249" t="s">
        <v>274</v>
      </c>
    </row>
    <row r="44" spans="1:28">
      <c r="A44" s="184">
        <f>'Instant Old no Delete'!A45</f>
        <v>2011</v>
      </c>
      <c r="B44" s="228">
        <v>176.7</v>
      </c>
      <c r="C44" s="228">
        <v>135</v>
      </c>
      <c r="D44" s="228">
        <v>94.4</v>
      </c>
      <c r="E44" s="228">
        <v>112.9</v>
      </c>
      <c r="F44" s="228">
        <v>117.4</v>
      </c>
      <c r="G44" s="228">
        <v>126.6</v>
      </c>
      <c r="H44" s="228">
        <v>123</v>
      </c>
      <c r="I44" s="228">
        <v>123.1</v>
      </c>
      <c r="J44" s="228">
        <v>122.70000000000002</v>
      </c>
      <c r="K44" s="228">
        <v>108.1</v>
      </c>
      <c r="L44" s="228">
        <v>103.1</v>
      </c>
      <c r="M44" s="228">
        <v>104</v>
      </c>
      <c r="P44">
        <f t="shared" si="2"/>
        <v>2011</v>
      </c>
      <c r="Q44" s="247">
        <f>+M43</f>
        <v>127.8</v>
      </c>
      <c r="R44" s="248" t="s">
        <v>275</v>
      </c>
      <c r="S44" s="247">
        <f>+I44</f>
        <v>123.1</v>
      </c>
      <c r="T44" s="249" t="s">
        <v>271</v>
      </c>
    </row>
    <row r="45" spans="1:28">
      <c r="A45" s="184">
        <f>'Instant Old no Delete'!A46</f>
        <v>2012</v>
      </c>
      <c r="B45" s="228">
        <v>167.4</v>
      </c>
      <c r="C45" s="228">
        <v>155</v>
      </c>
      <c r="D45" s="228">
        <v>108.4</v>
      </c>
      <c r="E45" s="228">
        <v>112.6</v>
      </c>
      <c r="F45" s="228">
        <v>131.30000000000001</v>
      </c>
      <c r="G45" s="228">
        <v>123</v>
      </c>
      <c r="H45" s="228">
        <v>131.1</v>
      </c>
      <c r="I45" s="228">
        <v>131.4</v>
      </c>
      <c r="J45" s="228">
        <v>121</v>
      </c>
      <c r="K45" s="228">
        <v>119.9</v>
      </c>
      <c r="L45" s="228">
        <v>105.7</v>
      </c>
      <c r="M45" s="228">
        <v>105.5</v>
      </c>
      <c r="P45">
        <f t="shared" si="2"/>
        <v>2012</v>
      </c>
      <c r="Q45" s="247">
        <f>+B45</f>
        <v>167.4</v>
      </c>
      <c r="R45" s="248" t="s">
        <v>269</v>
      </c>
      <c r="S45" s="247">
        <f>+I45</f>
        <v>131.4</v>
      </c>
      <c r="T45" s="249" t="s">
        <v>271</v>
      </c>
    </row>
    <row r="46" spans="1:28">
      <c r="A46" s="184">
        <f>'Instant Old no Delete'!A47</f>
        <v>2013</v>
      </c>
      <c r="B46" s="228">
        <v>120.5</v>
      </c>
      <c r="C46" s="228">
        <v>154.83645959192899</v>
      </c>
      <c r="D46" s="228">
        <v>141.44130370827108</v>
      </c>
      <c r="E46" s="228">
        <v>130.69999999999999</v>
      </c>
      <c r="F46" s="228">
        <v>129.1</v>
      </c>
      <c r="G46" s="228">
        <v>132.86141772528111</v>
      </c>
      <c r="H46" s="228">
        <v>123.7</v>
      </c>
      <c r="I46" s="228">
        <v>127.7</v>
      </c>
      <c r="J46" s="228">
        <v>131.4</v>
      </c>
      <c r="K46" s="228">
        <v>124.8</v>
      </c>
      <c r="L46" s="228">
        <v>106.4</v>
      </c>
      <c r="M46" s="228">
        <v>106.4</v>
      </c>
      <c r="P46">
        <f t="shared" si="2"/>
        <v>2013</v>
      </c>
      <c r="Q46" s="247">
        <f>+C46</f>
        <v>154.83645959192899</v>
      </c>
      <c r="R46" s="248" t="s">
        <v>268</v>
      </c>
      <c r="S46" s="247">
        <f>+I46</f>
        <v>127.7</v>
      </c>
      <c r="T46" s="249" t="s">
        <v>271</v>
      </c>
    </row>
    <row r="47" spans="1:28">
      <c r="A47" s="184">
        <f>'Instant Old no Delete'!A48</f>
        <v>2014</v>
      </c>
      <c r="B47" s="228">
        <v>159.80000000000001</v>
      </c>
      <c r="C47" s="228">
        <v>136</v>
      </c>
      <c r="D47" s="228">
        <v>120</v>
      </c>
      <c r="E47" s="228">
        <v>125.2</v>
      </c>
      <c r="F47" s="228">
        <v>125.5</v>
      </c>
      <c r="G47" s="228">
        <v>128.1</v>
      </c>
      <c r="H47" s="228">
        <v>127.69999999999999</v>
      </c>
      <c r="I47" s="228">
        <v>127.2</v>
      </c>
      <c r="J47" s="228">
        <v>120.10000000000001</v>
      </c>
      <c r="K47" s="228">
        <v>114.10000000000001</v>
      </c>
      <c r="L47" s="228">
        <v>135.1</v>
      </c>
      <c r="M47" s="228">
        <v>107.7</v>
      </c>
      <c r="N47" s="1" t="s">
        <v>331</v>
      </c>
      <c r="P47">
        <f t="shared" si="2"/>
        <v>2014</v>
      </c>
      <c r="Q47" s="247">
        <f>+B47</f>
        <v>159.80000000000001</v>
      </c>
      <c r="R47" s="248" t="s">
        <v>269</v>
      </c>
      <c r="S47" s="247"/>
      <c r="T47" s="254" t="s">
        <v>271</v>
      </c>
    </row>
    <row r="48" spans="1:28">
      <c r="A48" s="184">
        <f>'Instant Old no Delete'!A49</f>
        <v>2015</v>
      </c>
      <c r="B48" s="228">
        <v>126.68</v>
      </c>
      <c r="C48" s="228">
        <v>139.80000000000001</v>
      </c>
      <c r="D48" s="228">
        <v>105.48</v>
      </c>
      <c r="E48" s="228">
        <v>108.5</v>
      </c>
      <c r="F48" s="228">
        <v>114.21531640426902</v>
      </c>
      <c r="G48" s="228">
        <v>113.69999999999999</v>
      </c>
      <c r="H48" s="228">
        <v>115.33376982052245</v>
      </c>
      <c r="I48" s="228">
        <v>118.1848817628519</v>
      </c>
      <c r="J48" s="228">
        <v>114.30000000000001</v>
      </c>
      <c r="K48" s="228">
        <v>107.2</v>
      </c>
      <c r="L48" s="228">
        <v>108.9</v>
      </c>
      <c r="M48" s="228">
        <v>104.28</v>
      </c>
      <c r="N48" s="1" t="s">
        <v>331</v>
      </c>
    </row>
    <row r="49" spans="1:14">
      <c r="A49" s="184">
        <f>'Instant Old no Delete'!A50</f>
        <v>2016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</row>
    <row r="50" spans="1:14">
      <c r="A50" s="184">
        <f>'Instant Old no Delete'!A51</f>
        <v>2017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1:14">
      <c r="A51" s="184">
        <f>'Instant Old no Delete'!A52</f>
        <v>2018</v>
      </c>
      <c r="B51"/>
      <c r="C51"/>
      <c r="D51"/>
      <c r="E51"/>
      <c r="F51"/>
      <c r="G51"/>
      <c r="H51"/>
      <c r="I51" s="81"/>
      <c r="J51" s="81"/>
      <c r="K51" s="81"/>
      <c r="L51" s="81"/>
      <c r="M51" s="81"/>
    </row>
    <row r="52" spans="1:14">
      <c r="A52" s="184">
        <f>'Instant Old no Delete'!A53</f>
        <v>2019</v>
      </c>
      <c r="B52"/>
      <c r="C52"/>
      <c r="D52"/>
      <c r="E52"/>
      <c r="F52"/>
      <c r="G52"/>
      <c r="H52"/>
      <c r="I52" s="81"/>
      <c r="J52" s="81"/>
      <c r="K52" s="81"/>
      <c r="L52" s="81"/>
      <c r="M52" s="81"/>
    </row>
    <row r="53" spans="1:14">
      <c r="A53" s="184">
        <f>'Instant Old no Delete'!A54</f>
        <v>2020</v>
      </c>
      <c r="B53"/>
      <c r="C53"/>
      <c r="D53"/>
      <c r="E53"/>
      <c r="F53"/>
      <c r="G53"/>
      <c r="H53"/>
    </row>
    <row r="54" spans="1:14">
      <c r="A54" s="184">
        <f>'Instant Old no Delete'!A55</f>
        <v>2021</v>
      </c>
      <c r="B54"/>
      <c r="C54"/>
      <c r="D54"/>
      <c r="E54"/>
      <c r="F54"/>
      <c r="G54"/>
      <c r="H54"/>
    </row>
    <row r="55" spans="1:14">
      <c r="A55" s="184">
        <f>'Instant Old no Delete'!A56</f>
        <v>2022</v>
      </c>
      <c r="B55" s="229">
        <v>103.71310011997021</v>
      </c>
      <c r="C55" s="229">
        <v>103.46975999999999</v>
      </c>
      <c r="D55" s="229">
        <v>103.46975999999999</v>
      </c>
      <c r="E55" s="229">
        <v>103.82775999999998</v>
      </c>
      <c r="F55" s="229">
        <v>103.72075999999998</v>
      </c>
      <c r="G55" s="229">
        <v>104.07775999999998</v>
      </c>
      <c r="H55" s="229">
        <v>104.07775999999998</v>
      </c>
      <c r="I55" s="229">
        <v>104.07775999999998</v>
      </c>
      <c r="J55" s="229">
        <v>104.07775999999998</v>
      </c>
      <c r="K55" s="229">
        <v>104.87775999999999</v>
      </c>
      <c r="L55" s="229">
        <v>103.80676</v>
      </c>
      <c r="M55" s="229">
        <v>61.006759999999993</v>
      </c>
      <c r="N55" s="1" t="s">
        <v>331</v>
      </c>
    </row>
    <row r="56" spans="1:14">
      <c r="A56" s="184">
        <f>'Instant Old no Delete'!A57</f>
        <v>2023</v>
      </c>
      <c r="B56"/>
      <c r="C56"/>
      <c r="D56"/>
      <c r="E56"/>
      <c r="F56"/>
      <c r="G56"/>
      <c r="H56"/>
    </row>
    <row r="57" spans="1:14">
      <c r="A57"/>
    </row>
    <row r="58" spans="1:14">
      <c r="A58"/>
    </row>
    <row r="73" spans="1:10">
      <c r="A73" s="3"/>
      <c r="B73" s="3"/>
      <c r="F73" s="3"/>
      <c r="G73" s="3"/>
      <c r="H73" s="3"/>
      <c r="I73" s="3"/>
      <c r="J73" s="3"/>
    </row>
    <row r="74" spans="1:10">
      <c r="A74" s="3"/>
      <c r="B74" s="3"/>
      <c r="F74" s="3"/>
      <c r="G74" s="3"/>
      <c r="H74" s="3"/>
      <c r="I74" s="3"/>
      <c r="J74" s="3"/>
    </row>
  </sheetData>
  <mergeCells count="2">
    <mergeCell ref="Q27:R27"/>
    <mergeCell ref="S27:T27"/>
  </mergeCells>
  <phoneticPr fontId="9" type="noConversion"/>
  <pageMargins left="0.25" right="0.25694444444444442" top="0.25" bottom="0.25" header="0" footer="0"/>
  <pageSetup scale="71" orientation="landscape" horizontalDpi="0" verticalDpi="0" copies="0"/>
  <headerFooter alignWithMargins="0"/>
  <customProperties>
    <customPr name="_pios_id" r:id="rId1"/>
    <customPr name="EpmWorksheetKeyString_GUID" r:id="rId2"/>
  </customProperties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06"/>
  <sheetViews>
    <sheetView showGridLines="0" topLeftCell="A40" zoomScale="70" zoomScaleNormal="70" workbookViewId="0">
      <selection activeCell="P78" sqref="P78"/>
    </sheetView>
  </sheetViews>
  <sheetFormatPr defaultColWidth="9.6640625" defaultRowHeight="15"/>
  <cols>
    <col min="1" max="1" width="8.5546875" style="1" customWidth="1"/>
    <col min="2" max="13" width="7.6640625" style="1" customWidth="1"/>
    <col min="14" max="16384" width="9.6640625" style="1"/>
  </cols>
  <sheetData>
    <row r="1" spans="1:25" ht="15" customHeight="1"/>
    <row r="2" spans="1:25" ht="15" customHeight="1">
      <c r="A2" s="3"/>
      <c r="B2" s="84" t="s">
        <v>136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5" ht="15" customHeight="1"/>
    <row r="4" spans="1:25" ht="15" customHeight="1">
      <c r="A4" s="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6"/>
      <c r="Q4" s="7" t="s">
        <v>48</v>
      </c>
      <c r="R4" s="8" t="s">
        <v>50</v>
      </c>
      <c r="S4" s="7"/>
      <c r="T4" s="8"/>
      <c r="U4" s="12"/>
      <c r="V4" s="13"/>
    </row>
    <row r="5" spans="1:25">
      <c r="A5" s="10"/>
      <c r="B5" s="10" t="s">
        <v>4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3"/>
      <c r="O5" s="3"/>
      <c r="P5" s="11"/>
      <c r="Q5" s="227" t="s">
        <v>267</v>
      </c>
      <c r="R5" s="225" t="s">
        <v>267</v>
      </c>
      <c r="S5" s="12" t="s">
        <v>96</v>
      </c>
      <c r="T5" s="13" t="s">
        <v>51</v>
      </c>
      <c r="U5" s="11" t="s">
        <v>48</v>
      </c>
      <c r="V5" s="10" t="s">
        <v>50</v>
      </c>
    </row>
    <row r="6" spans="1:25" ht="15" customHeight="1">
      <c r="A6" s="3">
        <f>'Instant Old no Delete'!A7</f>
        <v>1973</v>
      </c>
      <c r="B6" s="6">
        <f>'Total Retail'!B7-Interruptible!B6-LM!B6</f>
        <v>1242</v>
      </c>
      <c r="C6" s="14">
        <f>'Total Retail'!C7-Interruptible!C6-LM!C6</f>
        <v>1300</v>
      </c>
      <c r="D6" s="14">
        <f>'Total Retail'!D7-Interruptible!D6-LM!D6</f>
        <v>1151</v>
      </c>
      <c r="E6" s="14">
        <f>'Total Retail'!E7-Interruptible!E6-LM!E6</f>
        <v>1098</v>
      </c>
      <c r="F6" s="14">
        <f>'Total Retail'!F7-Interruptible!F6-LM!F6</f>
        <v>1371</v>
      </c>
      <c r="G6" s="14">
        <f>'Total Retail'!G7-Interruptible!G6-LM!G6</f>
        <v>1387</v>
      </c>
      <c r="H6" s="14">
        <f>'Total Retail'!H7-Interruptible!H6-LM!H6</f>
        <v>1373</v>
      </c>
      <c r="I6" s="14">
        <f>'Total Retail'!I7-Interruptible!I6-LM!I6</f>
        <v>1434</v>
      </c>
      <c r="J6" s="14">
        <f>'Total Retail'!J7-Interruptible!J6-LM!J6</f>
        <v>1441</v>
      </c>
      <c r="K6" s="14">
        <f>'Total Retail'!K7-Interruptible!K6-LM!K6</f>
        <v>1373</v>
      </c>
      <c r="L6" s="14">
        <f>'Total Retail'!L7-Interruptible!L6-LM!L6</f>
        <v>1237</v>
      </c>
      <c r="M6" s="14">
        <f>'Total Retail'!M7-Interruptible!M6-LM!M6</f>
        <v>1366</v>
      </c>
      <c r="N6" s="3"/>
      <c r="P6" s="6" t="s">
        <v>20</v>
      </c>
      <c r="Q6" s="85">
        <f t="shared" ref="Q6:Q31" si="0">MAX(S6:T6)</f>
        <v>1300</v>
      </c>
      <c r="R6" s="86">
        <f t="shared" ref="R6:R31" si="1">MAX(E6:J6)</f>
        <v>1441</v>
      </c>
      <c r="S6" s="7">
        <f t="shared" ref="S6:S31" si="2">MAX(L5:M5)</f>
        <v>0</v>
      </c>
      <c r="T6" s="8">
        <f t="shared" ref="T6:T31" si="3">MAX(B6:D6)</f>
        <v>1300</v>
      </c>
      <c r="U6" s="46">
        <v>1129</v>
      </c>
      <c r="V6" s="41">
        <v>1302</v>
      </c>
      <c r="X6" s="68"/>
      <c r="Y6" s="68"/>
    </row>
    <row r="7" spans="1:25" ht="15" customHeight="1">
      <c r="A7" s="3">
        <f>'Instant Old no Delete'!A8</f>
        <v>1974</v>
      </c>
      <c r="B7" s="9">
        <f>'Total Retail'!B8-Interruptible!B7-LM!B7</f>
        <v>1158</v>
      </c>
      <c r="C7" s="3">
        <f>'Total Retail'!C8-Interruptible!C7-LM!C7</f>
        <v>1325</v>
      </c>
      <c r="D7" s="3">
        <f>'Total Retail'!D8-Interruptible!D7-LM!D7</f>
        <v>1243</v>
      </c>
      <c r="E7" s="3">
        <f>'Total Retail'!E8-Interruptible!E7-LM!E7</f>
        <v>1334</v>
      </c>
      <c r="F7" s="3">
        <f>'Total Retail'!F8-Interruptible!F7-LM!F7</f>
        <v>1394</v>
      </c>
      <c r="G7" s="3">
        <f>'Total Retail'!G8-Interruptible!G7-LM!G7</f>
        <v>1486</v>
      </c>
      <c r="H7" s="3">
        <f>'Total Retail'!H8-Interruptible!H7-LM!H7</f>
        <v>1411</v>
      </c>
      <c r="I7" s="3">
        <f>'Total Retail'!I8-Interruptible!I7-LM!I7</f>
        <v>1458</v>
      </c>
      <c r="J7" s="3">
        <f>'Total Retail'!J8-Interruptible!J7-LM!J7</f>
        <v>1527</v>
      </c>
      <c r="K7" s="3">
        <f>'Total Retail'!K8-Interruptible!K7-LM!K7</f>
        <v>1299</v>
      </c>
      <c r="L7" s="3">
        <f>'Total Retail'!L8-Interruptible!L7-LM!L7</f>
        <v>1245</v>
      </c>
      <c r="M7" s="3">
        <f>'Total Retail'!M8-Interruptible!M7-LM!M7</f>
        <v>1429</v>
      </c>
      <c r="N7" s="3"/>
      <c r="P7" s="3" t="s">
        <v>21</v>
      </c>
      <c r="Q7" s="87">
        <f t="shared" si="0"/>
        <v>1366</v>
      </c>
      <c r="R7" s="88">
        <f t="shared" si="1"/>
        <v>1527</v>
      </c>
      <c r="S7" s="12">
        <f t="shared" si="2"/>
        <v>1366</v>
      </c>
      <c r="T7" s="13">
        <f t="shared" si="3"/>
        <v>1325</v>
      </c>
      <c r="U7" s="46">
        <v>1214</v>
      </c>
      <c r="V7" s="41">
        <v>1381</v>
      </c>
      <c r="X7" s="68"/>
      <c r="Y7" s="68"/>
    </row>
    <row r="8" spans="1:25" ht="15" customHeight="1">
      <c r="A8" s="3">
        <f>'Instant Old no Delete'!A9</f>
        <v>1975</v>
      </c>
      <c r="B8" s="9">
        <f>'Total Retail'!B9-Interruptible!B8-LM!B8</f>
        <v>1313</v>
      </c>
      <c r="C8" s="3">
        <f>'Total Retail'!C9-Interruptible!C8-LM!C8</f>
        <v>1115</v>
      </c>
      <c r="D8" s="3">
        <f>'Total Retail'!D9-Interruptible!D8-LM!D8</f>
        <v>1237</v>
      </c>
      <c r="E8" s="3">
        <f>'Total Retail'!E9-Interruptible!E8-LM!E8</f>
        <v>1319</v>
      </c>
      <c r="F8" s="3">
        <f>'Total Retail'!F9-Interruptible!F8-LM!F8</f>
        <v>1324</v>
      </c>
      <c r="G8" s="3">
        <f>'Total Retail'!G9-Interruptible!G8-LM!G8</f>
        <v>1418</v>
      </c>
      <c r="H8" s="3">
        <f>'Total Retail'!H9-Interruptible!H8-LM!H8</f>
        <v>1338</v>
      </c>
      <c r="I8" s="3">
        <f>'Total Retail'!I9-Interruptible!I8-LM!I8</f>
        <v>1362</v>
      </c>
      <c r="J8" s="3">
        <f>'Total Retail'!J9-Interruptible!J8-LM!J8</f>
        <v>1306</v>
      </c>
      <c r="K8" s="3">
        <f>'Total Retail'!K9-Interruptible!K8-LM!K8</f>
        <v>1280</v>
      </c>
      <c r="L8" s="3">
        <f>'Total Retail'!L9-Interruptible!L8-LM!L8</f>
        <v>1238</v>
      </c>
      <c r="M8" s="3">
        <f>'Total Retail'!M9-Interruptible!M8-LM!M8</f>
        <v>1399</v>
      </c>
      <c r="N8" s="3"/>
      <c r="P8" s="9" t="s">
        <v>22</v>
      </c>
      <c r="Q8" s="87">
        <f t="shared" si="0"/>
        <v>1429</v>
      </c>
      <c r="R8" s="89">
        <f t="shared" si="1"/>
        <v>1418</v>
      </c>
      <c r="S8" s="12">
        <f t="shared" si="2"/>
        <v>1429</v>
      </c>
      <c r="T8" s="13">
        <f t="shared" si="3"/>
        <v>1313</v>
      </c>
      <c r="U8" s="46">
        <v>1303</v>
      </c>
      <c r="V8" s="41">
        <v>1418</v>
      </c>
      <c r="X8" s="68"/>
      <c r="Y8" s="68"/>
    </row>
    <row r="9" spans="1:25" ht="15" customHeight="1">
      <c r="A9" s="3">
        <f>'Instant Old no Delete'!A10</f>
        <v>1976</v>
      </c>
      <c r="B9" s="9">
        <f>'Total Retail'!B10-Interruptible!B9-LM!B9</f>
        <v>1538</v>
      </c>
      <c r="C9" s="3">
        <f>'Total Retail'!C10-Interruptible!C9-LM!C9</f>
        <v>1318</v>
      </c>
      <c r="D9" s="3">
        <f>'Total Retail'!D10-Interruptible!D9-LM!D9</f>
        <v>1150</v>
      </c>
      <c r="E9" s="3">
        <f>'Total Retail'!E10-Interruptible!E9-LM!E9</f>
        <v>1114</v>
      </c>
      <c r="F9" s="3">
        <f>'Total Retail'!F10-Interruptible!F9-LM!F9</f>
        <v>1216</v>
      </c>
      <c r="G9" s="3">
        <f>'Total Retail'!G10-Interruptible!G9-LM!G9</f>
        <v>1320</v>
      </c>
      <c r="H9" s="3">
        <f>'Total Retail'!H10-Interruptible!H9-LM!H9</f>
        <v>1370</v>
      </c>
      <c r="I9" s="3">
        <f>'Total Retail'!I10-Interruptible!I9-LM!I9</f>
        <v>1388</v>
      </c>
      <c r="J9" s="3">
        <f>'Total Retail'!J10-Interruptible!J9-LM!J9</f>
        <v>1434</v>
      </c>
      <c r="K9" s="3">
        <f>'Total Retail'!K10-Interruptible!K9-LM!K9</f>
        <v>1299</v>
      </c>
      <c r="L9" s="3">
        <f>'Total Retail'!L10-Interruptible!L9-LM!L9</f>
        <v>1531</v>
      </c>
      <c r="M9" s="3">
        <f>'Total Retail'!M10-Interruptible!M9-LM!M9</f>
        <v>1477</v>
      </c>
      <c r="N9" s="3"/>
      <c r="P9" s="9" t="s">
        <v>23</v>
      </c>
      <c r="Q9" s="26">
        <f t="shared" si="0"/>
        <v>1538</v>
      </c>
      <c r="R9" s="26">
        <f t="shared" si="1"/>
        <v>1434</v>
      </c>
      <c r="S9" s="12">
        <f t="shared" si="2"/>
        <v>1399</v>
      </c>
      <c r="T9" s="13">
        <f t="shared" si="3"/>
        <v>1538</v>
      </c>
      <c r="U9" s="46">
        <v>1538</v>
      </c>
      <c r="V9" s="41">
        <v>1434</v>
      </c>
      <c r="X9" s="68"/>
      <c r="Y9" s="68"/>
    </row>
    <row r="10" spans="1:25" ht="15" customHeight="1">
      <c r="A10" s="3">
        <f>'Instant Old no Delete'!A11</f>
        <v>1977</v>
      </c>
      <c r="B10" s="9">
        <f>'Total Retail'!B11-Interruptible!B10-LM!B10</f>
        <v>1606</v>
      </c>
      <c r="C10" s="3">
        <f>'Total Retail'!C11-Interruptible!C10-LM!C10</f>
        <v>1514</v>
      </c>
      <c r="D10" s="3">
        <f>'Total Retail'!D11-Interruptible!D10-LM!D10</f>
        <v>1216</v>
      </c>
      <c r="E10" s="3">
        <f>'Total Retail'!E11-Interruptible!E10-LM!E10</f>
        <v>1145</v>
      </c>
      <c r="F10" s="3">
        <f>'Total Retail'!F11-Interruptible!F10-LM!F10</f>
        <v>1212</v>
      </c>
      <c r="G10" s="3">
        <f>'Total Retail'!G11-Interruptible!G10-LM!G10</f>
        <v>1527</v>
      </c>
      <c r="H10" s="3">
        <f>'Total Retail'!H11-Interruptible!H10-LM!H10</f>
        <v>1457</v>
      </c>
      <c r="I10" s="3">
        <f>'Total Retail'!I11-Interruptible!I10-LM!I10</f>
        <v>1415</v>
      </c>
      <c r="J10" s="3">
        <f>'Total Retail'!J11-Interruptible!J10-LM!J10</f>
        <v>1502</v>
      </c>
      <c r="K10" s="3">
        <f>'Total Retail'!K11-Interruptible!K10-LM!K10</f>
        <v>1328</v>
      </c>
      <c r="L10" s="3">
        <f>'Total Retail'!L11-Interruptible!L10-LM!L10</f>
        <v>1165</v>
      </c>
      <c r="M10" s="3">
        <f>'Total Retail'!M11-Interruptible!M10-LM!M10</f>
        <v>1516</v>
      </c>
      <c r="N10" s="3"/>
      <c r="P10" s="9" t="s">
        <v>24</v>
      </c>
      <c r="Q10" s="26">
        <f t="shared" si="0"/>
        <v>1606</v>
      </c>
      <c r="R10" s="26">
        <f t="shared" si="1"/>
        <v>1527</v>
      </c>
      <c r="S10" s="12">
        <f t="shared" si="2"/>
        <v>1531</v>
      </c>
      <c r="T10" s="13">
        <f t="shared" si="3"/>
        <v>1606</v>
      </c>
      <c r="U10" s="46">
        <v>1606</v>
      </c>
      <c r="V10" s="41">
        <v>1527</v>
      </c>
      <c r="X10" s="68"/>
      <c r="Y10" s="68"/>
    </row>
    <row r="11" spans="1:25" ht="15" customHeight="1">
      <c r="A11" s="3">
        <f>'Instant Old no Delete'!A12</f>
        <v>1978</v>
      </c>
      <c r="B11" s="9">
        <f>'Total Retail'!B12-Interruptible!B11-LM!B11</f>
        <v>1676</v>
      </c>
      <c r="C11" s="3">
        <f>'Total Retail'!C12-Interruptible!C11-LM!C11</f>
        <v>1706</v>
      </c>
      <c r="D11" s="3">
        <f>'Total Retail'!D12-Interruptible!D11-LM!D11</f>
        <v>1415</v>
      </c>
      <c r="E11" s="3">
        <f>'Total Retail'!E12-Interruptible!E11-LM!E11</f>
        <v>1254</v>
      </c>
      <c r="F11" s="3">
        <f>'Total Retail'!F12-Interruptible!F11-LM!F11</f>
        <v>1512</v>
      </c>
      <c r="G11" s="3">
        <f>'Total Retail'!G12-Interruptible!G11-LM!G11</f>
        <v>1559</v>
      </c>
      <c r="H11" s="3">
        <f>'Total Retail'!H12-Interruptible!H11-LM!H11</f>
        <v>1479</v>
      </c>
      <c r="I11" s="3">
        <f>'Total Retail'!I12-Interruptible!I11-LM!I11</f>
        <v>1580</v>
      </c>
      <c r="J11" s="3">
        <f>'Total Retail'!J12-Interruptible!J11-LM!J11</f>
        <v>1500</v>
      </c>
      <c r="K11" s="3">
        <f>'Total Retail'!K12-Interruptible!K11-LM!K11</f>
        <v>1392</v>
      </c>
      <c r="L11" s="3">
        <f>'Total Retail'!L12-Interruptible!L11-LM!L11</f>
        <v>1245</v>
      </c>
      <c r="M11" s="3">
        <f>'Total Retail'!M12-Interruptible!M11-LM!M11</f>
        <v>1401</v>
      </c>
      <c r="N11" s="3"/>
      <c r="P11" s="9" t="s">
        <v>25</v>
      </c>
      <c r="Q11" s="87">
        <f t="shared" si="0"/>
        <v>1706</v>
      </c>
      <c r="R11" s="88">
        <f t="shared" si="1"/>
        <v>1580</v>
      </c>
      <c r="S11" s="12">
        <f t="shared" si="2"/>
        <v>1516</v>
      </c>
      <c r="T11" s="13">
        <f t="shared" si="3"/>
        <v>1706</v>
      </c>
      <c r="U11" s="46">
        <v>1685</v>
      </c>
      <c r="V11" s="41">
        <v>1611</v>
      </c>
      <c r="X11" s="68"/>
      <c r="Y11" s="68"/>
    </row>
    <row r="12" spans="1:25" ht="15" customHeight="1">
      <c r="A12" s="3">
        <f>'Instant Old no Delete'!A13</f>
        <v>1979</v>
      </c>
      <c r="B12" s="9">
        <f>'Total Retail'!B13-Interruptible!B12-LM!B12</f>
        <v>1815</v>
      </c>
      <c r="C12" s="3">
        <f>'Total Retail'!C13-Interruptible!C12-LM!C12</f>
        <v>1707</v>
      </c>
      <c r="D12" s="3">
        <f>'Total Retail'!D13-Interruptible!D12-LM!D12</f>
        <v>1314</v>
      </c>
      <c r="E12" s="3">
        <f>'Total Retail'!E13-Interruptible!E12-LM!E12</f>
        <v>1359</v>
      </c>
      <c r="F12" s="3">
        <f>'Total Retail'!F13-Interruptible!F12-LM!F12</f>
        <v>1406</v>
      </c>
      <c r="G12" s="3">
        <f>'Total Retail'!G13-Interruptible!G12-LM!G12</f>
        <v>1580</v>
      </c>
      <c r="H12" s="3">
        <f>'Total Retail'!H13-Interruptible!H12-LM!H12</f>
        <v>1623</v>
      </c>
      <c r="I12" s="3">
        <f>'Total Retail'!I13-Interruptible!I12-LM!I12</f>
        <v>1576</v>
      </c>
      <c r="J12" s="3">
        <f>'Total Retail'!J13-Interruptible!J12-LM!J12</f>
        <v>1608</v>
      </c>
      <c r="K12" s="3">
        <f>'Total Retail'!K13-Interruptible!K12-LM!K12</f>
        <v>1509</v>
      </c>
      <c r="L12" s="3">
        <f>'Total Retail'!L13-Interruptible!L12-LM!L12</f>
        <v>1477</v>
      </c>
      <c r="M12" s="3">
        <f>'Total Retail'!M13-Interruptible!M12-LM!M12</f>
        <v>1404</v>
      </c>
      <c r="N12" s="3"/>
      <c r="P12" s="9" t="s">
        <v>26</v>
      </c>
      <c r="Q12" s="87">
        <f t="shared" si="0"/>
        <v>1815</v>
      </c>
      <c r="R12" s="88">
        <f t="shared" si="1"/>
        <v>1623</v>
      </c>
      <c r="S12" s="12">
        <f t="shared" si="2"/>
        <v>1401</v>
      </c>
      <c r="T12" s="13">
        <f t="shared" si="3"/>
        <v>1815</v>
      </c>
      <c r="U12" s="46">
        <v>1813</v>
      </c>
      <c r="V12" s="41">
        <v>1623</v>
      </c>
      <c r="X12" s="68"/>
      <c r="Y12" s="68"/>
    </row>
    <row r="13" spans="1:25" ht="15" customHeight="1">
      <c r="A13" s="3">
        <f>'Instant Old no Delete'!A14</f>
        <v>1980</v>
      </c>
      <c r="B13" s="9">
        <f>'Total Retail'!B14-Interruptible!B13-LM!B13</f>
        <v>1654</v>
      </c>
      <c r="C13" s="3">
        <f>'Total Retail'!C14-Interruptible!C13-LM!C13</f>
        <v>1729</v>
      </c>
      <c r="D13" s="3">
        <f>'Total Retail'!D14-Interruptible!D13-LM!D13</f>
        <v>1724</v>
      </c>
      <c r="E13" s="3">
        <f>'Total Retail'!E14-Interruptible!E13-LM!E13</f>
        <v>1273</v>
      </c>
      <c r="F13" s="3">
        <f>'Total Retail'!F14-Interruptible!F13-LM!F13</f>
        <v>1566</v>
      </c>
      <c r="G13" s="3">
        <f>'Total Retail'!G14-Interruptible!G13-LM!G13</f>
        <v>1567</v>
      </c>
      <c r="H13" s="3">
        <f>'Total Retail'!H14-Interruptible!H13-LM!H13</f>
        <v>1648</v>
      </c>
      <c r="I13" s="3">
        <f>'Total Retail'!I14-Interruptible!I13-LM!I13</f>
        <v>1722</v>
      </c>
      <c r="J13" s="3">
        <f>'Total Retail'!J14-Interruptible!J13-LM!J13</f>
        <v>1635</v>
      </c>
      <c r="K13" s="3">
        <f>'Total Retail'!K14-Interruptible!K13-LM!K13</f>
        <v>1394</v>
      </c>
      <c r="L13" s="3">
        <f>'Total Retail'!L14-Interruptible!L13-LM!L13</f>
        <v>1263</v>
      </c>
      <c r="M13" s="3">
        <f>'Total Retail'!M14-Interruptible!M13-LM!M13</f>
        <v>1606</v>
      </c>
      <c r="N13" s="3"/>
      <c r="P13" s="9" t="s">
        <v>27</v>
      </c>
      <c r="Q13" s="87">
        <f t="shared" si="0"/>
        <v>1729</v>
      </c>
      <c r="R13" s="90">
        <f t="shared" si="1"/>
        <v>1722</v>
      </c>
      <c r="S13" s="12">
        <f t="shared" si="2"/>
        <v>1477</v>
      </c>
      <c r="T13" s="13">
        <f t="shared" si="3"/>
        <v>1729</v>
      </c>
      <c r="U13" s="91">
        <v>1724</v>
      </c>
      <c r="V13" s="41">
        <v>1722</v>
      </c>
      <c r="X13" s="68"/>
      <c r="Y13" s="68"/>
    </row>
    <row r="14" spans="1:25" ht="15" customHeight="1">
      <c r="A14" s="3">
        <f>'Instant Old no Delete'!A15</f>
        <v>1981</v>
      </c>
      <c r="B14" s="9">
        <f>'Total Retail'!B15-Interruptible!B14-LM!B14</f>
        <v>2175</v>
      </c>
      <c r="C14" s="3">
        <f>'Total Retail'!C15-Interruptible!C14-LM!C14</f>
        <v>1754</v>
      </c>
      <c r="D14" s="3">
        <f>'Total Retail'!D15-Interruptible!D14-LM!D14</f>
        <v>1290</v>
      </c>
      <c r="E14" s="3">
        <f>'Total Retail'!E15-Interruptible!E14-LM!E14</f>
        <v>1360</v>
      </c>
      <c r="F14" s="3">
        <f>'Total Retail'!F15-Interruptible!F14-LM!F14</f>
        <v>1591</v>
      </c>
      <c r="G14" s="3">
        <f>'Total Retail'!G15-Interruptible!G14-LM!G14</f>
        <v>1833</v>
      </c>
      <c r="H14" s="3">
        <f>'Total Retail'!H15-Interruptible!H14-LM!H14</f>
        <v>1752</v>
      </c>
      <c r="I14" s="3">
        <f>'Total Retail'!I15-Interruptible!I14-LM!I14</f>
        <v>1671</v>
      </c>
      <c r="J14" s="3">
        <f>'Total Retail'!J15-Interruptible!J14-LM!J14</f>
        <v>1693</v>
      </c>
      <c r="K14" s="3">
        <f>'Total Retail'!K15-Interruptible!K14-LM!K14</f>
        <v>1444</v>
      </c>
      <c r="L14" s="3">
        <f>'Total Retail'!L15-Interruptible!L14-LM!L14</f>
        <v>1524</v>
      </c>
      <c r="M14" s="3">
        <f>'Total Retail'!M15-Interruptible!M14-LM!M14</f>
        <v>1836</v>
      </c>
      <c r="N14" s="3"/>
      <c r="P14" s="9" t="s">
        <v>28</v>
      </c>
      <c r="Q14" s="26">
        <f t="shared" si="0"/>
        <v>2175</v>
      </c>
      <c r="R14" s="90">
        <f t="shared" si="1"/>
        <v>1833</v>
      </c>
      <c r="S14" s="12">
        <f t="shared" si="2"/>
        <v>1606</v>
      </c>
      <c r="T14" s="13">
        <f t="shared" si="3"/>
        <v>2175</v>
      </c>
      <c r="U14" s="46"/>
      <c r="V14" s="92">
        <v>1833</v>
      </c>
      <c r="X14" s="68"/>
      <c r="Y14" s="68"/>
    </row>
    <row r="15" spans="1:25" ht="15" customHeight="1">
      <c r="A15" s="3">
        <f>'Instant Old no Delete'!A16</f>
        <v>1982</v>
      </c>
      <c r="B15" s="9">
        <f>'Total Retail'!B16-Interruptible!B15-LM!B15</f>
        <v>2130</v>
      </c>
      <c r="C15" s="3">
        <f>'Total Retail'!C16-Interruptible!C15-LM!C15</f>
        <v>1255</v>
      </c>
      <c r="D15" s="3">
        <f>'Total Retail'!D16-Interruptible!D15-LM!D15</f>
        <v>1421</v>
      </c>
      <c r="E15" s="3">
        <f>'Total Retail'!E16-Interruptible!E15-LM!E15</f>
        <v>1424</v>
      </c>
      <c r="F15" s="3">
        <f>'Total Retail'!F16-Interruptible!F15-LM!F15</f>
        <v>1532</v>
      </c>
      <c r="G15" s="3">
        <f>'Total Retail'!G16-Interruptible!G15-LM!G15</f>
        <v>1693</v>
      </c>
      <c r="H15" s="3">
        <f>'Total Retail'!H16-Interruptible!H15-LM!H15</f>
        <v>1609</v>
      </c>
      <c r="I15" s="3">
        <f>'Total Retail'!I16-Interruptible!I15-LM!I15</f>
        <v>1716</v>
      </c>
      <c r="J15" s="3">
        <f>'Total Retail'!J16-Interruptible!J15-LM!J15</f>
        <v>1758</v>
      </c>
      <c r="K15" s="3">
        <f>'Total Retail'!K16-Interruptible!K15-LM!K15</f>
        <v>1556</v>
      </c>
      <c r="L15" s="3">
        <f>'Total Retail'!L16-Interruptible!L15-LM!L15</f>
        <v>1354</v>
      </c>
      <c r="M15" s="3">
        <f>'Total Retail'!M16-Interruptible!M15-LM!M15</f>
        <v>1522</v>
      </c>
      <c r="N15" s="3"/>
      <c r="P15" s="9" t="s">
        <v>29</v>
      </c>
      <c r="Q15" s="26">
        <f t="shared" si="0"/>
        <v>2130</v>
      </c>
      <c r="R15" s="89">
        <f t="shared" si="1"/>
        <v>1758</v>
      </c>
      <c r="S15" s="12">
        <f t="shared" si="2"/>
        <v>1836</v>
      </c>
      <c r="T15" s="13">
        <f t="shared" si="3"/>
        <v>2130</v>
      </c>
      <c r="U15" s="46"/>
      <c r="V15" s="41"/>
      <c r="X15" s="68"/>
      <c r="Y15" s="68"/>
    </row>
    <row r="16" spans="1:25" ht="15" customHeight="1">
      <c r="A16" s="3">
        <f>'Instant Old no Delete'!A17</f>
        <v>1983</v>
      </c>
      <c r="B16" s="9">
        <f>'Total Retail'!B17-Interruptible!B16-LM!B16</f>
        <v>1879</v>
      </c>
      <c r="C16" s="3">
        <f>'Total Retail'!C17-Interruptible!C16-LM!C16</f>
        <v>1812</v>
      </c>
      <c r="D16" s="3">
        <f>'Total Retail'!D17-Interruptible!D16-LM!D16</f>
        <v>1571</v>
      </c>
      <c r="E16" s="3">
        <f>'Total Retail'!E17-Interruptible!E16-LM!E16</f>
        <v>1387</v>
      </c>
      <c r="F16" s="3">
        <f>'Total Retail'!F17-Interruptible!F16-LM!F16</f>
        <v>1584</v>
      </c>
      <c r="G16" s="3">
        <f>'Total Retail'!G17-Interruptible!G16-LM!G16</f>
        <v>1682</v>
      </c>
      <c r="H16" s="3">
        <f>'Total Retail'!H17-Interruptible!H16-LM!H16</f>
        <v>1842</v>
      </c>
      <c r="I16" s="3">
        <f>'Total Retail'!I17-Interruptible!I16-LM!I16</f>
        <v>1774</v>
      </c>
      <c r="J16" s="3">
        <f>'Total Retail'!J17-Interruptible!J16-LM!J16</f>
        <v>1856</v>
      </c>
      <c r="K16" s="3">
        <f>'Total Retail'!K17-Interruptible!K16-LM!K16</f>
        <v>1605</v>
      </c>
      <c r="L16" s="3">
        <f>'Total Retail'!L17-Interruptible!L16-LM!L16</f>
        <v>1511</v>
      </c>
      <c r="M16" s="3">
        <f>'Total Retail'!M17-Interruptible!M16-LM!M16</f>
        <v>2067</v>
      </c>
      <c r="N16" s="3"/>
      <c r="P16" s="9" t="s">
        <v>30</v>
      </c>
      <c r="Q16" s="26">
        <f t="shared" si="0"/>
        <v>1879</v>
      </c>
      <c r="R16" s="89">
        <f t="shared" si="1"/>
        <v>1856</v>
      </c>
      <c r="S16" s="12">
        <f t="shared" si="2"/>
        <v>1522</v>
      </c>
      <c r="T16" s="13">
        <f t="shared" si="3"/>
        <v>1879</v>
      </c>
      <c r="U16" s="46"/>
      <c r="V16" s="41"/>
      <c r="X16" s="68"/>
      <c r="Y16" s="68"/>
    </row>
    <row r="17" spans="1:25" ht="15" customHeight="1">
      <c r="A17" s="3">
        <f>'Instant Old no Delete'!A18</f>
        <v>1984</v>
      </c>
      <c r="B17" s="9">
        <f>'Total Retail'!B18-Interruptible!B17-LM!B17</f>
        <v>1907</v>
      </c>
      <c r="C17" s="3">
        <f>'Total Retail'!C18-Interruptible!C17-LM!C17</f>
        <v>1997</v>
      </c>
      <c r="D17" s="3">
        <f>'Total Retail'!D18-Interruptible!D17-LM!D17</f>
        <v>1854</v>
      </c>
      <c r="E17" s="3">
        <f>'Total Retail'!E18-Interruptible!E17-LM!E17</f>
        <v>1496</v>
      </c>
      <c r="F17" s="3">
        <f>'Total Retail'!F18-Interruptible!F17-LM!F17</f>
        <v>1799</v>
      </c>
      <c r="G17" s="3">
        <f>'Total Retail'!G18-Interruptible!G17-LM!G17</f>
        <v>1803</v>
      </c>
      <c r="H17" s="3">
        <f>'Total Retail'!H18-Interruptible!H17-LM!H17</f>
        <v>1850</v>
      </c>
      <c r="I17" s="3">
        <f>'Total Retail'!I18-Interruptible!I17-LM!I17</f>
        <v>1851</v>
      </c>
      <c r="J17" s="3">
        <f>'Total Retail'!J18-Interruptible!J17-LM!J17</f>
        <v>1855</v>
      </c>
      <c r="K17" s="3">
        <f>'Total Retail'!K18-Interruptible!K17-LM!K17</f>
        <v>1683</v>
      </c>
      <c r="L17" s="3">
        <f>'Total Retail'!L18-Interruptible!L17-LM!L17</f>
        <v>1602</v>
      </c>
      <c r="M17" s="3">
        <f>'Total Retail'!M18-Interruptible!M17-LM!M17</f>
        <v>1817</v>
      </c>
      <c r="N17" s="3"/>
      <c r="P17" s="9" t="s">
        <v>31</v>
      </c>
      <c r="Q17" s="93">
        <f t="shared" si="0"/>
        <v>2067</v>
      </c>
      <c r="R17" s="89">
        <f t="shared" si="1"/>
        <v>1855</v>
      </c>
      <c r="S17" s="12">
        <f t="shared" si="2"/>
        <v>2067</v>
      </c>
      <c r="T17" s="13">
        <f t="shared" si="3"/>
        <v>1997</v>
      </c>
      <c r="U17" s="46"/>
      <c r="V17" s="41"/>
      <c r="X17" s="68"/>
      <c r="Y17" s="68"/>
    </row>
    <row r="18" spans="1:25" ht="15" customHeight="1">
      <c r="A18" s="3">
        <f>'Instant Old no Delete'!A19</f>
        <v>1985</v>
      </c>
      <c r="B18" s="9">
        <f>'Total Retail'!B19-Interruptible!B18-LM!B18</f>
        <v>2500</v>
      </c>
      <c r="C18" s="3">
        <f>'Total Retail'!C19-Interruptible!C18-LM!C18</f>
        <v>1956</v>
      </c>
      <c r="D18" s="3">
        <f>'Total Retail'!D19-Interruptible!D18-LM!D18</f>
        <v>1520</v>
      </c>
      <c r="E18" s="3">
        <f>'Total Retail'!E19-Interruptible!E18-LM!E18</f>
        <v>1477</v>
      </c>
      <c r="F18" s="3">
        <f>'Total Retail'!F19-Interruptible!F18-LM!F18</f>
        <v>1891</v>
      </c>
      <c r="G18" s="3">
        <f>'Total Retail'!G19-Interruptible!G18-LM!G18</f>
        <v>2089</v>
      </c>
      <c r="H18" s="3">
        <f>'Total Retail'!H19-Interruptible!H18-LM!H18</f>
        <v>1916</v>
      </c>
      <c r="I18" s="3">
        <f>'Total Retail'!I19-Interruptible!I18-LM!I18</f>
        <v>1871</v>
      </c>
      <c r="J18" s="3">
        <f>'Total Retail'!J19-Interruptible!J18-LM!J18</f>
        <v>1878</v>
      </c>
      <c r="K18" s="3">
        <f>'Total Retail'!K19-Interruptible!K18-LM!K18</f>
        <v>1803</v>
      </c>
      <c r="L18" s="3">
        <f>'Total Retail'!L19-Interruptible!L18-LM!L18</f>
        <v>1532</v>
      </c>
      <c r="M18" s="3">
        <f>'Total Retail'!M19-Interruptible!M18-LM!M18</f>
        <v>2119</v>
      </c>
      <c r="N18" s="3"/>
      <c r="P18" s="9" t="s">
        <v>32</v>
      </c>
      <c r="Q18" s="26">
        <f t="shared" si="0"/>
        <v>2500</v>
      </c>
      <c r="R18" s="89">
        <f t="shared" si="1"/>
        <v>2089</v>
      </c>
      <c r="S18" s="12">
        <f t="shared" si="2"/>
        <v>1817</v>
      </c>
      <c r="T18" s="13">
        <f t="shared" si="3"/>
        <v>2500</v>
      </c>
      <c r="U18" s="46"/>
      <c r="V18" s="92"/>
      <c r="X18" s="68"/>
      <c r="Y18" s="68"/>
    </row>
    <row r="19" spans="1:25" ht="15" customHeight="1">
      <c r="A19" s="3">
        <f>'Instant Old no Delete'!A20</f>
        <v>1986</v>
      </c>
      <c r="B19" s="9">
        <f>'Total Retail'!B20-Interruptible!B19-LM!B19</f>
        <v>2358</v>
      </c>
      <c r="C19" s="3">
        <f>'Total Retail'!C20-Interruptible!C19-LM!C19</f>
        <v>1870</v>
      </c>
      <c r="D19" s="3">
        <f>'Total Retail'!D20-Interruptible!D19-LM!D19</f>
        <v>1696</v>
      </c>
      <c r="E19" s="3">
        <f>'Total Retail'!E20-Interruptible!E19-LM!E19</f>
        <v>1526</v>
      </c>
      <c r="F19" s="3">
        <f>'Total Retail'!F20-Interruptible!F19-LM!F19</f>
        <v>1867</v>
      </c>
      <c r="G19" s="3">
        <f>'Total Retail'!G20-Interruptible!G19-LM!G19</f>
        <v>1879</v>
      </c>
      <c r="H19" s="3">
        <f>'Total Retail'!H20-Interruptible!H19-LM!H19</f>
        <v>1945</v>
      </c>
      <c r="I19" s="3">
        <f>'Total Retail'!I20-Interruptible!I19-LM!I19</f>
        <v>2012</v>
      </c>
      <c r="J19" s="3">
        <f>'Total Retail'!J20-Interruptible!J19-LM!J19</f>
        <v>1913</v>
      </c>
      <c r="K19" s="3">
        <f>'Total Retail'!K20-Interruptible!K19-LM!K19</f>
        <v>1939</v>
      </c>
      <c r="L19" s="3">
        <f>'Total Retail'!L20-Interruptible!L19-LM!L19</f>
        <v>1621</v>
      </c>
      <c r="M19" s="3">
        <f>'Total Retail'!M20-Interruptible!M19-LM!M19</f>
        <v>1489</v>
      </c>
      <c r="N19" s="3"/>
      <c r="P19" s="9" t="s">
        <v>33</v>
      </c>
      <c r="Q19" s="26">
        <f t="shared" si="0"/>
        <v>2358</v>
      </c>
      <c r="R19" s="94">
        <f t="shared" si="1"/>
        <v>2012</v>
      </c>
      <c r="S19" s="12">
        <f t="shared" si="2"/>
        <v>2119</v>
      </c>
      <c r="T19" s="13">
        <f t="shared" si="3"/>
        <v>2358</v>
      </c>
      <c r="U19" s="46"/>
      <c r="V19" s="13"/>
      <c r="X19" s="68"/>
      <c r="Y19" s="68"/>
    </row>
    <row r="20" spans="1:25" ht="15" customHeight="1">
      <c r="A20" s="3">
        <f>'Instant Old no Delete'!A21</f>
        <v>1987</v>
      </c>
      <c r="B20" s="9">
        <f>'Total Retail'!B21-Interruptible!B20-LM!B20</f>
        <v>1916</v>
      </c>
      <c r="C20" s="3">
        <f>'Total Retail'!C21-Interruptible!C20-LM!C20</f>
        <v>2036</v>
      </c>
      <c r="D20" s="3">
        <f>'Total Retail'!D21-Interruptible!D20-LM!D20</f>
        <v>1515</v>
      </c>
      <c r="E20" s="3">
        <f>'Total Retail'!E21-Interruptible!E20-LM!E20</f>
        <v>1654</v>
      </c>
      <c r="F20" s="3">
        <f>'Total Retail'!F21-Interruptible!F20-LM!F20</f>
        <v>1751</v>
      </c>
      <c r="G20" s="3">
        <f>'Total Retail'!G21-Interruptible!G20-LM!G20</f>
        <v>1990</v>
      </c>
      <c r="H20" s="3">
        <f>'Total Retail'!H21-Interruptible!H20-LM!H20</f>
        <v>2080</v>
      </c>
      <c r="I20" s="3">
        <f>'Total Retail'!I21-Interruptible!I20-LM!I20</f>
        <v>2099</v>
      </c>
      <c r="J20" s="3">
        <f>'Total Retail'!J21-Interruptible!J20-LM!J20</f>
        <v>2032</v>
      </c>
      <c r="K20" s="3">
        <f>'Total Retail'!K21-Interruptible!K20-LM!K20</f>
        <v>1651</v>
      </c>
      <c r="L20" s="3">
        <f>'Total Retail'!L21-Interruptible!L20-LM!L20</f>
        <v>1479</v>
      </c>
      <c r="M20" s="3">
        <f>'Total Retail'!M21-Interruptible!M20-LM!M20</f>
        <v>1936</v>
      </c>
      <c r="N20" s="3"/>
      <c r="P20" s="9" t="s">
        <v>34</v>
      </c>
      <c r="Q20" s="26">
        <f t="shared" si="0"/>
        <v>2036</v>
      </c>
      <c r="R20" s="89">
        <f t="shared" si="1"/>
        <v>2099</v>
      </c>
      <c r="S20" s="12">
        <f t="shared" si="2"/>
        <v>1621</v>
      </c>
      <c r="T20" s="13">
        <f t="shared" si="3"/>
        <v>2036</v>
      </c>
      <c r="U20" s="95"/>
      <c r="V20" s="13"/>
      <c r="X20" s="68"/>
      <c r="Y20" s="68"/>
    </row>
    <row r="21" spans="1:25" ht="15" customHeight="1">
      <c r="A21" s="3">
        <f>'Instant Old no Delete'!A22</f>
        <v>1988</v>
      </c>
      <c r="B21" s="9">
        <f>'Total Retail'!B22-Interruptible!B21-LM!B21</f>
        <v>2301</v>
      </c>
      <c r="C21" s="3">
        <f>'Total Retail'!C22-Interruptible!C21-LM!C21</f>
        <v>1948</v>
      </c>
      <c r="D21" s="3">
        <f>'Total Retail'!D22-Interruptible!D21-LM!D21</f>
        <v>1933</v>
      </c>
      <c r="E21" s="3">
        <f>'Total Retail'!E22-Interruptible!E21-LM!E21</f>
        <v>1739</v>
      </c>
      <c r="F21" s="3">
        <f>'Total Retail'!F22-Interruptible!F21-LM!F21</f>
        <v>1992</v>
      </c>
      <c r="G21" s="3">
        <f>'Total Retail'!G22-Interruptible!G21-LM!G21</f>
        <v>2076</v>
      </c>
      <c r="H21" s="3">
        <f>'Total Retail'!H22-Interruptible!H21-LM!H21</f>
        <v>2179</v>
      </c>
      <c r="I21" s="3">
        <f>'Total Retail'!I22-Interruptible!I21-LM!I21</f>
        <v>2135</v>
      </c>
      <c r="J21" s="3">
        <f>'Total Retail'!J22-Interruptible!J21-LM!J21</f>
        <v>2063</v>
      </c>
      <c r="K21" s="3">
        <f>'Total Retail'!K22-Interruptible!K21-LM!K21</f>
        <v>1812</v>
      </c>
      <c r="L21" s="3">
        <f>'Total Retail'!L22-Interruptible!L21-LM!L21</f>
        <v>1654</v>
      </c>
      <c r="M21" s="3">
        <f>'Total Retail'!M22-Interruptible!M21-LM!M21</f>
        <v>2270</v>
      </c>
      <c r="N21" s="3"/>
      <c r="P21" s="9" t="s">
        <v>35</v>
      </c>
      <c r="Q21" s="26">
        <f t="shared" si="0"/>
        <v>2301</v>
      </c>
      <c r="R21" s="89">
        <f t="shared" si="1"/>
        <v>2179</v>
      </c>
      <c r="S21" s="12">
        <f t="shared" si="2"/>
        <v>1936</v>
      </c>
      <c r="T21" s="13">
        <f t="shared" si="3"/>
        <v>2301</v>
      </c>
      <c r="U21" s="12"/>
      <c r="V21" s="13"/>
      <c r="X21" s="68"/>
      <c r="Y21" s="68"/>
    </row>
    <row r="22" spans="1:25" ht="15" customHeight="1">
      <c r="A22" s="3">
        <f>'Instant Old no Delete'!A23</f>
        <v>1989</v>
      </c>
      <c r="B22" s="9">
        <f>'Total Retail'!B23-Interruptible!B22-LM!B22</f>
        <v>1622</v>
      </c>
      <c r="C22" s="3">
        <f>'Total Retail'!C23-Interruptible!C22-LM!C22</f>
        <v>2214</v>
      </c>
      <c r="D22" s="3">
        <f>'Total Retail'!D23-Interruptible!D22-LM!D22</f>
        <v>1774</v>
      </c>
      <c r="E22" s="3">
        <f>'Total Retail'!E23-Interruptible!E22-LM!E22</f>
        <v>1747</v>
      </c>
      <c r="F22" s="3">
        <f>'Total Retail'!F23-Interruptible!F22-LM!F22</f>
        <v>2070</v>
      </c>
      <c r="G22" s="3">
        <f>'Total Retail'!G23-Interruptible!G22-LM!G22</f>
        <v>2159</v>
      </c>
      <c r="H22" s="3">
        <f>'Total Retail'!H23-Interruptible!H22-LM!H22</f>
        <v>2188</v>
      </c>
      <c r="I22" s="3">
        <f>'Total Retail'!I23-Interruptible!I22-LM!I22</f>
        <v>2217</v>
      </c>
      <c r="J22" s="3">
        <f>'Total Retail'!J23-Interruptible!J22-LM!J22</f>
        <v>2127</v>
      </c>
      <c r="K22" s="3">
        <f>'Total Retail'!K23-Interruptible!K22-LM!K22</f>
        <v>1978</v>
      </c>
      <c r="L22" s="3">
        <f>'Total Retail'!L23-Interruptible!L22-LM!L22</f>
        <v>1700</v>
      </c>
      <c r="M22" s="3">
        <f>'Total Retail'!M23-Interruptible!M22-LM!M22</f>
        <v>2417</v>
      </c>
      <c r="N22" s="3"/>
      <c r="P22" s="9" t="s">
        <v>36</v>
      </c>
      <c r="Q22" s="93">
        <f t="shared" si="0"/>
        <v>2270</v>
      </c>
      <c r="R22" s="89">
        <f t="shared" si="1"/>
        <v>2217</v>
      </c>
      <c r="S22" s="12">
        <f t="shared" si="2"/>
        <v>2270</v>
      </c>
      <c r="T22" s="13">
        <f t="shared" si="3"/>
        <v>2214</v>
      </c>
      <c r="U22" s="12"/>
      <c r="V22" s="13"/>
      <c r="X22" s="68"/>
      <c r="Y22" s="68"/>
    </row>
    <row r="23" spans="1:25" ht="15" customHeight="1">
      <c r="A23" s="3">
        <f>'Instant Old no Delete'!A24</f>
        <v>1990</v>
      </c>
      <c r="B23" s="9">
        <f>'Total Retail'!B24-Interruptible!B23-LM!B23</f>
        <v>1772</v>
      </c>
      <c r="C23" s="3">
        <f>'Total Retail'!C24-Interruptible!C23-LM!C23</f>
        <v>1595</v>
      </c>
      <c r="D23" s="3">
        <f>'Total Retail'!D24-Interruptible!D23-LM!D23</f>
        <v>1644</v>
      </c>
      <c r="E23" s="3">
        <f>'Total Retail'!E24-Interruptible!E23-LM!E23</f>
        <v>1930</v>
      </c>
      <c r="F23" s="3">
        <f>'Total Retail'!F24-Interruptible!F23-LM!F23</f>
        <v>2135</v>
      </c>
      <c r="G23" s="3">
        <f>'Total Retail'!G24-Interruptible!G23-LM!G23</f>
        <v>2248</v>
      </c>
      <c r="H23" s="3">
        <f>'Total Retail'!H24-Interruptible!H23-LM!H23</f>
        <v>2199</v>
      </c>
      <c r="I23" s="3">
        <f>'Total Retail'!I24-Interruptible!I23-LM!I23</f>
        <v>2279</v>
      </c>
      <c r="J23" s="3">
        <f>'Total Retail'!J24-Interruptible!J23-LM!J23</f>
        <v>2196</v>
      </c>
      <c r="K23" s="3">
        <f>'Total Retail'!K24-Interruptible!K23-LM!K23</f>
        <v>2187</v>
      </c>
      <c r="L23" s="3">
        <f>'Total Retail'!L24-Interruptible!L23-LM!L23</f>
        <v>1753</v>
      </c>
      <c r="M23" s="3">
        <f>'Total Retail'!M24-Interruptible!M23-LM!M23</f>
        <v>1859</v>
      </c>
      <c r="N23" s="3"/>
      <c r="P23" s="9" t="s">
        <v>37</v>
      </c>
      <c r="Q23" s="26">
        <f t="shared" si="0"/>
        <v>2417</v>
      </c>
      <c r="R23" s="94">
        <f t="shared" si="1"/>
        <v>2279</v>
      </c>
      <c r="S23" s="12">
        <f t="shared" si="2"/>
        <v>2417</v>
      </c>
      <c r="T23" s="13">
        <f t="shared" si="3"/>
        <v>1772</v>
      </c>
      <c r="U23" s="12"/>
      <c r="V23" s="13"/>
      <c r="X23" s="68"/>
      <c r="Y23" s="68"/>
    </row>
    <row r="24" spans="1:25" ht="15" customHeight="1">
      <c r="A24" s="3">
        <f>'Instant Old no Delete'!A25</f>
        <v>1991</v>
      </c>
      <c r="B24" s="9">
        <f>'Total Retail'!B25-Interruptible!B24-LM!B24</f>
        <v>1933</v>
      </c>
      <c r="C24" s="3">
        <f>'Total Retail'!C25-Interruptible!C24-LM!C24</f>
        <v>2056</v>
      </c>
      <c r="D24" s="3">
        <f>'Total Retail'!D25-Interruptible!D24-LM!D24</f>
        <v>1901</v>
      </c>
      <c r="E24" s="3">
        <f>'Total Retail'!E25-Interruptible!E24-LM!E24</f>
        <v>2165</v>
      </c>
      <c r="F24" s="3">
        <f>'Total Retail'!F25-Interruptible!F24-LM!F24</f>
        <v>2120</v>
      </c>
      <c r="G24" s="3">
        <f>'Total Retail'!G25-Interruptible!G24-LM!G24</f>
        <v>2173</v>
      </c>
      <c r="H24" s="3">
        <f>'Total Retail'!H25-Interruptible!H24-LM!H24</f>
        <v>2317</v>
      </c>
      <c r="I24" s="3">
        <f>'Total Retail'!I25-Interruptible!I24-LM!I24</f>
        <v>2341</v>
      </c>
      <c r="J24" s="3">
        <f>'Total Retail'!J25-Interruptible!J24-LM!J24</f>
        <v>2321</v>
      </c>
      <c r="K24" s="3">
        <f>'Total Retail'!K25-Interruptible!K24-LM!K24</f>
        <v>2042</v>
      </c>
      <c r="L24" s="3">
        <f>'Total Retail'!L25-Interruptible!L24-LM!L24</f>
        <v>2005</v>
      </c>
      <c r="M24" s="3">
        <f>'Total Retail'!M25-Interruptible!M24-LM!M24</f>
        <v>2007</v>
      </c>
      <c r="N24" s="3"/>
      <c r="P24" s="9" t="s">
        <v>38</v>
      </c>
      <c r="Q24" s="26">
        <f t="shared" si="0"/>
        <v>2056</v>
      </c>
      <c r="R24" s="89">
        <f t="shared" si="1"/>
        <v>2341</v>
      </c>
      <c r="S24" s="12">
        <f t="shared" si="2"/>
        <v>1859</v>
      </c>
      <c r="T24" s="13">
        <f t="shared" si="3"/>
        <v>2056</v>
      </c>
      <c r="U24" s="12"/>
      <c r="V24" s="13"/>
      <c r="X24" s="68"/>
      <c r="Y24" s="68"/>
    </row>
    <row r="25" spans="1:25" ht="15" customHeight="1">
      <c r="A25" s="3">
        <f>'Instant Old no Delete'!A26</f>
        <v>1992</v>
      </c>
      <c r="B25" s="9">
        <f>'Total Retail'!B26-Interruptible!B25-LM!B25</f>
        <v>2316</v>
      </c>
      <c r="C25" s="3">
        <f>'Total Retail'!C26-Interruptible!C25-LM!C25</f>
        <v>1733</v>
      </c>
      <c r="D25" s="3">
        <f>'Total Retail'!D26-Interruptible!D25-LM!D25</f>
        <v>1730</v>
      </c>
      <c r="E25" s="3">
        <f>'Total Retail'!E26-Interruptible!E25-LM!E25</f>
        <v>1793</v>
      </c>
      <c r="F25" s="3">
        <f>'Total Retail'!F26-Interruptible!F25-LM!F25</f>
        <v>2010</v>
      </c>
      <c r="G25" s="3">
        <f>'Total Retail'!G26-Interruptible!G25-LM!G25</f>
        <v>2280</v>
      </c>
      <c r="H25" s="3">
        <f>'Total Retail'!H26-Interruptible!H25-LM!H25</f>
        <v>2397</v>
      </c>
      <c r="I25" s="3">
        <f>'Total Retail'!I26-Interruptible!I25-LM!I25</f>
        <v>2349</v>
      </c>
      <c r="J25" s="3">
        <f>'Total Retail'!J26-Interruptible!J25-LM!J25</f>
        <v>2259</v>
      </c>
      <c r="K25" s="3">
        <f>'Total Retail'!K26-Interruptible!K25-LM!K25</f>
        <v>1925</v>
      </c>
      <c r="L25" s="3">
        <f>'Total Retail'!L26-Interruptible!L25-LM!L25</f>
        <v>1947</v>
      </c>
      <c r="M25" s="3">
        <f>'Total Retail'!M26-Interruptible!M25-LM!M25</f>
        <v>1831</v>
      </c>
      <c r="N25" s="3"/>
      <c r="P25" s="9" t="s">
        <v>39</v>
      </c>
      <c r="Q25" s="26">
        <f t="shared" si="0"/>
        <v>2316</v>
      </c>
      <c r="R25" s="89">
        <f t="shared" si="1"/>
        <v>2397</v>
      </c>
      <c r="S25" s="12">
        <f t="shared" si="2"/>
        <v>2007</v>
      </c>
      <c r="T25" s="13">
        <f t="shared" si="3"/>
        <v>2316</v>
      </c>
      <c r="U25" s="12"/>
      <c r="V25" s="13"/>
      <c r="X25" s="68"/>
      <c r="Y25" s="68"/>
    </row>
    <row r="26" spans="1:25" ht="15" customHeight="1">
      <c r="A26" s="3">
        <f>'Instant Old no Delete'!A27</f>
        <v>1993</v>
      </c>
      <c r="B26" s="9">
        <f>'Total Retail'!B27-Interruptible!B26-LM!B26</f>
        <v>1949</v>
      </c>
      <c r="C26" s="3">
        <f>'Total Retail'!C27-Interruptible!C26-LM!C26</f>
        <v>2050</v>
      </c>
      <c r="D26" s="3">
        <f>'Total Retail'!D27-Interruptible!D26-LM!D26</f>
        <v>2370</v>
      </c>
      <c r="E26" s="3">
        <f>'Total Retail'!E27-Interruptible!E26-LM!E26</f>
        <v>1674</v>
      </c>
      <c r="F26" s="3">
        <f>'Total Retail'!F27-Interruptible!F26-LM!F26</f>
        <v>2024</v>
      </c>
      <c r="G26" s="3">
        <f>'Total Retail'!G27-Interruptible!G26-LM!G26</f>
        <v>2411</v>
      </c>
      <c r="H26" s="3">
        <f>'Total Retail'!H27-Interruptible!H26-LM!H26</f>
        <v>2458</v>
      </c>
      <c r="I26" s="3">
        <f>'Total Retail'!I27-Interruptible!I26-LM!I26</f>
        <v>2528</v>
      </c>
      <c r="J26" s="3">
        <f>'Total Retail'!J27-Interruptible!J26-LM!J26</f>
        <v>2359</v>
      </c>
      <c r="K26" s="3">
        <f>'Total Retail'!K27-Interruptible!K26-LM!K26</f>
        <v>2154</v>
      </c>
      <c r="L26" s="3">
        <f>'Total Retail'!L27-Interruptible!L26-LM!L26</f>
        <v>1945</v>
      </c>
      <c r="M26" s="3">
        <f>'Total Retail'!M27-Interruptible!M26-LM!M26</f>
        <v>2207</v>
      </c>
      <c r="N26" s="3"/>
      <c r="P26" s="9" t="s">
        <v>40</v>
      </c>
      <c r="Q26" s="26">
        <f t="shared" si="0"/>
        <v>2370</v>
      </c>
      <c r="R26" s="89">
        <f t="shared" si="1"/>
        <v>2528</v>
      </c>
      <c r="S26" s="12">
        <f t="shared" si="2"/>
        <v>1947</v>
      </c>
      <c r="T26" s="13">
        <f t="shared" si="3"/>
        <v>2370</v>
      </c>
      <c r="U26" s="12"/>
      <c r="V26" s="13"/>
      <c r="X26" s="68"/>
      <c r="Y26" s="68"/>
    </row>
    <row r="27" spans="1:25" ht="15" customHeight="1">
      <c r="A27" s="3">
        <f>'Instant Old no Delete'!A28</f>
        <v>1994</v>
      </c>
      <c r="B27" s="9">
        <f>'Total Retail'!B28-Interruptible!B27-LM!B27</f>
        <v>2238</v>
      </c>
      <c r="C27" s="3">
        <f>'Total Retail'!C28-Interruptible!C27-LM!C27</f>
        <v>2303</v>
      </c>
      <c r="D27" s="3">
        <f>'Total Retail'!D28-Interruptible!D27-LM!D27</f>
        <v>2058</v>
      </c>
      <c r="E27" s="3">
        <f>'Total Retail'!E28-Interruptible!E27-LM!E27</f>
        <v>2076</v>
      </c>
      <c r="F27" s="3">
        <f>'Total Retail'!F28-Interruptible!F27-LM!F27</f>
        <v>2274</v>
      </c>
      <c r="G27" s="3">
        <f>'Total Retail'!G28-Interruptible!G27-LM!G27</f>
        <v>2449</v>
      </c>
      <c r="H27" s="3">
        <f>'Total Retail'!H28-Interruptible!H27-LM!H27</f>
        <v>2369</v>
      </c>
      <c r="I27" s="3">
        <f>'Total Retail'!I28-Interruptible!I27-LM!I27</f>
        <v>2342</v>
      </c>
      <c r="J27" s="3">
        <f>'Total Retail'!J28-Interruptible!J27-LM!J27</f>
        <v>2341</v>
      </c>
      <c r="K27" s="3">
        <f>'Total Retail'!K28-Interruptible!K27-LM!K27</f>
        <v>2126</v>
      </c>
      <c r="L27" s="3">
        <f>'Total Retail'!L28-Interruptible!L27-LM!L27</f>
        <v>1959</v>
      </c>
      <c r="M27" s="3">
        <f>'Total Retail'!M28-Interruptible!M27-LM!M27</f>
        <v>1777</v>
      </c>
      <c r="N27" s="3"/>
      <c r="P27" s="9" t="s">
        <v>41</v>
      </c>
      <c r="Q27" s="26">
        <f t="shared" si="0"/>
        <v>2303</v>
      </c>
      <c r="R27" s="89">
        <f t="shared" si="1"/>
        <v>2449</v>
      </c>
      <c r="S27" s="12">
        <f t="shared" si="2"/>
        <v>2207</v>
      </c>
      <c r="T27" s="13">
        <f t="shared" si="3"/>
        <v>2303</v>
      </c>
      <c r="U27" s="12"/>
      <c r="V27" s="13"/>
      <c r="W27" s="250"/>
      <c r="X27" s="251" t="s">
        <v>276</v>
      </c>
      <c r="Y27" s="251"/>
    </row>
    <row r="28" spans="1:25" ht="15" customHeight="1">
      <c r="A28" s="3">
        <f>'Instant Old no Delete'!A29</f>
        <v>1995</v>
      </c>
      <c r="B28" s="9">
        <f>'Total Retail'!B29-Interruptible!B28-LM!B28</f>
        <v>2369</v>
      </c>
      <c r="C28" s="21">
        <f>'Total Retail'!C29-Interruptible!C28-LM!C28</f>
        <v>2695</v>
      </c>
      <c r="D28" s="3">
        <f>'Total Retail'!D29-Interruptible!D28-LM!D28</f>
        <v>1751</v>
      </c>
      <c r="E28" s="3">
        <f>'Total Retail'!E29-Interruptible!E28-LM!E28</f>
        <v>2202</v>
      </c>
      <c r="F28" s="3">
        <f>'Total Retail'!F29-Interruptible!F28-LM!F28</f>
        <v>2514</v>
      </c>
      <c r="G28" s="3">
        <f>'Total Retail'!G29-Interruptible!G28-LM!G28</f>
        <v>2532</v>
      </c>
      <c r="H28" s="3">
        <f>'Total Retail'!H29-Interruptible!H28-LM!H28</f>
        <v>2595</v>
      </c>
      <c r="I28" s="22">
        <f>'Total Retail'!I29-Interruptible!I28-LM!I28</f>
        <v>2624</v>
      </c>
      <c r="J28" s="3">
        <f>'Total Retail'!J29-Interruptible!J28-LM!J28</f>
        <v>2507</v>
      </c>
      <c r="K28" s="3">
        <f>'Total Retail'!K29-Interruptible!K28-LM!K28</f>
        <v>2338</v>
      </c>
      <c r="L28" s="3">
        <f>'Total Retail'!L29-Interruptible!L28-LM!L28</f>
        <v>2137</v>
      </c>
      <c r="M28" s="3">
        <f>'Total Retail'!M29-Interruptible!M28-LM!M28</f>
        <v>2255</v>
      </c>
      <c r="N28" s="3"/>
      <c r="P28" s="9" t="s">
        <v>42</v>
      </c>
      <c r="Q28" s="26">
        <f t="shared" si="0"/>
        <v>2695</v>
      </c>
      <c r="R28" s="89">
        <f t="shared" si="1"/>
        <v>2624</v>
      </c>
      <c r="S28" s="12">
        <f t="shared" si="2"/>
        <v>1959</v>
      </c>
      <c r="T28" s="13">
        <f t="shared" si="3"/>
        <v>2695</v>
      </c>
      <c r="U28" s="12"/>
      <c r="V28" s="13"/>
      <c r="W28" s="250">
        <v>1995</v>
      </c>
      <c r="X28" s="251">
        <f>+'Total Retail'!R29-Interruptible!Q28-LM!Q28-Q28</f>
        <v>0</v>
      </c>
      <c r="Y28" s="251">
        <f>+'Total Retail'!S29-Interruptible!S28-LM!S28-'Firm Calculated'!R28</f>
        <v>0</v>
      </c>
    </row>
    <row r="29" spans="1:25" ht="15" customHeight="1">
      <c r="A29" s="3">
        <f>'Instant Old no Delete'!A30</f>
        <v>1996</v>
      </c>
      <c r="B29" s="9">
        <f>'Total Retail'!B30-Interruptible!B29-LM!B29</f>
        <v>2870</v>
      </c>
      <c r="C29" s="21">
        <f>'Total Retail'!C30-Interruptible!C29-LM!C29</f>
        <v>2946</v>
      </c>
      <c r="D29" s="3">
        <f>'Total Retail'!D30-Interruptible!D29-LM!D29</f>
        <v>2296</v>
      </c>
      <c r="E29" s="3">
        <f>'Total Retail'!E30-Interruptible!E29-LM!E29</f>
        <v>2210</v>
      </c>
      <c r="F29" s="3">
        <f>'Total Retail'!F30-Interruptible!F29-LM!F29</f>
        <v>2406</v>
      </c>
      <c r="G29" s="3">
        <f>'Total Retail'!G30-Interruptible!G29-LM!G29</f>
        <v>2515</v>
      </c>
      <c r="H29" s="22">
        <f>'Total Retail'!H30-Interruptible!H29-LM!H29</f>
        <v>2647</v>
      </c>
      <c r="I29" s="3">
        <f>'Total Retail'!I30-Interruptible!I29-LM!I29</f>
        <v>2579</v>
      </c>
      <c r="J29" s="3">
        <f>'Total Retail'!J30-Interruptible!J29-LM!J29</f>
        <v>2638</v>
      </c>
      <c r="K29" s="3">
        <f>'Total Retail'!K30-Interruptible!K29-LM!K29</f>
        <v>2369</v>
      </c>
      <c r="L29" s="3">
        <f>'Total Retail'!L30-Interruptible!L29-LM!L29</f>
        <v>2151</v>
      </c>
      <c r="M29" s="3">
        <f>'Total Retail'!M30-Interruptible!M29-LM!M29</f>
        <v>2541</v>
      </c>
      <c r="N29" s="3"/>
      <c r="P29" s="9" t="s">
        <v>43</v>
      </c>
      <c r="Q29" s="26">
        <f t="shared" si="0"/>
        <v>2946</v>
      </c>
      <c r="R29" s="89">
        <f t="shared" si="1"/>
        <v>2647</v>
      </c>
      <c r="S29" s="12">
        <f t="shared" si="2"/>
        <v>2255</v>
      </c>
      <c r="T29" s="13">
        <f t="shared" si="3"/>
        <v>2946</v>
      </c>
      <c r="U29" s="9"/>
      <c r="V29" s="13"/>
      <c r="W29" s="250">
        <f>+W28+1</f>
        <v>1996</v>
      </c>
      <c r="X29" s="251">
        <f>+'Total Retail'!R30-Interruptible!Q29-LM!Q29-Q29</f>
        <v>0</v>
      </c>
      <c r="Y29" s="251">
        <f>+'Total Retail'!S30-Interruptible!S29-LM!S29-'Firm Calculated'!R29</f>
        <v>0</v>
      </c>
    </row>
    <row r="30" spans="1:25" ht="15" customHeight="1">
      <c r="A30" s="3">
        <f>'Instant Old no Delete'!A31</f>
        <v>1997</v>
      </c>
      <c r="B30" s="27">
        <f>'Total Retail'!B31-Interruptible!B30-LM!B30</f>
        <v>2719</v>
      </c>
      <c r="C30" s="3">
        <f>'Total Retail'!C31-Interruptible!C30-LM!C30</f>
        <v>1989</v>
      </c>
      <c r="D30" s="3">
        <f>'Total Retail'!D31-Interruptible!D30-LM!D30</f>
        <v>2054</v>
      </c>
      <c r="E30" s="3">
        <f>'Total Retail'!E31-Interruptible!E30-LM!E30</f>
        <v>2109</v>
      </c>
      <c r="F30" s="3">
        <f>'Total Retail'!F31-Interruptible!F30-LM!F30</f>
        <v>2670</v>
      </c>
      <c r="G30" s="3">
        <f>'Total Retail'!G31-Interruptible!G30-LM!G30</f>
        <v>2669</v>
      </c>
      <c r="H30" s="22">
        <f>'Total Retail'!H31-Interruptible!H30-LM!H30</f>
        <v>2677</v>
      </c>
      <c r="I30" s="3">
        <f>'Total Retail'!I31-Interruptible!I30-LM!I30</f>
        <v>2649</v>
      </c>
      <c r="J30" s="3">
        <f>'Total Retail'!J31-Interruptible!J30-LM!J30</f>
        <v>2607</v>
      </c>
      <c r="K30" s="3">
        <f>'Total Retail'!K31-Interruptible!K30-LM!K30</f>
        <v>2452</v>
      </c>
      <c r="L30" s="3">
        <f>'Total Retail'!L31-Interruptible!L30-LM!L30</f>
        <v>1808</v>
      </c>
      <c r="M30" s="3">
        <f>'Total Retail'!M31-Interruptible!M30-LM!M30</f>
        <v>2175</v>
      </c>
      <c r="P30" s="9" t="s">
        <v>44</v>
      </c>
      <c r="Q30" s="26">
        <f t="shared" si="0"/>
        <v>2719</v>
      </c>
      <c r="R30" s="89">
        <f t="shared" si="1"/>
        <v>2677</v>
      </c>
      <c r="S30" s="12">
        <f t="shared" si="2"/>
        <v>2541</v>
      </c>
      <c r="T30" s="13">
        <f t="shared" si="3"/>
        <v>2719</v>
      </c>
      <c r="U30" s="12"/>
      <c r="V30" s="13"/>
      <c r="W30" s="250">
        <f t="shared" ref="W30:W47" si="4">+W29+1</f>
        <v>1997</v>
      </c>
      <c r="X30" s="251">
        <f>+'Total Retail'!R31-Interruptible!Q30-LM!Q30-Q30</f>
        <v>0</v>
      </c>
      <c r="Y30" s="251">
        <f>+'Total Retail'!S31-Interruptible!S30-LM!S30-'Firm Calculated'!R30</f>
        <v>-7</v>
      </c>
    </row>
    <row r="31" spans="1:25" ht="15" customHeight="1">
      <c r="A31" s="3">
        <f>'Instant Old no Delete'!A32</f>
        <v>1998</v>
      </c>
      <c r="B31" s="9">
        <f>'Total Retail'!B32-Interruptible!B31-LM!B31</f>
        <v>2001</v>
      </c>
      <c r="C31" s="3">
        <f>'Total Retail'!C32-Interruptible!C31-LM!C31</f>
        <v>2184</v>
      </c>
      <c r="D31" s="21">
        <f>'Total Retail'!D32-Interruptible!D31-LM!D31</f>
        <v>2332</v>
      </c>
      <c r="E31" s="3">
        <f>'Total Retail'!E32-Interruptible!E31-LM!E31</f>
        <v>2210</v>
      </c>
      <c r="F31" s="3">
        <f>'Total Retail'!F32-Interruptible!F31-LM!F31</f>
        <v>2573</v>
      </c>
      <c r="G31" s="3">
        <f>'Total Retail'!G32-Interruptible!G31-LM!G31</f>
        <v>2834</v>
      </c>
      <c r="H31" s="3">
        <f>'Total Retail'!H32-Interruptible!H31-LM!H31</f>
        <v>2891</v>
      </c>
      <c r="I31" s="22">
        <f>'Total Retail'!I32-Interruptible!I31-LM!I31</f>
        <v>2945</v>
      </c>
      <c r="J31" s="3">
        <f>'Total Retail'!J32-Interruptible!J31-LM!J31</f>
        <v>2688</v>
      </c>
      <c r="K31" s="3">
        <f>'Total Retail'!K32-Interruptible!K31-LM!K31</f>
        <v>2665</v>
      </c>
      <c r="L31" s="3">
        <f>'Total Retail'!L32-Interruptible!L31-LM!L31</f>
        <v>2149</v>
      </c>
      <c r="M31" s="3">
        <f>'Total Retail'!M32-Interruptible!M31-LM!M31</f>
        <v>1978</v>
      </c>
      <c r="N31" s="3"/>
      <c r="P31" s="9" t="s">
        <v>45</v>
      </c>
      <c r="Q31" s="26">
        <f t="shared" si="0"/>
        <v>2332</v>
      </c>
      <c r="R31" s="89">
        <f t="shared" si="1"/>
        <v>2945</v>
      </c>
      <c r="S31" s="12">
        <f t="shared" si="2"/>
        <v>2175</v>
      </c>
      <c r="T31" s="13">
        <f t="shared" si="3"/>
        <v>2332</v>
      </c>
      <c r="U31" s="9"/>
      <c r="V31" s="3"/>
      <c r="W31" s="250">
        <f t="shared" si="4"/>
        <v>1998</v>
      </c>
      <c r="X31" s="251">
        <f>+'Total Retail'!R32-Interruptible!Q31-LM!Q31-Q31</f>
        <v>0</v>
      </c>
      <c r="Y31" s="251">
        <f>+'Total Retail'!S32-Interruptible!S31-LM!S31-'Firm Calculated'!R31</f>
        <v>0</v>
      </c>
    </row>
    <row r="32" spans="1:25" ht="15" customHeight="1">
      <c r="A32" s="3">
        <f>'Instant Old no Delete'!A33</f>
        <v>1999</v>
      </c>
      <c r="B32" s="27">
        <f>'Total Retail'!B33-Interruptible!B32-LM!B32</f>
        <v>2990</v>
      </c>
      <c r="C32" s="3">
        <f>'Total Retail'!C33-Interruptible!C32-LM!C32</f>
        <v>2386</v>
      </c>
      <c r="D32" s="3">
        <f>'Total Retail'!D33-Interruptible!D32-LM!D32</f>
        <v>2082</v>
      </c>
      <c r="E32" s="3">
        <f>'Total Retail'!E33-Interruptible!E32-LM!E32</f>
        <v>2661</v>
      </c>
      <c r="F32" s="3">
        <f>'Total Retail'!F33-Interruptible!F32-LM!F32</f>
        <v>2591</v>
      </c>
      <c r="G32" s="3">
        <f>'Total Retail'!G33-Interruptible!G32-LM!G32</f>
        <v>2712</v>
      </c>
      <c r="H32" s="3">
        <f>'Total Retail'!H33-Interruptible!H32-LM!H32</f>
        <v>2984</v>
      </c>
      <c r="I32" s="22">
        <f>'Total Retail'!I33-Interruptible!I32-LM!I32</f>
        <v>3069</v>
      </c>
      <c r="J32" s="3">
        <f>'Total Retail'!J33-Interruptible!J32-LM!J32</f>
        <v>2742</v>
      </c>
      <c r="K32" s="3">
        <f>'Total Retail'!K33-Interruptible!K32-LM!K32</f>
        <v>2550</v>
      </c>
      <c r="L32" s="3">
        <f>'Total Retail'!L33-Interruptible!L32-LM!L32</f>
        <v>2086</v>
      </c>
      <c r="M32" s="3">
        <f>'Total Retail'!M33-Interruptible!M32-LM!M32</f>
        <v>2250</v>
      </c>
      <c r="N32" s="3"/>
      <c r="P32" s="9" t="s">
        <v>46</v>
      </c>
      <c r="Q32" s="26">
        <f t="shared" ref="Q32:Q47" si="5">MAX(S32:T32)</f>
        <v>2990</v>
      </c>
      <c r="R32" s="89">
        <f t="shared" ref="R32:R47" si="6">MAX(E32:J32)</f>
        <v>3069</v>
      </c>
      <c r="S32" s="12">
        <f t="shared" ref="S32:S47" si="7">MAX(L31:M31)</f>
        <v>2149</v>
      </c>
      <c r="T32" s="13">
        <f t="shared" ref="T32:T47" si="8">MAX(B32:D32)</f>
        <v>2990</v>
      </c>
      <c r="U32" s="9"/>
      <c r="V32" s="3"/>
      <c r="W32" s="250">
        <f t="shared" si="4"/>
        <v>1999</v>
      </c>
      <c r="X32" s="251">
        <f>+'Total Retail'!R33-Interruptible!Q32-LM!Q32-Q32</f>
        <v>0</v>
      </c>
      <c r="Y32" s="251">
        <f>+'Total Retail'!S33-Interruptible!S32-LM!S32-'Firm Calculated'!R32</f>
        <v>0</v>
      </c>
    </row>
    <row r="33" spans="1:25" ht="15" customHeight="1">
      <c r="A33" s="3">
        <f>'Instant Old no Delete'!A34</f>
        <v>2000</v>
      </c>
      <c r="B33" s="27">
        <f>'Total Retail'!B34-Interruptible!B33-LM!B33</f>
        <v>3008</v>
      </c>
      <c r="C33" s="3">
        <f>'Total Retail'!C34-Interruptible!C33-LM!C33</f>
        <v>2533</v>
      </c>
      <c r="D33" s="3">
        <f>'Total Retail'!D34-Interruptible!D33-LM!D33</f>
        <v>2392</v>
      </c>
      <c r="E33" s="3">
        <f>'Total Retail'!E34-Interruptible!E33-LM!E33</f>
        <v>2280</v>
      </c>
      <c r="F33" s="3">
        <f>'Total Retail'!F34-Interruptible!F33-LM!F33</f>
        <v>2847</v>
      </c>
      <c r="G33" s="3">
        <f>'Total Retail'!G34-Interruptible!G33-LM!G33</f>
        <v>2914</v>
      </c>
      <c r="H33" s="22">
        <f>'Total Retail'!H34-Interruptible!H33-LM!H33</f>
        <v>3067</v>
      </c>
      <c r="I33" s="3">
        <f>'Total Retail'!I34-Interruptible!I33-LM!I33</f>
        <v>3028</v>
      </c>
      <c r="J33" s="3">
        <f>'Total Retail'!J34-Interruptible!J33-LM!J33</f>
        <v>2875</v>
      </c>
      <c r="K33" s="3">
        <f>'Total Retail'!K34-Interruptible!K33-LM!K33</f>
        <v>2667</v>
      </c>
      <c r="L33" s="3">
        <f>'Total Retail'!L34-Interruptible!L33-LM!L33</f>
        <v>2298</v>
      </c>
      <c r="M33" s="3">
        <f>'Total Retail'!M34-Interruptible!M33-LM!M33</f>
        <v>2973</v>
      </c>
      <c r="P33" s="9">
        <v>2000</v>
      </c>
      <c r="Q33" s="26">
        <f t="shared" si="5"/>
        <v>3008</v>
      </c>
      <c r="R33" s="89">
        <f t="shared" si="6"/>
        <v>3067</v>
      </c>
      <c r="S33" s="12">
        <f t="shared" si="7"/>
        <v>2250</v>
      </c>
      <c r="T33" s="13">
        <f t="shared" si="8"/>
        <v>3008</v>
      </c>
      <c r="U33" s="12"/>
      <c r="V33" s="3"/>
      <c r="W33" s="250">
        <f t="shared" si="4"/>
        <v>2000</v>
      </c>
      <c r="X33" s="251">
        <f>+'Total Retail'!R34-Interruptible!Q33-LM!Q33-Q33</f>
        <v>0</v>
      </c>
      <c r="Y33" s="251">
        <f>+'Total Retail'!S34-Interruptible!S33-LM!S33-'Firm Calculated'!R33</f>
        <v>-39</v>
      </c>
    </row>
    <row r="34" spans="1:25" ht="15" customHeight="1">
      <c r="A34" s="3">
        <f>'Instant Old no Delete'!A35</f>
        <v>2001</v>
      </c>
      <c r="B34" s="27">
        <f>'Total Retail'!B35-Interruptible!B34-LM!B34</f>
        <v>3407</v>
      </c>
      <c r="C34" s="3">
        <f>'Total Retail'!C35-Interruptible!C34-LM!C34</f>
        <v>2512</v>
      </c>
      <c r="D34" s="3">
        <f>'Total Retail'!D35-Interruptible!D34-LM!D34</f>
        <v>2236</v>
      </c>
      <c r="E34" s="3">
        <f>'Total Retail'!E35-Interruptible!E34-LM!E34</f>
        <v>2581</v>
      </c>
      <c r="F34" s="3">
        <f>'Total Retail'!F35-Interruptible!F34-LM!F34</f>
        <v>2943</v>
      </c>
      <c r="G34" s="3">
        <f>'Total Retail'!G35-Interruptible!G34-LM!G34</f>
        <v>3093</v>
      </c>
      <c r="H34" s="3">
        <f>'Total Retail'!H35-Interruptible!H34-LM!H34</f>
        <v>3105</v>
      </c>
      <c r="I34" s="22">
        <f>'Total Retail'!I35-Interruptible!I34-LM!I34</f>
        <v>3165</v>
      </c>
      <c r="J34" s="3">
        <f>'Total Retail'!J35-Interruptible!J34-LM!J34</f>
        <v>2989</v>
      </c>
      <c r="K34" s="3">
        <f>'Total Retail'!K35-Interruptible!K34-LM!K34</f>
        <v>2755</v>
      </c>
      <c r="L34" s="3">
        <f>'Total Retail'!L35-Interruptible!L34-LM!L34</f>
        <v>2178</v>
      </c>
      <c r="M34" s="3">
        <f>'Total Retail'!M35-Interruptible!M34-LM!M34</f>
        <v>2383</v>
      </c>
      <c r="N34" s="3"/>
      <c r="P34" s="9">
        <f>+P33+1</f>
        <v>2001</v>
      </c>
      <c r="Q34" s="26">
        <f t="shared" si="5"/>
        <v>3407</v>
      </c>
      <c r="R34" s="89">
        <f t="shared" si="6"/>
        <v>3165</v>
      </c>
      <c r="S34" s="12">
        <f t="shared" si="7"/>
        <v>2973</v>
      </c>
      <c r="T34" s="13">
        <f t="shared" si="8"/>
        <v>3407</v>
      </c>
      <c r="U34" s="3"/>
      <c r="V34" s="3"/>
      <c r="W34" s="250">
        <f t="shared" si="4"/>
        <v>2001</v>
      </c>
      <c r="X34" s="251">
        <f>+'Total Retail'!R35-Interruptible!Q34-LM!Q34-Q34</f>
        <v>0</v>
      </c>
      <c r="Y34" s="251">
        <f>+'Total Retail'!S35-Interruptible!S34-LM!S34-'Firm Calculated'!R34</f>
        <v>0</v>
      </c>
    </row>
    <row r="35" spans="1:25" ht="15" customHeight="1">
      <c r="A35" s="3">
        <f>'Instant Old no Delete'!A36</f>
        <v>2002</v>
      </c>
      <c r="B35" s="27">
        <f>'Total Retail'!B36-Interruptible!B35-LM!B35</f>
        <v>3259</v>
      </c>
      <c r="C35" s="3">
        <f>'Total Retail'!C36-Interruptible!C35-LM!C35</f>
        <v>2878</v>
      </c>
      <c r="D35" s="3">
        <f>'Total Retail'!D36-Interruptible!D35-LM!D35</f>
        <v>2694</v>
      </c>
      <c r="E35" s="3">
        <f>'Total Retail'!E36-Interruptible!E35-LM!E35</f>
        <v>2959</v>
      </c>
      <c r="F35" s="3">
        <f>'Total Retail'!F36-Interruptible!F35-LM!F35</f>
        <v>3143</v>
      </c>
      <c r="G35" s="3">
        <f>'Total Retail'!G36-Interruptible!G35-LM!G35</f>
        <v>3216</v>
      </c>
      <c r="H35" s="22">
        <f>'Total Retail'!H36-Interruptible!H35-LM!H35</f>
        <v>3309</v>
      </c>
      <c r="I35" s="3">
        <f>'Total Retail'!I36-Interruptible!I35-LM!I35</f>
        <v>3184</v>
      </c>
      <c r="J35" s="3">
        <f>'Total Retail'!J36-Interruptible!J35-LM!J35</f>
        <v>3197</v>
      </c>
      <c r="K35" s="3">
        <f>'Total Retail'!K36-Interruptible!K35-LM!K35</f>
        <v>3012</v>
      </c>
      <c r="L35" s="3">
        <f>'Total Retail'!L36-Interruptible!L35-LM!L35</f>
        <v>2728</v>
      </c>
      <c r="M35" s="3">
        <f>'Total Retail'!M36-Interruptible!M35-LM!M35</f>
        <v>2677</v>
      </c>
      <c r="N35" s="3"/>
      <c r="P35" s="9">
        <f t="shared" ref="P35:P47" si="9">+P34+1</f>
        <v>2002</v>
      </c>
      <c r="Q35" s="26">
        <f t="shared" si="5"/>
        <v>3259</v>
      </c>
      <c r="R35" s="89">
        <f t="shared" si="6"/>
        <v>3309</v>
      </c>
      <c r="S35" s="12">
        <f t="shared" si="7"/>
        <v>2383</v>
      </c>
      <c r="T35" s="13">
        <f t="shared" si="8"/>
        <v>3259</v>
      </c>
      <c r="U35" s="3"/>
      <c r="V35" s="3"/>
      <c r="W35" s="250">
        <f t="shared" si="4"/>
        <v>2002</v>
      </c>
      <c r="X35" s="251">
        <f>+'Total Retail'!R36-Interruptible!Q35-LM!Q35-Q35</f>
        <v>0</v>
      </c>
      <c r="Y35" s="251">
        <f>+'Total Retail'!S36-Interruptible!S35-LM!S35-'Firm Calculated'!R35</f>
        <v>0</v>
      </c>
    </row>
    <row r="36" spans="1:25" ht="15" customHeight="1">
      <c r="A36" s="3">
        <f>'Instant Old no Delete'!A37</f>
        <v>2003</v>
      </c>
      <c r="B36" s="27">
        <f>'Total Retail'!B37-Interruptible!B36-LM!B36</f>
        <v>3455</v>
      </c>
      <c r="C36" s="3">
        <f>'Total Retail'!C37-Interruptible!C36-LM!C36</f>
        <v>2304</v>
      </c>
      <c r="D36" s="3">
        <f>'Total Retail'!D37-Interruptible!D36-LM!D36</f>
        <v>2828</v>
      </c>
      <c r="E36" s="3">
        <f>'Total Retail'!E37-Interruptible!E36-LM!E36</f>
        <v>2815</v>
      </c>
      <c r="F36" s="3">
        <f>'Total Retail'!F37-Interruptible!F36-LM!F36</f>
        <v>3165</v>
      </c>
      <c r="G36" s="3">
        <f>'Total Retail'!G37-Interruptible!G36-LM!G36</f>
        <v>3183</v>
      </c>
      <c r="H36" s="22">
        <f>'Total Retail'!H37-Interruptible!H36-LM!H36</f>
        <v>3351</v>
      </c>
      <c r="I36" s="3">
        <f>'Total Retail'!I37-Interruptible!I36-LM!I36</f>
        <v>3203</v>
      </c>
      <c r="J36" s="3">
        <f>'Total Retail'!J37-Interruptible!J36-LM!J36</f>
        <v>3154</v>
      </c>
      <c r="K36" s="3">
        <f>'Total Retail'!K37-Interruptible!K36-LM!K36</f>
        <v>3033</v>
      </c>
      <c r="L36" s="3">
        <f>'Total Retail'!L37-Interruptible!L36-LM!L36</f>
        <v>2844</v>
      </c>
      <c r="M36" s="3">
        <f>'Total Retail'!M37-Interruptible!M36-LM!M36</f>
        <v>2777</v>
      </c>
      <c r="N36" s="3"/>
      <c r="P36" s="9">
        <f t="shared" si="9"/>
        <v>2003</v>
      </c>
      <c r="Q36" s="26">
        <f t="shared" si="5"/>
        <v>3455</v>
      </c>
      <c r="R36" s="89">
        <f t="shared" si="6"/>
        <v>3351</v>
      </c>
      <c r="S36" s="12">
        <f t="shared" si="7"/>
        <v>2728</v>
      </c>
      <c r="T36" s="13">
        <f t="shared" si="8"/>
        <v>3455</v>
      </c>
      <c r="U36" s="3"/>
      <c r="V36" s="3"/>
      <c r="W36" s="250">
        <f t="shared" si="4"/>
        <v>2003</v>
      </c>
      <c r="X36" s="251">
        <f>+'Total Retail'!R37-Interruptible!Q36-LM!Q36-Q36</f>
        <v>0</v>
      </c>
      <c r="Y36" s="251">
        <f>+'Total Retail'!S37-Interruptible!S36-LM!S36-'Firm Calculated'!R36</f>
        <v>0</v>
      </c>
    </row>
    <row r="37" spans="1:25" ht="15" customHeight="1">
      <c r="A37" s="184">
        <f>'Instant Old no Delete'!A38</f>
        <v>2004</v>
      </c>
      <c r="B37" s="21">
        <f>'Total Retail'!B38-Interruptible!B37-LM!B37</f>
        <v>2936</v>
      </c>
      <c r="C37" s="3">
        <f>'Total Retail'!C38-Interruptible!C37-LM!C37</f>
        <v>2723</v>
      </c>
      <c r="D37" s="3">
        <f>'Total Retail'!D38-Interruptible!D37-LM!D37</f>
        <v>2285</v>
      </c>
      <c r="E37" s="3">
        <f>'Total Retail'!E38-Interruptible!E37-LM!E37</f>
        <v>2844</v>
      </c>
      <c r="F37" s="3">
        <f>'Total Retail'!F38-Interruptible!F37-LM!F37</f>
        <v>3261</v>
      </c>
      <c r="G37" s="22">
        <f>'Total Retail'!G38-Interruptible!G37-LM!G37</f>
        <v>3445</v>
      </c>
      <c r="H37" s="3">
        <f>'Total Retail'!H38-Interruptible!H37-LM!H37</f>
        <v>3357</v>
      </c>
      <c r="I37" s="3">
        <f>'Total Retail'!I38-Interruptible!I37-LM!I37</f>
        <v>3355</v>
      </c>
      <c r="J37" s="3">
        <f>'Total Retail'!J38-Interruptible!J37-LM!J37</f>
        <v>3290</v>
      </c>
      <c r="K37" s="3">
        <f>'Total Retail'!K38-Interruptible!K37-LM!K37</f>
        <v>3114</v>
      </c>
      <c r="L37" s="3">
        <f>'Total Retail'!L38-Interruptible!L37-LM!L37</f>
        <v>2805</v>
      </c>
      <c r="M37" s="3">
        <f>'Total Retail'!M38-Interruptible!M37-LM!M37</f>
        <v>2917</v>
      </c>
      <c r="N37" s="3"/>
      <c r="P37" s="9">
        <f t="shared" si="9"/>
        <v>2004</v>
      </c>
      <c r="Q37" s="26">
        <f t="shared" si="5"/>
        <v>2936</v>
      </c>
      <c r="R37" s="89">
        <f t="shared" si="6"/>
        <v>3445</v>
      </c>
      <c r="S37" s="12">
        <f t="shared" si="7"/>
        <v>2844</v>
      </c>
      <c r="T37" s="13">
        <f t="shared" si="8"/>
        <v>2936</v>
      </c>
      <c r="U37" s="3"/>
      <c r="V37" s="3"/>
      <c r="W37" s="250">
        <f t="shared" si="4"/>
        <v>2004</v>
      </c>
      <c r="X37" s="251">
        <f>+'Total Retail'!R38-Interruptible!Q37-LM!Q37-Q37</f>
        <v>0</v>
      </c>
      <c r="Y37" s="251">
        <f>+'Total Retail'!S38-Interruptible!S37-LM!S37-'Firm Calculated'!R37</f>
        <v>0</v>
      </c>
    </row>
    <row r="38" spans="1:25" ht="15" customHeight="1">
      <c r="A38" s="184">
        <f>'Instant Old no Delete'!A39</f>
        <v>2005</v>
      </c>
      <c r="B38" s="21">
        <f>'Total Retail'!B39-Interruptible!B38-LM!B38</f>
        <v>3287</v>
      </c>
      <c r="C38" s="3">
        <f>'Total Retail'!C39-Interruptible!C38-LM!C38</f>
        <v>2460</v>
      </c>
      <c r="D38" s="3">
        <f>'Total Retail'!D39-Interruptible!D38-LM!D38</f>
        <v>2670</v>
      </c>
      <c r="E38" s="3">
        <f>'Total Retail'!E39-Interruptible!E38-LM!E38</f>
        <v>2727</v>
      </c>
      <c r="F38" s="3">
        <f>'Total Retail'!F39-Interruptible!F38-LM!F38</f>
        <v>3202</v>
      </c>
      <c r="G38" s="3">
        <f>'Total Retail'!G39-Interruptible!G38-LM!G38</f>
        <v>3474</v>
      </c>
      <c r="H38" s="3">
        <f>'Total Retail'!H39-Interruptible!H38-LM!H38</f>
        <v>3628</v>
      </c>
      <c r="I38" s="168">
        <f>'Total Retail'!I39-Interruptible!I38-LM!I38</f>
        <v>3726</v>
      </c>
      <c r="J38" s="3">
        <f>'Total Retail'!J39-Interruptible!J38-LM!J38</f>
        <v>3432</v>
      </c>
      <c r="K38" s="3">
        <f>'Total Retail'!K39-Interruptible!K38-LM!K38</f>
        <v>3242</v>
      </c>
      <c r="L38" s="3">
        <f>'Total Retail'!L39-Interruptible!L38-LM!L38</f>
        <v>2602</v>
      </c>
      <c r="M38" s="3">
        <f>'Total Retail'!M39-Interruptible!M38-LM!M38</f>
        <v>2703</v>
      </c>
      <c r="P38" s="9">
        <f t="shared" si="9"/>
        <v>2005</v>
      </c>
      <c r="Q38" s="26">
        <f t="shared" si="5"/>
        <v>3287</v>
      </c>
      <c r="R38" s="89">
        <f t="shared" si="6"/>
        <v>3726</v>
      </c>
      <c r="S38" s="12">
        <f t="shared" si="7"/>
        <v>2917</v>
      </c>
      <c r="T38" s="13">
        <f t="shared" si="8"/>
        <v>3287</v>
      </c>
      <c r="W38" s="250">
        <f t="shared" si="4"/>
        <v>2005</v>
      </c>
      <c r="X38" s="251">
        <f>+'Total Retail'!R39-Interruptible!Q38-LM!Q38-Q38</f>
        <v>0</v>
      </c>
      <c r="Y38" s="251">
        <f>+'Total Retail'!S39-Interruptible!S38-LM!S38-'Firm Calculated'!R38</f>
        <v>0</v>
      </c>
    </row>
    <row r="39" spans="1:25" ht="15" customHeight="1">
      <c r="A39" s="184">
        <f>'Instant Old no Delete'!A40</f>
        <v>2006</v>
      </c>
      <c r="B39" s="167">
        <f>'Total Retail'!B40-Interruptible!B39-LM!B39</f>
        <v>2748</v>
      </c>
      <c r="C39" s="174">
        <f>'Total Retail'!C40-Interruptible!C39-LM!C39</f>
        <v>3523</v>
      </c>
      <c r="D39" s="3">
        <f>'Total Retail'!D40-Interruptible!D39-LM!D39</f>
        <v>2544</v>
      </c>
      <c r="E39" s="3">
        <f>'Total Retail'!E40-Interruptible!E39-LM!E39</f>
        <v>3216</v>
      </c>
      <c r="F39" s="3">
        <f>'Total Retail'!F40-Interruptible!F39-LM!F39</f>
        <v>3389</v>
      </c>
      <c r="G39" s="3">
        <f>'Total Retail'!G40-Interruptible!G39-LM!G39</f>
        <v>3585</v>
      </c>
      <c r="H39" s="3">
        <f>'Total Retail'!H40-Interruptible!H39-LM!H39</f>
        <v>3689</v>
      </c>
      <c r="I39" s="168">
        <f>'Total Retail'!I40-Interruptible!I39-LM!I39</f>
        <v>3769</v>
      </c>
      <c r="J39" s="3">
        <f>'Total Retail'!J40-Interruptible!J39-LM!J39</f>
        <v>3468</v>
      </c>
      <c r="K39" s="3">
        <f>'Total Retail'!K40-Interruptible!K39-LM!K39</f>
        <v>3302</v>
      </c>
      <c r="L39" s="3">
        <f>'Total Retail'!L40-Interruptible!L39-LM!L39</f>
        <v>2737</v>
      </c>
      <c r="M39" s="3">
        <f>'Total Retail'!M40-Interruptible!M39-LM!M39</f>
        <v>2452</v>
      </c>
      <c r="P39" s="9">
        <f t="shared" si="9"/>
        <v>2006</v>
      </c>
      <c r="Q39" s="26">
        <f t="shared" si="5"/>
        <v>3523</v>
      </c>
      <c r="R39" s="89">
        <f t="shared" si="6"/>
        <v>3769</v>
      </c>
      <c r="S39" s="12">
        <f t="shared" si="7"/>
        <v>2703</v>
      </c>
      <c r="T39" s="13">
        <f t="shared" si="8"/>
        <v>3523</v>
      </c>
      <c r="W39" s="250">
        <f t="shared" si="4"/>
        <v>2006</v>
      </c>
      <c r="X39" s="251">
        <f>+'Total Retail'!R40-Interruptible!Q39-LM!Q39-Q39</f>
        <v>0</v>
      </c>
      <c r="Y39" s="251">
        <f>+'Total Retail'!S40-Interruptible!S39-LM!S39-'Firm Calculated'!R39</f>
        <v>0</v>
      </c>
    </row>
    <row r="40" spans="1:25" ht="15" customHeight="1">
      <c r="A40" s="184">
        <f>'Instant Old no Delete'!A41</f>
        <v>2007</v>
      </c>
      <c r="B40" s="1">
        <f>'Total Retail'!B41-Interruptible!B40-LM!B40</f>
        <v>2980.3658364188682</v>
      </c>
      <c r="C40" s="174">
        <f>'Total Retail'!C41-Interruptible!C40-LM!C40</f>
        <v>3126.8318480246066</v>
      </c>
      <c r="D40" s="3">
        <f>'Total Retail'!D41-Interruptible!D40-LM!D40</f>
        <v>2745.3826337947949</v>
      </c>
      <c r="E40" s="3">
        <f>'Total Retail'!E41-Interruptible!E40-LM!E40</f>
        <v>3015.3967657471826</v>
      </c>
      <c r="F40" s="1">
        <f>'Total Retail'!F41-Interruptible!F40-LM!F40</f>
        <v>3265.2413082725193</v>
      </c>
      <c r="G40" s="1">
        <f>'Total Retail'!G41-Interruptible!G40-LM!G40</f>
        <v>3584.455159306352</v>
      </c>
      <c r="H40" s="1">
        <f>'Total Retail'!H41-Interruptible!H40-LM!H40</f>
        <v>3772.4114190034975</v>
      </c>
      <c r="I40" s="168">
        <f>'Total Retail'!I41-Interruptible!I40-LM!I40</f>
        <v>3876.4669031326162</v>
      </c>
      <c r="J40" s="1">
        <f>'Total Retail'!J41-Interruptible!J40-LM!J40</f>
        <v>3597.6350058867069</v>
      </c>
      <c r="K40" s="3">
        <f>'Total Retail'!K41-Interruptible!K40-LM!K40</f>
        <v>3530.1643178142754</v>
      </c>
      <c r="L40" s="3">
        <f>'Total Retail'!L41-Interruptible!L40-LM!L40</f>
        <v>2746.457648201153</v>
      </c>
      <c r="M40" s="3">
        <f>'Total Retail'!M41-Interruptible!M40-LM!M40</f>
        <v>2643.5401307799816</v>
      </c>
      <c r="P40" s="9">
        <f t="shared" si="9"/>
        <v>2007</v>
      </c>
      <c r="Q40" s="240">
        <f t="shared" si="5"/>
        <v>3126.8318480246066</v>
      </c>
      <c r="R40" s="241">
        <f t="shared" si="6"/>
        <v>3876.4669031326162</v>
      </c>
      <c r="S40" s="242">
        <f t="shared" si="7"/>
        <v>2737</v>
      </c>
      <c r="T40" s="243">
        <f t="shared" si="8"/>
        <v>3126.8318480246066</v>
      </c>
      <c r="W40" s="250">
        <f t="shared" si="4"/>
        <v>2007</v>
      </c>
      <c r="X40" s="251">
        <f>+'Total Retail'!R41-Interruptible!Q40-LM!Q40-Q40</f>
        <v>0</v>
      </c>
      <c r="Y40" s="251">
        <f>+'Total Retail'!S41-Interruptible!S40-LM!S40-'Firm Calculated'!R40</f>
        <v>0</v>
      </c>
    </row>
    <row r="41" spans="1:25" ht="15" customHeight="1">
      <c r="A41" s="184">
        <f>'Instant Old no Delete'!A42</f>
        <v>2008</v>
      </c>
      <c r="B41" s="226">
        <f>'Total Retail'!B42-Interruptible!B41-LM!B41</f>
        <v>3442.6210366761084</v>
      </c>
      <c r="C41" s="1">
        <f>'Total Retail'!C42-Interruptible!C41-LM!C41</f>
        <v>2716.337214486678</v>
      </c>
      <c r="D41" s="1">
        <f>'Total Retail'!D42-Interruptible!D41-LM!D41</f>
        <v>2637.5203276982493</v>
      </c>
      <c r="E41" s="1">
        <f>'Total Retail'!E42-Interruptible!E41-LM!E41</f>
        <v>2956.6265747708667</v>
      </c>
      <c r="F41" s="1">
        <f>'Total Retail'!F42-Interruptible!F41-LM!F41</f>
        <v>3415.8737830120253</v>
      </c>
      <c r="G41" s="168">
        <f>'Total Retail'!G42-Interruptible!G41-LM!G41</f>
        <v>3722.8302993563457</v>
      </c>
      <c r="H41" s="1">
        <f>'Total Retail'!H42-Interruptible!H41-LM!H41</f>
        <v>3685.7308520058773</v>
      </c>
      <c r="I41" s="1">
        <f>'Total Retail'!I42-Interruptible!I41-LM!I41</f>
        <v>3718.6977248671565</v>
      </c>
      <c r="J41" s="1">
        <f>'Total Retail'!J42-Interruptible!J41-LM!J41</f>
        <v>3596.1752662087838</v>
      </c>
      <c r="K41" s="3">
        <f>'Total Retail'!K42-Interruptible!K41-LM!K41</f>
        <v>3218.1480622652321</v>
      </c>
      <c r="L41" s="3">
        <f>'Total Retail'!L42-Interruptible!L41-LM!L41</f>
        <v>2767.9377902353781</v>
      </c>
      <c r="M41" s="3">
        <f>'Total Retail'!M42-Interruptible!M41-LM!M41</f>
        <v>2897.5064023405339</v>
      </c>
      <c r="P41" s="9">
        <f t="shared" si="9"/>
        <v>2008</v>
      </c>
      <c r="Q41" s="240">
        <f t="shared" si="5"/>
        <v>3442.6210366761084</v>
      </c>
      <c r="R41" s="241">
        <f t="shared" si="6"/>
        <v>3722.8302993563457</v>
      </c>
      <c r="S41" s="242">
        <f t="shared" si="7"/>
        <v>2746.457648201153</v>
      </c>
      <c r="T41" s="243">
        <f t="shared" si="8"/>
        <v>3442.6210366761084</v>
      </c>
      <c r="W41" s="250">
        <f t="shared" si="4"/>
        <v>2008</v>
      </c>
      <c r="X41" s="251">
        <f>+'Total Retail'!R42-Interruptible!Q41-LM!Q41-Q41</f>
        <v>0</v>
      </c>
      <c r="Y41" s="251">
        <f>+'Total Retail'!S42-Interruptible!S41-LM!S41-'Firm Calculated'!R41</f>
        <v>0</v>
      </c>
    </row>
    <row r="42" spans="1:25" ht="15" customHeight="1">
      <c r="A42" s="184">
        <f>'Instant Old no Delete'!A43</f>
        <v>2009</v>
      </c>
      <c r="B42" s="232">
        <f>'Total Retail'!B43-Interruptible!B42-LM!B42</f>
        <v>3753.8897423428657</v>
      </c>
      <c r="C42" s="229">
        <f>'Total Retail'!C43-Interruptible!C42-LM!C42</f>
        <v>3642.8906499575655</v>
      </c>
      <c r="D42" s="229">
        <f>'Total Retail'!D43-Interruptible!D42-LM!D42</f>
        <v>2817.5970037223897</v>
      </c>
      <c r="E42" s="229">
        <f>'Total Retail'!E43-Interruptible!E42-LM!E42</f>
        <v>2921.5901955356867</v>
      </c>
      <c r="F42" s="229">
        <f>'Total Retail'!F43-Interruptible!F42-LM!F42</f>
        <v>3326.7854659078444</v>
      </c>
      <c r="G42" s="168">
        <f>'Total Retail'!G43-Interruptible!G42-LM!G42</f>
        <v>3799.3</v>
      </c>
      <c r="H42" s="229">
        <f>'Total Retail'!H43-Interruptible!H42-LM!H42</f>
        <v>3555.1</v>
      </c>
      <c r="I42" s="229">
        <f>'Total Retail'!I43-Interruptible!I42-LM!I42</f>
        <v>3594.1</v>
      </c>
      <c r="J42" s="229">
        <f>'Total Retail'!J43-Interruptible!J42-LM!J42</f>
        <v>3493.1408190968318</v>
      </c>
      <c r="K42" s="3">
        <f>'Total Retail'!K43-Interruptible!K42-LM!K42</f>
        <v>3501.1500884504935</v>
      </c>
      <c r="L42" s="3">
        <f>'Total Retail'!L43-Interruptible!L42-LM!L42</f>
        <v>2662.1812049530909</v>
      </c>
      <c r="M42" s="3">
        <f>'Total Retail'!M43-Interruptible!M42-LM!M42</f>
        <v>2579.3774245145428</v>
      </c>
      <c r="P42" s="9">
        <f t="shared" si="9"/>
        <v>2009</v>
      </c>
      <c r="Q42" s="240">
        <f t="shared" si="5"/>
        <v>3753.8897423428657</v>
      </c>
      <c r="R42" s="241">
        <f t="shared" si="6"/>
        <v>3799.3</v>
      </c>
      <c r="S42" s="242">
        <f t="shared" si="7"/>
        <v>2897.5064023405339</v>
      </c>
      <c r="T42" s="243">
        <f t="shared" si="8"/>
        <v>3753.8897423428657</v>
      </c>
      <c r="W42" s="250">
        <f t="shared" si="4"/>
        <v>2009</v>
      </c>
      <c r="X42" s="251">
        <f>+'Total Retail'!R43-Interruptible!Q42-LM!Q42-Q42</f>
        <v>0</v>
      </c>
      <c r="Y42" s="251">
        <f>+'Total Retail'!S43-Interruptible!S42-LM!S42-'Firm Calculated'!R42</f>
        <v>0</v>
      </c>
    </row>
    <row r="43" spans="1:25" ht="15" customHeight="1">
      <c r="A43" s="184">
        <f>'Instant Old no Delete'!A44</f>
        <v>2010</v>
      </c>
      <c r="B43" s="232">
        <f>'Total Retail'!B44-Interruptible!B43-LM!B43</f>
        <v>4246.0433449373286</v>
      </c>
      <c r="C43" s="229">
        <f>'Total Retail'!C44-Interruptible!C43-LM!C43</f>
        <v>3177.7567787946577</v>
      </c>
      <c r="D43" s="229">
        <f>'Total Retail'!D44-Interruptible!D43-LM!D43</f>
        <v>3059.3</v>
      </c>
      <c r="E43" s="229">
        <f>'Total Retail'!E44-Interruptible!E43-LM!E43</f>
        <v>2689.4478843996567</v>
      </c>
      <c r="F43" s="229">
        <f>'Total Retail'!F44-Interruptible!F43-LM!F43</f>
        <v>3411.4604212766476</v>
      </c>
      <c r="G43" s="229">
        <f>'Total Retail'!G44-Interruptible!G43-LM!G43</f>
        <v>3674.7073213553185</v>
      </c>
      <c r="H43" s="229">
        <f>'Total Retail'!H44-Interruptible!H43-LM!H43</f>
        <v>3713.2781921401343</v>
      </c>
      <c r="I43" s="168">
        <f>'Total Retail'!I44-Interruptible!I43-LM!I43</f>
        <v>3762.1970231564046</v>
      </c>
      <c r="J43" s="229">
        <f>'Total Retail'!J44-Interruptible!J43-LM!J43</f>
        <v>3515.9736333139572</v>
      </c>
      <c r="K43" s="3">
        <f>'Total Retail'!K44-Interruptible!K43-LM!K43</f>
        <v>3161.4907415599573</v>
      </c>
      <c r="L43" s="3">
        <f>'Total Retail'!L44-Interruptible!L43-LM!L43</f>
        <v>2765.3881132041074</v>
      </c>
      <c r="M43" s="226">
        <f>'Total Retail'!M44-Interruptible!M43-LM!M43</f>
        <v>3707.8574484194451</v>
      </c>
      <c r="P43" s="9">
        <f t="shared" si="9"/>
        <v>2010</v>
      </c>
      <c r="Q43" s="240">
        <f t="shared" si="5"/>
        <v>4246.0433449373286</v>
      </c>
      <c r="R43" s="241">
        <f t="shared" si="6"/>
        <v>3762.1970231564046</v>
      </c>
      <c r="S43" s="242">
        <f t="shared" si="7"/>
        <v>2662.1812049530909</v>
      </c>
      <c r="T43" s="243">
        <f t="shared" si="8"/>
        <v>4246.0433449373286</v>
      </c>
      <c r="W43" s="250">
        <f t="shared" si="4"/>
        <v>2010</v>
      </c>
      <c r="X43" s="251">
        <f>+'Total Retail'!R44-Interruptible!Q43-LM!Q43-Q43</f>
        <v>0</v>
      </c>
      <c r="Y43" s="251">
        <f>+'Total Retail'!S44-Interruptible!S43-LM!S43-'Firm Calculated'!R43</f>
        <v>-87.489701801086085</v>
      </c>
    </row>
    <row r="44" spans="1:25" ht="15" customHeight="1">
      <c r="A44" s="184">
        <f>'Instant Old no Delete'!A45</f>
        <v>2011</v>
      </c>
      <c r="B44" s="229">
        <f>'Total Retail'!B45-Interruptible!B44-LM!B44</f>
        <v>3499.2723925726395</v>
      </c>
      <c r="C44" s="229">
        <f>'Total Retail'!C45-Interruptible!C44-LM!C44</f>
        <v>2695.8602575525056</v>
      </c>
      <c r="D44" s="229">
        <f>'Total Retail'!D45-Interruptible!D44-LM!D44</f>
        <v>2498.5887531557082</v>
      </c>
      <c r="E44" s="229">
        <f>'Total Retail'!E45-Interruptible!E44-LM!E44</f>
        <v>3160.7014846558932</v>
      </c>
      <c r="F44" s="229">
        <f>'Total Retail'!F45-Interruptible!F44-LM!F44</f>
        <v>3314.9086153971871</v>
      </c>
      <c r="G44" s="229">
        <f>'Total Retail'!G45-Interruptible!G44-LM!G44</f>
        <v>3648.1959445727107</v>
      </c>
      <c r="H44" s="229">
        <f>'Total Retail'!H45-Interruptible!H44-LM!H44</f>
        <v>3512.3462431219737</v>
      </c>
      <c r="I44" s="168">
        <f>'Total Retail'!I45-Interruptible!I44-LM!I44</f>
        <v>3698.9615628757679</v>
      </c>
      <c r="J44" s="229">
        <f>'Total Retail'!J45-Interruptible!J44-LM!J44</f>
        <v>3380.9011075894136</v>
      </c>
      <c r="K44" s="3">
        <f>'Total Retail'!K45-Interruptible!K44-LM!K44</f>
        <v>2841.7540473506451</v>
      </c>
      <c r="L44" s="3">
        <f>'Total Retail'!L45-Interruptible!L44-LM!L44</f>
        <v>2590.2179433615815</v>
      </c>
      <c r="M44" s="3">
        <f>'Total Retail'!M45-Interruptible!M44-LM!M44</f>
        <v>2215.644010675192</v>
      </c>
      <c r="P44" s="9">
        <f t="shared" si="9"/>
        <v>2011</v>
      </c>
      <c r="Q44" s="240">
        <f t="shared" si="5"/>
        <v>3707.8574484194451</v>
      </c>
      <c r="R44" s="241">
        <f t="shared" si="6"/>
        <v>3698.9615628757679</v>
      </c>
      <c r="S44" s="242">
        <f t="shared" si="7"/>
        <v>3707.8574484194451</v>
      </c>
      <c r="T44" s="243">
        <f t="shared" si="8"/>
        <v>3499.2723925726395</v>
      </c>
      <c r="W44" s="250">
        <f t="shared" si="4"/>
        <v>2011</v>
      </c>
      <c r="X44" s="251">
        <f>+'Total Retail'!R45-Interruptible!Q44-LM!Q44-Q44</f>
        <v>0</v>
      </c>
      <c r="Y44" s="251">
        <f>+'Total Retail'!S45-Interruptible!S44-LM!S44-'Firm Calculated'!R44</f>
        <v>0</v>
      </c>
    </row>
    <row r="45" spans="1:25" ht="15" customHeight="1">
      <c r="A45" s="184">
        <f>'Instant Old no Delete'!A46</f>
        <v>2012</v>
      </c>
      <c r="B45" s="232">
        <f>'Total Retail'!B46-Interruptible!B45-LM!B45</f>
        <v>3244.3561054876122</v>
      </c>
      <c r="C45" s="229">
        <f>'Total Retail'!C46-Interruptible!C45-LM!C45</f>
        <v>3092.197402312504</v>
      </c>
      <c r="D45" s="229">
        <f>'Total Retail'!D46-Interruptible!D45-LM!D45</f>
        <v>2704.3662406566141</v>
      </c>
      <c r="E45" s="229">
        <f>'Total Retail'!E46-Interruptible!E45-LM!E45</f>
        <v>2912.3778325326443</v>
      </c>
      <c r="F45" s="229">
        <f>'Total Retail'!F46-Interruptible!F45-LM!F45</f>
        <v>3376.1377182731335</v>
      </c>
      <c r="G45" s="229">
        <f>'Total Retail'!G46-Interruptible!G45-LM!G45</f>
        <v>3497.2203094162846</v>
      </c>
      <c r="H45" s="229">
        <f>'Total Retail'!H46-Interruptible!H45-LM!H45</f>
        <v>3497.8361838957885</v>
      </c>
      <c r="I45" s="168">
        <f>'Total Retail'!I46-Interruptible!I45-LM!I45</f>
        <v>3627.1748580194662</v>
      </c>
      <c r="J45" s="229">
        <f>'Total Retail'!J46-Interruptible!J45-LM!J45</f>
        <v>3385.9639987574483</v>
      </c>
      <c r="K45" s="3">
        <f>'Total Retail'!K46-Interruptible!K45-LM!K45</f>
        <v>3245.0971104249952</v>
      </c>
      <c r="L45" s="3">
        <f>'Total Retail'!L46-Interruptible!L45-LM!L45</f>
        <v>2245.6472932508091</v>
      </c>
      <c r="M45" s="3">
        <f>'Total Retail'!M46-Interruptible!M45-LM!M45</f>
        <v>2365.8978680815699</v>
      </c>
      <c r="P45" s="9">
        <f t="shared" si="9"/>
        <v>2012</v>
      </c>
      <c r="Q45" s="240">
        <f t="shared" si="5"/>
        <v>3244.3561054876122</v>
      </c>
      <c r="R45" s="241">
        <f t="shared" si="6"/>
        <v>3627.1748580194662</v>
      </c>
      <c r="S45" s="242">
        <f t="shared" si="7"/>
        <v>2590.2179433615815</v>
      </c>
      <c r="T45" s="243">
        <f t="shared" si="8"/>
        <v>3244.3561054876122</v>
      </c>
      <c r="W45" s="250">
        <f t="shared" si="4"/>
        <v>2012</v>
      </c>
      <c r="X45" s="251">
        <f>+'Total Retail'!R46-Interruptible!Q45-LM!Q45-Q45</f>
        <v>0</v>
      </c>
      <c r="Y45" s="251">
        <f>+'Total Retail'!S46-Interruptible!S45-LM!S45-'Firm Calculated'!R45</f>
        <v>0</v>
      </c>
    </row>
    <row r="46" spans="1:25" ht="15" customHeight="1">
      <c r="A46" s="184">
        <f>'Instant Old no Delete'!A47</f>
        <v>2013</v>
      </c>
      <c r="B46" s="229">
        <f>'Total Retail'!B47-Interruptible!B46-LM!B46</f>
        <v>2333.7860569345185</v>
      </c>
      <c r="C46" s="232">
        <f>'Total Retail'!C47-Interruptible!C46-LM!C46</f>
        <v>2918.0391265819353</v>
      </c>
      <c r="D46" s="229">
        <f>'Total Retail'!D47-Interruptible!D46-LM!D46</f>
        <v>2785.2461598520717</v>
      </c>
      <c r="E46" s="229">
        <f>'Total Retail'!E47-Interruptible!E46-LM!E46</f>
        <v>3141.8825156402586</v>
      </c>
      <c r="F46" s="229">
        <f>'Total Retail'!F47-Interruptible!F46-LM!F46</f>
        <v>3239.456701184597</v>
      </c>
      <c r="G46" s="229">
        <f>'Total Retail'!G47-Interruptible!G46-LM!G46</f>
        <v>3538.1700815506351</v>
      </c>
      <c r="H46" s="229">
        <f>'Total Retail'!H47-Interruptible!H46-LM!H46</f>
        <v>3505.9862062891293</v>
      </c>
      <c r="I46" s="168">
        <f>'Total Retail'!I47-Interruptible!I46-LM!I46</f>
        <v>3614.2466019981293</v>
      </c>
      <c r="J46" s="229">
        <f>'Total Retail'!J47-Interruptible!J46-LM!J46</f>
        <v>3454.8398221806906</v>
      </c>
      <c r="K46" s="3">
        <f>'Total Retail'!K47-Interruptible!K46-LM!K46</f>
        <v>3190.2899269812297</v>
      </c>
      <c r="L46" s="3">
        <f>'Total Retail'!L47-Interruptible!L46-LM!L46</f>
        <v>2749.834193110094</v>
      </c>
      <c r="M46" s="3">
        <f>'Total Retail'!M47-Interruptible!M46-LM!M46</f>
        <v>2437.7721276481057</v>
      </c>
      <c r="P46" s="9">
        <f t="shared" si="9"/>
        <v>2013</v>
      </c>
      <c r="Q46" s="240">
        <f t="shared" si="5"/>
        <v>2918.0391265819353</v>
      </c>
      <c r="R46" s="241">
        <f t="shared" si="6"/>
        <v>3614.2466019981293</v>
      </c>
      <c r="S46" s="242">
        <f t="shared" si="7"/>
        <v>2365.8978680815699</v>
      </c>
      <c r="T46" s="243">
        <f t="shared" si="8"/>
        <v>2918.0391265819353</v>
      </c>
      <c r="W46" s="250">
        <f t="shared" si="4"/>
        <v>2013</v>
      </c>
      <c r="X46" s="251">
        <f>+'Total Retail'!R47-Interruptible!Q46-LM!Q46-Q46</f>
        <v>0</v>
      </c>
      <c r="Y46" s="251">
        <f>+'Total Retail'!S47-Interruptible!S46-LM!S46-'Firm Calculated'!R46</f>
        <v>0</v>
      </c>
    </row>
    <row r="47" spans="1:25" ht="15" customHeight="1">
      <c r="A47" s="184">
        <f>'Instant Old no Delete'!A48</f>
        <v>2014</v>
      </c>
      <c r="B47" s="68">
        <f>'Total Retail'!B48-Interruptible!B47-LM!B47</f>
        <v>3079.1624935030936</v>
      </c>
      <c r="C47" s="68">
        <f>'Total Retail'!C48-Interruptible!C47-LM!C47</f>
        <v>2457.2163913989066</v>
      </c>
      <c r="D47" s="68">
        <f>'Total Retail'!D48-Interruptible!D47-LM!D47</f>
        <v>2277.6963803422454</v>
      </c>
      <c r="E47" s="68">
        <f>'Total Retail'!E48-Interruptible!E47-LM!E47</f>
        <v>3179.6237013696577</v>
      </c>
      <c r="F47" s="68">
        <f>'Total Retail'!F48-Interruptible!F47-LM!F47</f>
        <v>3275.7163494484421</v>
      </c>
      <c r="G47" s="68">
        <f>'Total Retail'!G48-Interruptible!G47-LM!G47</f>
        <v>3647.5589999999997</v>
      </c>
      <c r="H47" s="68">
        <f>'Total Retail'!H48-Interruptible!H47-LM!H47</f>
        <v>3517.4752204804422</v>
      </c>
      <c r="I47" s="68">
        <f>'Total Retail'!I48-Interruptible!I47-LM!I47</f>
        <v>3756.9820000000004</v>
      </c>
      <c r="J47" s="68">
        <f>'Total Retail'!J48-Interruptible!J47-LM!J47</f>
        <v>3478.5329999999999</v>
      </c>
      <c r="K47" s="68">
        <f>'Total Retail'!K48-Interruptible!K47-LM!K47</f>
        <v>3300.0790000000002</v>
      </c>
      <c r="L47" s="68">
        <f>'Total Retail'!L48-Interruptible!L47-LM!L47</f>
        <v>2532.8130000000001</v>
      </c>
      <c r="M47" s="68">
        <f>'Total Retail'!M48-Interruptible!M47-LM!M47</f>
        <v>2709.0920000000001</v>
      </c>
      <c r="P47" s="9">
        <f t="shared" si="9"/>
        <v>2014</v>
      </c>
      <c r="Q47" s="240">
        <f t="shared" si="5"/>
        <v>3079.1624935030936</v>
      </c>
      <c r="R47" s="241">
        <f t="shared" si="6"/>
        <v>3756.9820000000004</v>
      </c>
      <c r="S47" s="242">
        <f t="shared" si="7"/>
        <v>2749.834193110094</v>
      </c>
      <c r="T47" s="243">
        <f t="shared" si="8"/>
        <v>3079.1624935030936</v>
      </c>
      <c r="W47" s="250">
        <f t="shared" si="4"/>
        <v>2014</v>
      </c>
      <c r="X47" s="251">
        <f>+'Total Retail'!R48-Interruptible!Q47-LM!Q47-Q47</f>
        <v>0</v>
      </c>
      <c r="Y47" s="251"/>
    </row>
    <row r="48" spans="1:25" ht="15" customHeight="1">
      <c r="A48" s="184">
        <f>'Instant Old no Delete'!A49</f>
        <v>2015</v>
      </c>
      <c r="B48" s="68">
        <f>'Total Retail'!B49-Interruptible!B48-LM!B48</f>
        <v>2531.9117724087241</v>
      </c>
      <c r="C48" s="68">
        <f>'Total Retail'!C49-Interruptible!C48-LM!C48</f>
        <v>3390.4117164034842</v>
      </c>
      <c r="D48" s="68">
        <f>'Total Retail'!D49-Interruptible!D48-LM!D48</f>
        <v>2795.8840749722895</v>
      </c>
      <c r="E48" s="68">
        <f>'Total Retail'!E49-Interruptible!E48-LM!E48</f>
        <v>3073.8941902602801</v>
      </c>
      <c r="F48" s="68">
        <f>'Total Retail'!F49-Interruptible!F48-LM!F48</f>
        <v>3532.0068813686653</v>
      </c>
      <c r="G48" s="68">
        <f>'Total Retail'!G49-Interruptible!G48-LM!G48</f>
        <v>3691.4385082180656</v>
      </c>
      <c r="H48" s="68">
        <f>'Total Retail'!H49-Interruptible!H48-LM!H48</f>
        <v>3672.1157279412282</v>
      </c>
      <c r="I48" s="68">
        <f>'Total Retail'!I49-Interruptible!I48-LM!I48</f>
        <v>3784.4282553436133</v>
      </c>
      <c r="J48" s="68">
        <f>'Total Retail'!J49-Interruptible!J48-LM!J48</f>
        <v>3711.9453166056837</v>
      </c>
      <c r="K48" s="68">
        <f>'Total Retail'!K49-Interruptible!K48-LM!K48</f>
        <v>3175.2108363472121</v>
      </c>
      <c r="L48" s="68">
        <f>'Total Retail'!L49-Interruptible!L48-LM!L48</f>
        <v>3170.5040903561116</v>
      </c>
      <c r="M48" s="68">
        <f>'Total Retail'!M49-Interruptible!M48-LM!M48</f>
        <v>2785.6336643179775</v>
      </c>
    </row>
    <row r="49" spans="1:14" ht="15" customHeight="1">
      <c r="A49" s="184">
        <f>'Instant Old no Delete'!A50</f>
        <v>2016</v>
      </c>
      <c r="B49" s="68">
        <f>'Total Retail'!B50-Interruptible!B49-LM!B49</f>
        <v>3339.3093953093176</v>
      </c>
      <c r="C49" s="68">
        <f>'Total Retail'!C50-Interruptible!C49-LM!C49</f>
        <v>3105.4053636918607</v>
      </c>
      <c r="D49" s="68">
        <f>'Total Retail'!D50-Interruptible!D49-LM!D49</f>
        <v>3169.3527920264742</v>
      </c>
      <c r="E49" s="68">
        <f>'Total Retail'!E50-Interruptible!E49-LM!E49</f>
        <v>3604.9242119587793</v>
      </c>
      <c r="F49" s="68">
        <f>'Total Retail'!F50-Interruptible!F49-LM!F49</f>
        <v>3624.1644288860639</v>
      </c>
      <c r="G49" s="68">
        <f>'Total Retail'!G50-Interruptible!G49-LM!G49</f>
        <v>3955.659255220387</v>
      </c>
      <c r="H49" s="68">
        <f>'Total Retail'!H50-Interruptible!H49-LM!H49</f>
        <v>4130.8831221788769</v>
      </c>
      <c r="I49" s="68">
        <f>'Total Retail'!I50-Interruptible!I49-LM!I49</f>
        <v>4101.3132194944128</v>
      </c>
      <c r="J49" s="68">
        <f>'Total Retail'!J50-Interruptible!J49-LM!J49</f>
        <v>3812.3363586753503</v>
      </c>
      <c r="K49" s="68">
        <f>'Total Retail'!K50-Interruptible!K49-LM!K49</f>
        <v>3557.1945229328212</v>
      </c>
      <c r="L49" s="68">
        <f>'Total Retail'!L50-Interruptible!L49-LM!L49</f>
        <v>2887.20287407554</v>
      </c>
      <c r="M49" s="68">
        <f>'Total Retail'!M50-Interruptible!M49-LM!M49</f>
        <v>2996.4363390875142</v>
      </c>
    </row>
    <row r="50" spans="1:14" ht="15" customHeight="1">
      <c r="A50" s="184">
        <f>'Instant Old no Delete'!A51</f>
        <v>2017</v>
      </c>
      <c r="B50" s="68">
        <f>'Total Retail'!B51-Interruptible!B50-LM!B50</f>
        <v>3137.8193837766398</v>
      </c>
      <c r="C50" s="68">
        <f>'Total Retail'!C51-Interruptible!C50-LM!C50</f>
        <v>2994.1223439435253</v>
      </c>
      <c r="D50" s="68">
        <f>'Total Retail'!D51-Interruptible!D50-LM!D50</f>
        <v>3072.4709559752182</v>
      </c>
      <c r="E50" s="68">
        <f>'Total Retail'!E51-Interruptible!E50-LM!E50</f>
        <v>3821.5167304983916</v>
      </c>
      <c r="F50" s="68">
        <f>'Total Retail'!F51-Interruptible!F50-LM!F50</f>
        <v>3881.8296946285664</v>
      </c>
      <c r="G50" s="68">
        <f>'Total Retail'!G51-Interruptible!G50-LM!G50</f>
        <v>3996.2978656948471</v>
      </c>
      <c r="H50" s="68">
        <f>'Total Retail'!H51-Interruptible!H50-LM!H50</f>
        <v>4114.5309672043495</v>
      </c>
      <c r="I50" s="68">
        <f>'Total Retail'!I51-Interruptible!I50-LM!I50</f>
        <v>4074.2191796869502</v>
      </c>
      <c r="J50" s="68">
        <f>'Total Retail'!J51-Interruptible!J50-LM!J50</f>
        <v>3952.8750994488992</v>
      </c>
      <c r="K50" s="68">
        <f>'Total Retail'!K51-Interruptible!K50-LM!K50</f>
        <v>3818.0823763992712</v>
      </c>
      <c r="L50" s="68">
        <f>'Total Retail'!L51-Interruptible!L50-LM!L50</f>
        <v>2973.9611922410809</v>
      </c>
      <c r="M50" s="68">
        <f>'Total Retail'!M51-Interruptible!M50-LM!M50</f>
        <v>2939.7683396577299</v>
      </c>
    </row>
    <row r="51" spans="1:14" ht="15" customHeight="1">
      <c r="A51" s="184">
        <f>'Instant Old no Delete'!A52</f>
        <v>2018</v>
      </c>
      <c r="B51" s="68">
        <f>'Total Retail'!B52-Interruptible!B51-LM!B51</f>
        <v>4044.1059232197913</v>
      </c>
      <c r="C51" s="68">
        <f>'Total Retail'!C52-Interruptible!C51-LM!C51</f>
        <v>3120.329540742875</v>
      </c>
      <c r="D51" s="68">
        <f>'Total Retail'!D52-Interruptible!D51-LM!D51</f>
        <v>2881.2768298181095</v>
      </c>
      <c r="E51" s="68">
        <f>'Total Retail'!E52-Interruptible!E51-LM!E51</f>
        <v>3267.4009685346005</v>
      </c>
      <c r="F51" s="68">
        <f>'Total Retail'!F52-Interruptible!F51-LM!F51</f>
        <v>3606.5392897531469</v>
      </c>
      <c r="G51" s="68">
        <f>'Total Retail'!G52-Interruptible!G51-LM!G51</f>
        <v>3955.661973784006</v>
      </c>
      <c r="H51" s="68">
        <f>'Total Retail'!H52-Interruptible!H51-LM!H51</f>
        <v>3955.4844540917875</v>
      </c>
      <c r="I51" s="68">
        <f>'Total Retail'!I52-Interruptible!I51-LM!I51</f>
        <v>4036.6235217311269</v>
      </c>
      <c r="J51" s="68">
        <f>'Total Retail'!J52-Interruptible!J51-LM!J51</f>
        <v>4020.7185612612907</v>
      </c>
      <c r="K51" s="68">
        <f>'Total Retail'!K52-Interruptible!K51-LM!K51</f>
        <v>3876.8176864583879</v>
      </c>
      <c r="L51" s="68">
        <f>'Total Retail'!L52-Interruptible!L51-LM!L51</f>
        <v>3272.2360678174382</v>
      </c>
      <c r="M51" s="68">
        <f>'Total Retail'!M52-Interruptible!M51-LM!M51</f>
        <v>2890.388144010195</v>
      </c>
    </row>
    <row r="52" spans="1:14" ht="15" customHeight="1">
      <c r="A52" s="184">
        <f>'Instant Old no Delete'!A53</f>
        <v>2019</v>
      </c>
      <c r="B52" s="68">
        <f>'Total Retail'!B53-Interruptible!B52-LM!B52</f>
        <v>3091.0792847788834</v>
      </c>
      <c r="C52" s="68">
        <f>'Total Retail'!C53-Interruptible!C52-LM!C52</f>
        <v>3094.289272364359</v>
      </c>
      <c r="D52" s="68">
        <f>'Total Retail'!D53-Interruptible!D52-LM!D52</f>
        <v>3128.5432423298507</v>
      </c>
      <c r="E52" s="68">
        <f>'Total Retail'!E53-Interruptible!E52-LM!E52</f>
        <v>3504.7003791594316</v>
      </c>
      <c r="F52" s="68">
        <f>'Total Retail'!F53-Interruptible!F52-LM!F52</f>
        <v>4152.7434235575183</v>
      </c>
      <c r="G52" s="68">
        <f>'Total Retail'!G53-Interruptible!G52-LM!G52</f>
        <v>4298.266042423721</v>
      </c>
      <c r="H52" s="68">
        <f>'Total Retail'!H53-Interruptible!H52-LM!H52</f>
        <v>4073.1594642884675</v>
      </c>
      <c r="I52" s="68">
        <f>'Total Retail'!I53-Interruptible!I52-LM!I52</f>
        <v>4111.3159319554825</v>
      </c>
      <c r="J52" s="68">
        <f>'Total Retail'!J53-Interruptible!J52-LM!J52</f>
        <v>4101.2321333380642</v>
      </c>
      <c r="K52" s="68">
        <f>'Total Retail'!K53-Interruptible!K52-LM!K52</f>
        <v>3671.9640558161395</v>
      </c>
      <c r="L52" s="68">
        <f>'Total Retail'!L53-Interruptible!L52-LM!L52</f>
        <v>3309.1858580752782</v>
      </c>
      <c r="M52" s="68">
        <f>'Total Retail'!M53-Interruptible!M52-LM!M52</f>
        <v>2764.8902606070042</v>
      </c>
    </row>
    <row r="53" spans="1:14" ht="15" customHeight="1">
      <c r="A53" s="184">
        <f>'Instant Old no Delete'!A54</f>
        <v>2020</v>
      </c>
      <c r="B53" s="68">
        <f>'Total Retail'!B54-Interruptible!B53-LM!B53</f>
        <v>3538.0184087995299</v>
      </c>
      <c r="C53" s="68">
        <f>'Total Retail'!C54-Interruptible!C53-LM!C53</f>
        <v>3012.7755155672548</v>
      </c>
      <c r="D53" s="68">
        <f>'Total Retail'!D54-Interruptible!D53-LM!D53</f>
        <v>3574.1286325658348</v>
      </c>
      <c r="E53" s="68">
        <f>'Total Retail'!E54-Interruptible!E53-LM!E53</f>
        <v>3590.9296067156533</v>
      </c>
      <c r="F53" s="68">
        <f>'Total Retail'!F54-Interruptible!F53-LM!F53</f>
        <v>3902.7085589393323</v>
      </c>
      <c r="G53" s="68">
        <f>'Total Retail'!G54-Interruptible!G53-LM!G53</f>
        <v>4254.1136826465599</v>
      </c>
      <c r="H53" s="68">
        <f>'Total Retail'!H54-Interruptible!H53-LM!H53</f>
        <v>4142.6258612332085</v>
      </c>
      <c r="I53" s="68">
        <f>'Total Retail'!I54-Interruptible!I53-LM!I53</f>
        <v>4239.0126832233136</v>
      </c>
      <c r="J53" s="68">
        <f>'Total Retail'!J54-Interruptible!J53-LM!J53</f>
        <v>4254.7406243046662</v>
      </c>
      <c r="K53" s="68">
        <f>'Total Retail'!K54-Interruptible!K53-LM!K53</f>
        <v>3871.6084211084626</v>
      </c>
      <c r="L53" s="68">
        <f>'Total Retail'!L54-Interruptible!L53-LM!L53</f>
        <v>3273.5241214207017</v>
      </c>
      <c r="M53" s="68">
        <f>'Total Retail'!M54-Interruptible!M53-LM!M53</f>
        <v>3024.0386962181074</v>
      </c>
    </row>
    <row r="54" spans="1:14" ht="15" customHeight="1">
      <c r="A54" s="184">
        <f>'Instant Old no Delete'!A55</f>
        <v>2021</v>
      </c>
      <c r="B54" s="68">
        <f>'Total Retail'!B55-Interruptible!B54-LM!B54</f>
        <v>2904.8538121877332</v>
      </c>
      <c r="C54" s="68">
        <f>'Total Retail'!C55-Interruptible!C54-LM!C54</f>
        <v>3415.1890153510153</v>
      </c>
      <c r="D54" s="68">
        <f>'Total Retail'!D55-Interruptible!D54-LM!D54</f>
        <v>3466.5357216664092</v>
      </c>
      <c r="E54" s="68">
        <f>'Total Retail'!E55-Interruptible!E54-LM!E54</f>
        <v>3635.6010791250001</v>
      </c>
      <c r="F54" s="68">
        <f>'Total Retail'!F55-Interruptible!F54-LM!F54</f>
        <v>4069.0894343320524</v>
      </c>
      <c r="G54" s="68">
        <f>'Total Retail'!G55-Interruptible!G54-LM!G54</f>
        <v>4057.0154358448362</v>
      </c>
      <c r="H54" s="68">
        <f>'Total Retail'!H55-Interruptible!H54-LM!H54</f>
        <v>4210.585566003957</v>
      </c>
      <c r="I54" s="68">
        <f>'Total Retail'!I55-Interruptible!I54-LM!I54</f>
        <v>4393.4364634362446</v>
      </c>
      <c r="J54" s="68">
        <f>'Total Retail'!J55-Interruptible!J54-LM!J54</f>
        <v>3967.7984173092996</v>
      </c>
      <c r="K54" s="68">
        <f>'Total Retail'!K55-Interruptible!K54-LM!K54</f>
        <v>3961.375726206034</v>
      </c>
      <c r="L54" s="68">
        <f>'Total Retail'!L55-Interruptible!L54-LM!L54</f>
        <v>2924.3120710439798</v>
      </c>
      <c r="M54" s="68">
        <f>'Total Retail'!M55-Interruptible!M54-LM!M54</f>
        <v>2940.7055255787918</v>
      </c>
    </row>
    <row r="55" spans="1:14" ht="15" customHeight="1">
      <c r="A55" s="184">
        <f>'Instant Old no Delete'!A56</f>
        <v>2022</v>
      </c>
      <c r="B55" s="68">
        <f>'Total Retail'!B56-Interruptible!B55-LM!B55</f>
        <v>3472.9766807863539</v>
      </c>
      <c r="C55" s="68">
        <f>'Total Retail'!C56-Interruptible!C55-LM!C55</f>
        <v>2829.3132090624872</v>
      </c>
      <c r="D55" s="68">
        <f>'Total Retail'!D56-Interruptible!D55-LM!D55</f>
        <v>3035.4733661534337</v>
      </c>
      <c r="E55" s="68">
        <f>'Total Retail'!E56-Interruptible!E55-LM!E55</f>
        <v>3340.4095086001607</v>
      </c>
      <c r="F55" s="68">
        <f>'Total Retail'!F56-Interruptible!F55-LM!F55</f>
        <v>3760.5510678612322</v>
      </c>
      <c r="G55" s="68">
        <f>'Total Retail'!G56-Interruptible!G55-LM!G55</f>
        <v>4077.1223696839306</v>
      </c>
      <c r="H55" s="68">
        <f>'Total Retail'!H56-Interruptible!H55-LM!H55</f>
        <v>4091.9931238965901</v>
      </c>
      <c r="I55" s="68">
        <f>'Total Retail'!I56-Interruptible!I55-LM!I55</f>
        <v>4130.9239179834613</v>
      </c>
      <c r="J55" s="68">
        <f>'Total Retail'!J56-Interruptible!J55-LM!J55</f>
        <v>3935.9810904467563</v>
      </c>
      <c r="K55" s="68">
        <f>'Total Retail'!K56-Interruptible!K55-LM!K55</f>
        <v>3362.0167404578442</v>
      </c>
      <c r="L55" s="68">
        <f>'Total Retail'!L56-Interruptible!L55-LM!L55</f>
        <v>3400.3700301105728</v>
      </c>
      <c r="M55" s="68">
        <f>'Total Retail'!M56-Interruptible!M55-LM!M55</f>
        <v>3379.6403791059865</v>
      </c>
    </row>
    <row r="56" spans="1:14" ht="15" customHeight="1">
      <c r="A56" s="184">
        <f>'Instant Old no Delete'!A57</f>
        <v>2023</v>
      </c>
      <c r="B56" s="68">
        <f>'Total Retail'!B57-Interruptible!B56-LM!B56</f>
        <v>3347</v>
      </c>
      <c r="C56" s="68">
        <f>'Total Retail'!C57-Interruptible!C56-LM!C56</f>
        <v>3273</v>
      </c>
      <c r="D56" s="68">
        <f>'Total Retail'!D57-Interruptible!D56-LM!D56</f>
        <v>3585</v>
      </c>
      <c r="E56" s="68">
        <f>'Total Retail'!E57-Interruptible!E56-LM!E56</f>
        <v>3678</v>
      </c>
      <c r="F56" s="68">
        <f>'Total Retail'!F57-Interruptible!F56-LM!F56</f>
        <v>3912</v>
      </c>
      <c r="G56" s="68">
        <f>'Total Retail'!G57-Interruptible!G56-LM!G56</f>
        <v>4318</v>
      </c>
      <c r="H56" s="68">
        <f>'Total Retail'!H57-Interruptible!H56-LM!H56</f>
        <v>4312</v>
      </c>
      <c r="I56" s="439">
        <f>'Total Retail'!I57-Interruptible!I56-LM!I56</f>
        <v>4669</v>
      </c>
      <c r="J56" s="439">
        <f>'Total Retail'!J57-Interruptible!J56-LM!J56</f>
        <v>4194</v>
      </c>
      <c r="K56" s="439">
        <f>'Total Retail'!K57-Interruptible!K56-LM!K56</f>
        <v>3801</v>
      </c>
      <c r="L56" s="439">
        <f>'Total Retail'!L57-Interruptible!L56-LM!L56</f>
        <v>3440</v>
      </c>
      <c r="M56" s="439">
        <f>'Total Retail'!M57-Interruptible!M56-LM!M56</f>
        <v>2982</v>
      </c>
      <c r="N56" s="1" t="s">
        <v>336</v>
      </c>
    </row>
    <row r="57" spans="1:14">
      <c r="A57"/>
    </row>
    <row r="58" spans="1:14">
      <c r="A58" s="3"/>
      <c r="B58" s="404">
        <f>B48-'Firm Retail'!B48</f>
        <v>0</v>
      </c>
      <c r="C58" s="404">
        <f>C48-'Firm Retail'!C48</f>
        <v>0</v>
      </c>
      <c r="D58" s="404">
        <f>D48-'Firm Retail'!D48</f>
        <v>0</v>
      </c>
      <c r="E58" s="404">
        <f>E48-'Firm Retail'!E48</f>
        <v>0</v>
      </c>
      <c r="F58" s="404">
        <f>F48-'Firm Retail'!F48</f>
        <v>0</v>
      </c>
      <c r="G58" s="404">
        <f>G48-'Firm Retail'!G48</f>
        <v>0</v>
      </c>
      <c r="H58" s="404">
        <f>H48-'Firm Retail'!H48</f>
        <v>42.115727941228215</v>
      </c>
      <c r="I58" s="404">
        <f>I48-'Firm Retail'!I48</f>
        <v>0</v>
      </c>
      <c r="J58" s="404">
        <f>J48-'Firm Retail'!J48</f>
        <v>22.945316605683729</v>
      </c>
      <c r="K58" s="404">
        <f>K48-'Firm Retail'!K48</f>
        <v>6.21083634721208</v>
      </c>
      <c r="L58" s="404">
        <f>L48-'Firm Retail'!L48</f>
        <v>0</v>
      </c>
      <c r="M58" s="404">
        <f>M48-'Firm Retail'!M48</f>
        <v>9.633664317977491</v>
      </c>
    </row>
    <row r="59" spans="1:14">
      <c r="A59" s="3"/>
    </row>
    <row r="60" spans="1:14">
      <c r="A60" s="3"/>
    </row>
    <row r="61" spans="1:14">
      <c r="A61" s="3"/>
    </row>
    <row r="62" spans="1:14">
      <c r="A62" s="3"/>
    </row>
    <row r="63" spans="1:14">
      <c r="A63" s="3"/>
    </row>
    <row r="64" spans="1:14">
      <c r="A64" s="3"/>
    </row>
    <row r="65" spans="1:22">
      <c r="A65" s="3"/>
      <c r="B65" s="3"/>
      <c r="C65" s="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</row>
    <row r="66" spans="1:22" ht="15.75">
      <c r="A66" s="3"/>
      <c r="B66" s="5" t="s">
        <v>137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>
      <c r="A67" s="3"/>
      <c r="B67" s="10" t="s">
        <v>4</v>
      </c>
      <c r="C67" s="10" t="s">
        <v>8</v>
      </c>
      <c r="D67" s="10" t="s">
        <v>9</v>
      </c>
      <c r="E67" s="10" t="s">
        <v>10</v>
      </c>
      <c r="F67" s="10" t="s">
        <v>11</v>
      </c>
      <c r="G67" s="10" t="s">
        <v>12</v>
      </c>
      <c r="H67" s="10" t="s">
        <v>13</v>
      </c>
      <c r="I67" s="10" t="s">
        <v>15</v>
      </c>
      <c r="J67" s="10" t="s">
        <v>16</v>
      </c>
      <c r="K67" s="10" t="s">
        <v>17</v>
      </c>
      <c r="L67" s="10" t="s">
        <v>18</v>
      </c>
      <c r="M67" s="10" t="s">
        <v>19</v>
      </c>
      <c r="N67" s="3"/>
      <c r="O67" s="3"/>
      <c r="P67" s="3"/>
      <c r="Q67" s="3"/>
      <c r="R67" s="3"/>
      <c r="S67" s="3"/>
      <c r="T67" s="3"/>
      <c r="U67" s="3"/>
      <c r="V67" s="3"/>
    </row>
    <row r="68" spans="1:22">
      <c r="A68" s="3">
        <f t="shared" ref="A68:A110" si="10">A6</f>
        <v>1973</v>
      </c>
      <c r="B68" s="96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3"/>
      <c r="O68" s="3"/>
      <c r="P68" s="3"/>
      <c r="Q68" s="3"/>
      <c r="R68" s="3"/>
      <c r="S68" s="3"/>
      <c r="T68" s="3"/>
      <c r="U68" s="3"/>
      <c r="V68" s="3"/>
    </row>
    <row r="69" spans="1:22">
      <c r="A69" s="3">
        <f t="shared" si="10"/>
        <v>1974</v>
      </c>
      <c r="B69" s="9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3"/>
      <c r="O69" s="3"/>
      <c r="P69" s="3"/>
      <c r="Q69" s="3"/>
      <c r="R69" s="3"/>
      <c r="S69" s="3"/>
      <c r="T69" s="3"/>
      <c r="U69" s="3"/>
      <c r="V69" s="3"/>
    </row>
    <row r="70" spans="1:22">
      <c r="A70" s="3">
        <f t="shared" si="10"/>
        <v>1975</v>
      </c>
      <c r="B70" s="9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3"/>
      <c r="O70" s="3"/>
      <c r="P70" s="3"/>
      <c r="Q70" s="3"/>
      <c r="R70" s="3"/>
      <c r="S70" s="3"/>
      <c r="T70" s="3"/>
      <c r="U70" s="3"/>
      <c r="V70" s="3"/>
    </row>
    <row r="71" spans="1:22">
      <c r="A71" s="3">
        <f t="shared" si="10"/>
        <v>1976</v>
      </c>
      <c r="B71" s="9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3"/>
      <c r="O71" s="3"/>
      <c r="P71" s="3"/>
      <c r="Q71" s="3"/>
      <c r="R71" s="3"/>
      <c r="S71" s="3"/>
      <c r="T71" s="3"/>
      <c r="U71" s="3"/>
      <c r="V71" s="3"/>
    </row>
    <row r="72" spans="1:22">
      <c r="A72" s="3">
        <f t="shared" si="10"/>
        <v>1977</v>
      </c>
      <c r="B72" s="9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3"/>
      <c r="O72" s="3"/>
      <c r="P72" s="3"/>
      <c r="Q72" s="3"/>
      <c r="R72" s="3"/>
      <c r="S72" s="3"/>
      <c r="T72" s="3"/>
      <c r="U72" s="3"/>
      <c r="V72" s="3"/>
    </row>
    <row r="73" spans="1:22">
      <c r="A73" s="3">
        <f t="shared" si="10"/>
        <v>1978</v>
      </c>
      <c r="B73" s="9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3"/>
      <c r="O73" s="3"/>
      <c r="P73" s="3"/>
      <c r="Q73" s="3"/>
      <c r="R73" s="3"/>
      <c r="S73" s="3"/>
      <c r="T73" s="3"/>
      <c r="U73" s="3"/>
      <c r="V73" s="3"/>
    </row>
    <row r="74" spans="1:22">
      <c r="A74" s="3">
        <f t="shared" si="10"/>
        <v>1979</v>
      </c>
      <c r="B74" s="9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3"/>
      <c r="O74" s="3"/>
      <c r="P74" s="3"/>
      <c r="Q74" s="3"/>
      <c r="R74" s="3"/>
      <c r="S74" s="3"/>
      <c r="T74" s="3"/>
      <c r="U74" s="3"/>
      <c r="V74" s="3"/>
    </row>
    <row r="75" spans="1:22">
      <c r="A75" s="3">
        <f t="shared" si="10"/>
        <v>1980</v>
      </c>
      <c r="B75" s="98">
        <f>B13-'Firm Retail'!B13</f>
        <v>0</v>
      </c>
      <c r="C75" s="28">
        <f>C13-'Firm Retail'!C13</f>
        <v>0</v>
      </c>
      <c r="D75" s="28">
        <f>D13-'Firm Retail'!D13</f>
        <v>-185</v>
      </c>
      <c r="E75" s="28">
        <f>E13-'Firm Retail'!E13</f>
        <v>0</v>
      </c>
      <c r="F75" s="28">
        <f>F13-'Firm Retail'!F13</f>
        <v>0</v>
      </c>
      <c r="G75" s="28">
        <f>G13-'Firm Retail'!G13</f>
        <v>0</v>
      </c>
      <c r="H75" s="28">
        <f>H13-'Firm Retail'!H13</f>
        <v>-94</v>
      </c>
      <c r="I75" s="28">
        <f>I13-'Firm Retail'!I13</f>
        <v>0</v>
      </c>
      <c r="J75" s="28">
        <f>J13-'Firm Retail'!J13</f>
        <v>-4</v>
      </c>
      <c r="K75" s="28">
        <f>K13-'Firm Retail'!K13</f>
        <v>-34</v>
      </c>
      <c r="L75" s="28">
        <f>L13-'Firm Retail'!L13</f>
        <v>-19</v>
      </c>
      <c r="M75" s="28">
        <f>M13-'Firm Retail'!M13</f>
        <v>0</v>
      </c>
      <c r="N75" s="3"/>
      <c r="O75" s="3"/>
      <c r="P75" s="3"/>
      <c r="Q75" s="3"/>
      <c r="R75" s="3"/>
      <c r="S75" s="3"/>
      <c r="T75" s="3"/>
      <c r="U75" s="3"/>
      <c r="V75" s="3"/>
    </row>
    <row r="76" spans="1:22">
      <c r="A76" s="3">
        <f t="shared" si="10"/>
        <v>1981</v>
      </c>
      <c r="B76" s="98">
        <f>B14-'Firm Retail'!B14</f>
        <v>0</v>
      </c>
      <c r="C76" s="28">
        <f>C14-'Firm Retail'!C14</f>
        <v>-119</v>
      </c>
      <c r="D76" s="28">
        <f>D14-'Firm Retail'!D14</f>
        <v>-24</v>
      </c>
      <c r="E76" s="28">
        <f>E14-'Firm Retail'!E14</f>
        <v>-22</v>
      </c>
      <c r="F76" s="28">
        <f>F14-'Firm Retail'!F14</f>
        <v>0</v>
      </c>
      <c r="G76" s="28">
        <f>G14-'Firm Retail'!G14</f>
        <v>-35</v>
      </c>
      <c r="H76" s="28">
        <f>H14-'Firm Retail'!H14</f>
        <v>-25</v>
      </c>
      <c r="I76" s="28">
        <f>I14-'Firm Retail'!I14</f>
        <v>-4</v>
      </c>
      <c r="J76" s="28">
        <f>J14-'Firm Retail'!J14</f>
        <v>0</v>
      </c>
      <c r="K76" s="28">
        <f>K14-'Firm Retail'!K14</f>
        <v>-49</v>
      </c>
      <c r="L76" s="28">
        <f>L14-'Firm Retail'!L14</f>
        <v>0</v>
      </c>
      <c r="M76" s="28">
        <f>M14-'Firm Retail'!M14</f>
        <v>0</v>
      </c>
      <c r="N76" s="3"/>
      <c r="O76" s="3"/>
      <c r="P76" s="3"/>
      <c r="Q76" s="3"/>
      <c r="R76" s="3"/>
      <c r="S76" s="3"/>
      <c r="T76" s="3"/>
      <c r="U76" s="3"/>
      <c r="V76" s="3"/>
    </row>
    <row r="77" spans="1:22">
      <c r="A77" s="3">
        <f t="shared" si="10"/>
        <v>1982</v>
      </c>
      <c r="B77" s="98">
        <f>B15-'Firm Retail'!B15</f>
        <v>0</v>
      </c>
      <c r="C77" s="28">
        <f>C15-'Firm Retail'!C15</f>
        <v>-5</v>
      </c>
      <c r="D77" s="28">
        <f>D15-'Firm Retail'!D15</f>
        <v>-19</v>
      </c>
      <c r="E77" s="28">
        <f>E15-'Firm Retail'!E15</f>
        <v>-42</v>
      </c>
      <c r="F77" s="28">
        <f>F15-'Firm Retail'!F15</f>
        <v>-4</v>
      </c>
      <c r="G77" s="28">
        <f>G15-'Firm Retail'!G15</f>
        <v>-12</v>
      </c>
      <c r="H77" s="28">
        <f>H15-'Firm Retail'!H15</f>
        <v>-26</v>
      </c>
      <c r="I77" s="28">
        <f>I15-'Firm Retail'!I15</f>
        <v>0</v>
      </c>
      <c r="J77" s="28">
        <f>J15-'Firm Retail'!J15</f>
        <v>0</v>
      </c>
      <c r="K77" s="28">
        <f>K15-'Firm Retail'!K15</f>
        <v>0</v>
      </c>
      <c r="L77" s="28">
        <f>L15-'Firm Retail'!L15</f>
        <v>0</v>
      </c>
      <c r="M77" s="28">
        <f>M15-'Firm Retail'!M15</f>
        <v>0</v>
      </c>
      <c r="N77" s="3"/>
      <c r="O77" s="3"/>
      <c r="P77" s="3"/>
      <c r="Q77" s="3"/>
      <c r="R77" s="3"/>
      <c r="S77" s="3"/>
      <c r="T77" s="3"/>
      <c r="U77" s="3"/>
      <c r="V77" s="3"/>
    </row>
    <row r="78" spans="1:22">
      <c r="A78" s="3">
        <f t="shared" si="10"/>
        <v>1983</v>
      </c>
      <c r="B78" s="98">
        <f>B16-'Firm Retail'!B16</f>
        <v>-8</v>
      </c>
      <c r="C78" s="28">
        <f>C16-'Firm Retail'!C16</f>
        <v>0</v>
      </c>
      <c r="D78" s="28">
        <f>D16-'Firm Retail'!D16</f>
        <v>0</v>
      </c>
      <c r="E78" s="28">
        <f>E16-'Firm Retail'!E16</f>
        <v>0</v>
      </c>
      <c r="F78" s="28">
        <f>F16-'Firm Retail'!F16</f>
        <v>0</v>
      </c>
      <c r="G78" s="28">
        <f>G16-'Firm Retail'!G16</f>
        <v>0</v>
      </c>
      <c r="H78" s="28">
        <f>H16-'Firm Retail'!H16</f>
        <v>-9</v>
      </c>
      <c r="I78" s="28">
        <f>I16-'Firm Retail'!I16</f>
        <v>-59</v>
      </c>
      <c r="J78" s="28">
        <f>J16-'Firm Retail'!J16</f>
        <v>0</v>
      </c>
      <c r="K78" s="28">
        <f>K16-'Firm Retail'!K16</f>
        <v>0</v>
      </c>
      <c r="L78" s="28">
        <f>L16-'Firm Retail'!L16</f>
        <v>0</v>
      </c>
      <c r="M78" s="28">
        <f>M16-'Firm Retail'!M16</f>
        <v>0</v>
      </c>
      <c r="N78" s="3"/>
      <c r="O78" s="3"/>
      <c r="P78" s="3"/>
      <c r="Q78" s="3"/>
      <c r="R78" s="3"/>
      <c r="S78" s="3"/>
      <c r="T78" s="3"/>
      <c r="U78" s="3"/>
      <c r="V78" s="3"/>
    </row>
    <row r="79" spans="1:22">
      <c r="A79" s="3">
        <f t="shared" si="10"/>
        <v>1984</v>
      </c>
      <c r="B79" s="98">
        <f>B17-'Firm Retail'!B17</f>
        <v>0</v>
      </c>
      <c r="C79" s="28">
        <f>C17-'Firm Retail'!C17</f>
        <v>0</v>
      </c>
      <c r="D79" s="28">
        <f>D17-'Firm Retail'!D17</f>
        <v>-2</v>
      </c>
      <c r="E79" s="28">
        <f>E17-'Firm Retail'!E17</f>
        <v>-1</v>
      </c>
      <c r="F79" s="28">
        <f>F17-'Firm Retail'!F17</f>
        <v>0</v>
      </c>
      <c r="G79" s="28">
        <f>G17-'Firm Retail'!G17</f>
        <v>-4</v>
      </c>
      <c r="H79" s="28">
        <f>H17-'Firm Retail'!H17</f>
        <v>0</v>
      </c>
      <c r="I79" s="28">
        <f>I17-'Firm Retail'!I17</f>
        <v>-14</v>
      </c>
      <c r="J79" s="28">
        <f>J17-'Firm Retail'!J17</f>
        <v>0</v>
      </c>
      <c r="K79" s="28">
        <f>K17-'Firm Retail'!K17</f>
        <v>0</v>
      </c>
      <c r="L79" s="28">
        <f>L17-'Firm Retail'!L17</f>
        <v>0</v>
      </c>
      <c r="M79" s="28">
        <f>M17-'Firm Retail'!M17</f>
        <v>0</v>
      </c>
      <c r="N79" s="3"/>
      <c r="O79" s="3"/>
      <c r="P79" s="3"/>
      <c r="Q79" s="3"/>
      <c r="R79" s="3"/>
      <c r="S79" s="3"/>
      <c r="T79" s="3"/>
      <c r="U79" s="3"/>
      <c r="V79" s="3"/>
    </row>
    <row r="80" spans="1:22">
      <c r="A80" s="3">
        <f t="shared" si="10"/>
        <v>1985</v>
      </c>
      <c r="B80" s="98">
        <f>B18-'Firm Retail'!B18</f>
        <v>-28</v>
      </c>
      <c r="C80" s="28">
        <f>C18-'Firm Retail'!C18</f>
        <v>0</v>
      </c>
      <c r="D80" s="28">
        <f>D18-'Firm Retail'!D18</f>
        <v>0</v>
      </c>
      <c r="E80" s="28">
        <f>E18-'Firm Retail'!E18</f>
        <v>-31</v>
      </c>
      <c r="F80" s="28">
        <f>F18-'Firm Retail'!F18</f>
        <v>0</v>
      </c>
      <c r="G80" s="28">
        <f>G18-'Firm Retail'!G18</f>
        <v>0</v>
      </c>
      <c r="H80" s="28">
        <f>H18-'Firm Retail'!H18</f>
        <v>0</v>
      </c>
      <c r="I80" s="28">
        <f>I18-'Firm Retail'!I18</f>
        <v>-70</v>
      </c>
      <c r="J80" s="28">
        <f>J18-'Firm Retail'!J18</f>
        <v>-65</v>
      </c>
      <c r="K80" s="28">
        <f>K18-'Firm Retail'!K18</f>
        <v>-7</v>
      </c>
      <c r="L80" s="28">
        <f>L18-'Firm Retail'!L18</f>
        <v>0</v>
      </c>
      <c r="M80" s="28">
        <f>M18-'Firm Retail'!M18</f>
        <v>0</v>
      </c>
      <c r="N80" s="3"/>
      <c r="O80" s="3"/>
      <c r="P80" s="3"/>
      <c r="Q80" s="3"/>
      <c r="R80" s="3"/>
      <c r="S80" s="3"/>
      <c r="T80" s="3"/>
      <c r="U80" s="3"/>
      <c r="V80" s="3"/>
    </row>
    <row r="81" spans="1:22">
      <c r="A81" s="3">
        <f t="shared" si="10"/>
        <v>1986</v>
      </c>
      <c r="B81" s="98">
        <f>B19-'Firm Retail'!B19</f>
        <v>0</v>
      </c>
      <c r="C81" s="28">
        <f>C19-'Firm Retail'!C19</f>
        <v>0</v>
      </c>
      <c r="D81" s="28">
        <f>D19-'Firm Retail'!D19</f>
        <v>0</v>
      </c>
      <c r="E81" s="28">
        <f>E19-'Firm Retail'!E19</f>
        <v>0</v>
      </c>
      <c r="F81" s="28">
        <f>F19-'Firm Retail'!F19</f>
        <v>0</v>
      </c>
      <c r="G81" s="28">
        <f>G19-'Firm Retail'!G19</f>
        <v>-44</v>
      </c>
      <c r="H81" s="28">
        <f>H19-'Firm Retail'!H19</f>
        <v>0</v>
      </c>
      <c r="I81" s="28">
        <f>I19-'Firm Retail'!I19</f>
        <v>0</v>
      </c>
      <c r="J81" s="28">
        <f>J19-'Firm Retail'!J19</f>
        <v>-14</v>
      </c>
      <c r="K81" s="28">
        <f>K19-'Firm Retail'!K19</f>
        <v>-45</v>
      </c>
      <c r="L81" s="28">
        <f>L19-'Firm Retail'!L19</f>
        <v>-14</v>
      </c>
      <c r="M81" s="28">
        <f>M19-'Firm Retail'!M19</f>
        <v>-17</v>
      </c>
      <c r="N81" s="3"/>
      <c r="O81" s="3"/>
      <c r="P81" s="3"/>
      <c r="Q81" s="3"/>
      <c r="R81" s="3"/>
      <c r="S81" s="3"/>
      <c r="T81" s="3"/>
      <c r="U81" s="3"/>
      <c r="V81" s="3"/>
    </row>
    <row r="82" spans="1:22">
      <c r="A82" s="3">
        <f t="shared" si="10"/>
        <v>1987</v>
      </c>
      <c r="B82" s="98">
        <f>B20-'Firm Retail'!B20</f>
        <v>-41</v>
      </c>
      <c r="C82" s="28">
        <f>C20-'Firm Retail'!C20</f>
        <v>0</v>
      </c>
      <c r="D82" s="28">
        <f>D20-'Firm Retail'!D20</f>
        <v>0</v>
      </c>
      <c r="E82" s="28">
        <f>E20-'Firm Retail'!E20</f>
        <v>-24</v>
      </c>
      <c r="F82" s="28">
        <f>F20-'Firm Retail'!F20</f>
        <v>0</v>
      </c>
      <c r="G82" s="28">
        <f>G20-'Firm Retail'!G20</f>
        <v>-49</v>
      </c>
      <c r="H82" s="28">
        <f>H20-'Firm Retail'!H20</f>
        <v>0</v>
      </c>
      <c r="I82" s="28">
        <f>I20-'Firm Retail'!I20</f>
        <v>-55</v>
      </c>
      <c r="J82" s="28">
        <f>J20-'Firm Retail'!J20</f>
        <v>-48</v>
      </c>
      <c r="K82" s="28">
        <f>K20-'Firm Retail'!K20</f>
        <v>0</v>
      </c>
      <c r="L82" s="28">
        <f>L20-'Firm Retail'!L20</f>
        <v>-19</v>
      </c>
      <c r="M82" s="28">
        <f>M20-'Firm Retail'!M20</f>
        <v>0</v>
      </c>
      <c r="N82" s="3"/>
      <c r="O82" s="3"/>
      <c r="P82" s="3"/>
      <c r="Q82" s="3"/>
      <c r="R82" s="3"/>
      <c r="S82" s="3"/>
      <c r="T82" s="3"/>
      <c r="U82" s="3"/>
      <c r="V82" s="3"/>
    </row>
    <row r="83" spans="1:22">
      <c r="A83" s="3">
        <f t="shared" si="10"/>
        <v>1988</v>
      </c>
      <c r="B83" s="98">
        <f>B21-'Firm Retail'!B21</f>
        <v>0</v>
      </c>
      <c r="C83" s="28">
        <f>C21-'Firm Retail'!C21</f>
        <v>0</v>
      </c>
      <c r="D83" s="28">
        <f>D21-'Firm Retail'!D21</f>
        <v>0</v>
      </c>
      <c r="E83" s="28">
        <f>E21-'Firm Retail'!E21</f>
        <v>0</v>
      </c>
      <c r="F83" s="28">
        <f>F21-'Firm Retail'!F21</f>
        <v>0</v>
      </c>
      <c r="G83" s="28">
        <f>G21-'Firm Retail'!G21</f>
        <v>0</v>
      </c>
      <c r="H83" s="28">
        <f>H21-'Firm Retail'!H21</f>
        <v>0</v>
      </c>
      <c r="I83" s="28">
        <f>I21-'Firm Retail'!I21</f>
        <v>0</v>
      </c>
      <c r="J83" s="28">
        <f>J21-'Firm Retail'!J21</f>
        <v>-16</v>
      </c>
      <c r="K83" s="28">
        <f>K21-'Firm Retail'!K21</f>
        <v>-46</v>
      </c>
      <c r="L83" s="28">
        <f>L21-'Firm Retail'!L21</f>
        <v>-33</v>
      </c>
      <c r="M83" s="28">
        <f>M21-'Firm Retail'!M21</f>
        <v>0</v>
      </c>
      <c r="N83" s="3"/>
      <c r="O83" s="3"/>
      <c r="P83" s="3"/>
      <c r="Q83" s="3"/>
      <c r="R83" s="3"/>
      <c r="S83" s="3"/>
      <c r="T83" s="3"/>
      <c r="U83" s="3"/>
      <c r="V83" s="3"/>
    </row>
    <row r="84" spans="1:22">
      <c r="A84" s="3">
        <f t="shared" si="10"/>
        <v>1989</v>
      </c>
      <c r="B84" s="98">
        <f>B22-'Firm Retail'!B22</f>
        <v>0</v>
      </c>
      <c r="C84" s="28">
        <f>C22-'Firm Retail'!C22</f>
        <v>0</v>
      </c>
      <c r="D84" s="28">
        <f>D22-'Firm Retail'!D22</f>
        <v>0</v>
      </c>
      <c r="E84" s="28">
        <f>E22-'Firm Retail'!E22</f>
        <v>0</v>
      </c>
      <c r="F84" s="28">
        <f>F22-'Firm Retail'!F22</f>
        <v>-18</v>
      </c>
      <c r="G84" s="28">
        <f>G22-'Firm Retail'!G22</f>
        <v>-45</v>
      </c>
      <c r="H84" s="28">
        <f>H22-'Firm Retail'!H22</f>
        <v>0</v>
      </c>
      <c r="I84" s="28">
        <f>I22-'Firm Retail'!I22</f>
        <v>-16</v>
      </c>
      <c r="J84" s="28">
        <f>J22-'Firm Retail'!J22</f>
        <v>-34</v>
      </c>
      <c r="K84" s="28">
        <f>K22-'Firm Retail'!K22</f>
        <v>0</v>
      </c>
      <c r="L84" s="28">
        <f>L22-'Firm Retail'!L22</f>
        <v>0</v>
      </c>
      <c r="M84" s="28">
        <f>M22-'Firm Retail'!M22</f>
        <v>-130</v>
      </c>
      <c r="N84" s="3"/>
      <c r="O84" s="3"/>
      <c r="P84" s="3"/>
      <c r="Q84" s="3"/>
      <c r="R84" s="3"/>
      <c r="S84" s="3"/>
      <c r="T84" s="3"/>
      <c r="U84" s="3"/>
      <c r="V84" s="3"/>
    </row>
    <row r="85" spans="1:22">
      <c r="A85" s="3">
        <f t="shared" si="10"/>
        <v>1990</v>
      </c>
      <c r="B85" s="98">
        <f>B23-'Firm Retail'!B23</f>
        <v>0</v>
      </c>
      <c r="C85" s="28">
        <f>C23-'Firm Retail'!C23</f>
        <v>0</v>
      </c>
      <c r="D85" s="28">
        <f>D23-'Firm Retail'!D23</f>
        <v>-9</v>
      </c>
      <c r="E85" s="28">
        <f>E23-'Firm Retail'!E23</f>
        <v>0</v>
      </c>
      <c r="F85" s="28">
        <f>F23-'Firm Retail'!F23</f>
        <v>0</v>
      </c>
      <c r="G85" s="28">
        <f>G23-'Firm Retail'!G23</f>
        <v>-4</v>
      </c>
      <c r="H85" s="28">
        <f>H23-'Firm Retail'!H23</f>
        <v>-15</v>
      </c>
      <c r="I85" s="28">
        <f>I23-'Firm Retail'!I23</f>
        <v>0</v>
      </c>
      <c r="J85" s="28">
        <f>J23-'Firm Retail'!J23</f>
        <v>-20</v>
      </c>
      <c r="K85" s="28">
        <f>K23-'Firm Retail'!K23</f>
        <v>0</v>
      </c>
      <c r="L85" s="28">
        <f>L23-'Firm Retail'!L23</f>
        <v>0</v>
      </c>
      <c r="M85" s="28">
        <f>M23-'Firm Retail'!M23</f>
        <v>0</v>
      </c>
      <c r="N85" s="3"/>
      <c r="O85" s="3"/>
      <c r="P85" s="3"/>
      <c r="Q85" s="3"/>
      <c r="R85" s="3"/>
      <c r="S85" s="3"/>
      <c r="T85" s="3"/>
      <c r="U85" s="3"/>
      <c r="V85" s="3"/>
    </row>
    <row r="86" spans="1:22">
      <c r="A86" s="3">
        <f t="shared" si="10"/>
        <v>1991</v>
      </c>
      <c r="B86" s="98">
        <f>B24-'Firm Retail'!B24</f>
        <v>0</v>
      </c>
      <c r="C86" s="28">
        <f>C24-'Firm Retail'!C24</f>
        <v>0</v>
      </c>
      <c r="D86" s="28">
        <f>D24-'Firm Retail'!D24</f>
        <v>0</v>
      </c>
      <c r="E86" s="28">
        <f>E24-'Firm Retail'!E24</f>
        <v>0</v>
      </c>
      <c r="F86" s="28">
        <f>F24-'Firm Retail'!F24</f>
        <v>0</v>
      </c>
      <c r="G86" s="28">
        <f>G24-'Firm Retail'!G24</f>
        <v>-65</v>
      </c>
      <c r="H86" s="28">
        <f>H24-'Firm Retail'!H24</f>
        <v>0</v>
      </c>
      <c r="I86" s="28">
        <f>I24-'Firm Retail'!I24</f>
        <v>0</v>
      </c>
      <c r="J86" s="28">
        <f>J24-'Firm Retail'!J24</f>
        <v>0</v>
      </c>
      <c r="K86" s="28">
        <f>K24-'Firm Retail'!K24</f>
        <v>-17</v>
      </c>
      <c r="L86" s="28">
        <f>L24-'Firm Retail'!L24</f>
        <v>0</v>
      </c>
      <c r="M86" s="28">
        <f>M24-'Firm Retail'!M24</f>
        <v>0</v>
      </c>
      <c r="N86" s="3"/>
      <c r="O86" s="3"/>
      <c r="P86" s="3"/>
      <c r="Q86" s="3"/>
      <c r="R86" s="3"/>
      <c r="S86" s="3"/>
      <c r="T86" s="3"/>
      <c r="U86" s="3"/>
      <c r="V86" s="3"/>
    </row>
    <row r="87" spans="1:22">
      <c r="A87" s="3">
        <f t="shared" si="10"/>
        <v>1992</v>
      </c>
      <c r="B87" s="98">
        <f>B25-'Firm Retail'!B25</f>
        <v>0</v>
      </c>
      <c r="C87" s="28">
        <f>C25-'Firm Retail'!C25</f>
        <v>0</v>
      </c>
      <c r="D87" s="28">
        <f>D25-'Firm Retail'!D25</f>
        <v>0</v>
      </c>
      <c r="E87" s="28">
        <f>E25-'Firm Retail'!E25</f>
        <v>-20</v>
      </c>
      <c r="F87" s="28">
        <f>F25-'Firm Retail'!F25</f>
        <v>-5</v>
      </c>
      <c r="G87" s="28">
        <f>G25-'Firm Retail'!G25</f>
        <v>-48</v>
      </c>
      <c r="H87" s="28">
        <f>H25-'Firm Retail'!H25</f>
        <v>-4</v>
      </c>
      <c r="I87" s="28">
        <f>I25-'Firm Retail'!I25</f>
        <v>0</v>
      </c>
      <c r="J87" s="28">
        <f>J25-'Firm Retail'!J25</f>
        <v>0</v>
      </c>
      <c r="K87" s="28">
        <f>K25-'Firm Retail'!K25</f>
        <v>0</v>
      </c>
      <c r="L87" s="28">
        <f>L25-'Firm Retail'!L25</f>
        <v>0</v>
      </c>
      <c r="M87" s="28">
        <f>M25-'Firm Retail'!M25</f>
        <v>0</v>
      </c>
      <c r="N87" s="3"/>
      <c r="O87" s="3"/>
      <c r="P87" s="3"/>
      <c r="Q87" s="3"/>
      <c r="R87" s="3"/>
      <c r="S87" s="3"/>
      <c r="T87" s="3"/>
      <c r="U87" s="3"/>
      <c r="V87" s="3"/>
    </row>
    <row r="88" spans="1:22">
      <c r="A88" s="3">
        <f t="shared" si="10"/>
        <v>1993</v>
      </c>
      <c r="B88" s="98">
        <f>B26-'Firm Retail'!B26</f>
        <v>0</v>
      </c>
      <c r="C88" s="28">
        <f>C26-'Firm Retail'!C26</f>
        <v>0</v>
      </c>
      <c r="D88" s="28">
        <f>D26-'Firm Retail'!D26</f>
        <v>0</v>
      </c>
      <c r="E88" s="28">
        <f>E26-'Firm Retail'!E26</f>
        <v>0</v>
      </c>
      <c r="F88" s="28">
        <f>F26-'Firm Retail'!F26</f>
        <v>0</v>
      </c>
      <c r="G88" s="28">
        <f>G26-'Firm Retail'!G26</f>
        <v>0</v>
      </c>
      <c r="H88" s="28">
        <f>H26-'Firm Retail'!H26</f>
        <v>0</v>
      </c>
      <c r="I88" s="28">
        <f>I26-'Firm Retail'!I26</f>
        <v>36</v>
      </c>
      <c r="J88" s="28">
        <f>J26-'Firm Retail'!J26</f>
        <v>0</v>
      </c>
      <c r="K88" s="28">
        <f>K26-'Firm Retail'!K26</f>
        <v>0</v>
      </c>
      <c r="L88" s="28">
        <f>L26-'Firm Retail'!L26</f>
        <v>0</v>
      </c>
      <c r="M88" s="28">
        <f>M26-'Firm Retail'!M26</f>
        <v>0</v>
      </c>
      <c r="N88" s="3"/>
      <c r="O88" s="3"/>
      <c r="P88" s="3"/>
      <c r="Q88" s="3"/>
      <c r="R88" s="3"/>
      <c r="S88" s="3"/>
      <c r="T88" s="3"/>
      <c r="U88" s="3"/>
      <c r="V88" s="3"/>
    </row>
    <row r="89" spans="1:22">
      <c r="A89" s="3">
        <f t="shared" si="10"/>
        <v>1994</v>
      </c>
      <c r="B89" s="98">
        <f>B27-'Firm Retail'!B27</f>
        <v>0</v>
      </c>
      <c r="C89" s="28">
        <f>C27-'Firm Retail'!C27</f>
        <v>0</v>
      </c>
      <c r="D89" s="28">
        <f>D27-'Firm Retail'!D27</f>
        <v>0</v>
      </c>
      <c r="E89" s="28">
        <f>E27-'Firm Retail'!E27</f>
        <v>-18</v>
      </c>
      <c r="F89" s="28">
        <f>F27-'Firm Retail'!F27</f>
        <v>-16</v>
      </c>
      <c r="G89" s="28">
        <f>G27-'Firm Retail'!G27</f>
        <v>-2</v>
      </c>
      <c r="H89" s="28">
        <f>H27-'Firm Retail'!H27</f>
        <v>0</v>
      </c>
      <c r="I89" s="28">
        <f>I27-'Firm Retail'!I27</f>
        <v>0</v>
      </c>
      <c r="J89" s="28">
        <f>J27-'Firm Retail'!J27</f>
        <v>0</v>
      </c>
      <c r="K89" s="28">
        <f>K27-'Firm Retail'!K27</f>
        <v>0</v>
      </c>
      <c r="L89" s="28">
        <f>L27-'Firm Retail'!L27</f>
        <v>-34</v>
      </c>
      <c r="M89" s="28">
        <f>M27-'Firm Retail'!M27</f>
        <v>0</v>
      </c>
      <c r="N89" s="3"/>
      <c r="O89" s="3"/>
      <c r="P89" s="3"/>
      <c r="Q89" s="3"/>
      <c r="R89" s="3"/>
      <c r="S89" s="3"/>
      <c r="T89" s="3"/>
      <c r="U89" s="3"/>
      <c r="V89" s="3"/>
    </row>
    <row r="90" spans="1:22">
      <c r="A90" s="3">
        <f t="shared" si="10"/>
        <v>1995</v>
      </c>
      <c r="B90" s="98">
        <f>B28-'Firm Retail'!B28</f>
        <v>0</v>
      </c>
      <c r="C90" s="28">
        <f>C28-'Firm Retail'!C28</f>
        <v>0</v>
      </c>
      <c r="D90" s="28">
        <f>D28-'Firm Retail'!D28</f>
        <v>-50</v>
      </c>
      <c r="E90" s="28">
        <f>E28-'Firm Retail'!E28</f>
        <v>0</v>
      </c>
      <c r="F90" s="28">
        <f>F28-'Firm Retail'!F28</f>
        <v>-80</v>
      </c>
      <c r="G90" s="28">
        <f>G28-'Firm Retail'!G28</f>
        <v>0</v>
      </c>
      <c r="H90" s="28">
        <f>H28-'Firm Retail'!H28</f>
        <v>0</v>
      </c>
      <c r="I90" s="28">
        <f>I28-'Firm Retail'!I28</f>
        <v>0</v>
      </c>
      <c r="J90" s="28">
        <f>J28-'Firm Retail'!J28</f>
        <v>0</v>
      </c>
      <c r="K90" s="28">
        <f>K28-'Firm Retail'!K28</f>
        <v>0</v>
      </c>
      <c r="L90" s="28">
        <f>L28-'Firm Retail'!L28</f>
        <v>0</v>
      </c>
      <c r="M90" s="28">
        <f>M28-'Firm Retail'!M28</f>
        <v>0</v>
      </c>
      <c r="N90" s="3"/>
      <c r="O90" s="3"/>
      <c r="P90" s="3"/>
      <c r="Q90" s="3"/>
      <c r="R90" s="3"/>
      <c r="S90" s="3"/>
      <c r="T90" s="3"/>
      <c r="U90" s="3"/>
      <c r="V90" s="3"/>
    </row>
    <row r="91" spans="1:22">
      <c r="A91" s="3">
        <f t="shared" si="10"/>
        <v>1996</v>
      </c>
      <c r="B91" s="98">
        <f>B29-'Firm Retail'!B29</f>
        <v>0</v>
      </c>
      <c r="C91" s="28">
        <f>C29-'Firm Retail'!C29</f>
        <v>0</v>
      </c>
      <c r="D91" s="28">
        <f>D29-'Firm Retail'!D29</f>
        <v>18</v>
      </c>
      <c r="E91" s="28">
        <f>E29-'Firm Retail'!E29</f>
        <v>0</v>
      </c>
      <c r="F91" s="28">
        <f>F29-'Firm Retail'!F29</f>
        <v>0</v>
      </c>
      <c r="G91" s="28">
        <f>G29-'Firm Retail'!G29</f>
        <v>0</v>
      </c>
      <c r="H91" s="28">
        <f>H29-'Firm Retail'!H29</f>
        <v>0</v>
      </c>
      <c r="I91" s="28">
        <f>I29-'Firm Retail'!I29</f>
        <v>0</v>
      </c>
      <c r="J91" s="28">
        <f>J29-'Firm Retail'!J29</f>
        <v>0</v>
      </c>
      <c r="K91" s="28">
        <f>K29-'Firm Retail'!K29</f>
        <v>0</v>
      </c>
      <c r="L91" s="28">
        <f>L29-'Firm Retail'!L29</f>
        <v>0</v>
      </c>
      <c r="M91" s="28">
        <f>M29-'Firm Retail'!M29</f>
        <v>0</v>
      </c>
      <c r="N91" s="3"/>
      <c r="O91" s="3"/>
      <c r="P91" s="3"/>
      <c r="Q91" s="3"/>
      <c r="R91" s="3"/>
      <c r="S91" s="3"/>
      <c r="T91" s="3"/>
      <c r="U91" s="3"/>
      <c r="V91" s="3"/>
    </row>
    <row r="92" spans="1:22">
      <c r="A92" s="3">
        <f t="shared" si="10"/>
        <v>1997</v>
      </c>
      <c r="B92" s="98">
        <f>B30-'Firm Retail'!B30</f>
        <v>0</v>
      </c>
      <c r="C92" s="28">
        <f>C30-'Firm Retail'!C30</f>
        <v>0</v>
      </c>
      <c r="D92" s="28">
        <f>D30-'Firm Retail'!D30</f>
        <v>0</v>
      </c>
      <c r="E92" s="28">
        <f>E30-'Firm Retail'!E30</f>
        <v>0</v>
      </c>
      <c r="F92" s="28">
        <f>F30-'Firm Retail'!F30</f>
        <v>0</v>
      </c>
      <c r="G92" s="28">
        <f>G30-'Firm Retail'!G30</f>
        <v>0</v>
      </c>
      <c r="H92" s="28">
        <f>H30-'Firm Retail'!H30</f>
        <v>0</v>
      </c>
      <c r="I92" s="28">
        <f>I30-'Firm Retail'!I30</f>
        <v>0</v>
      </c>
      <c r="J92" s="28">
        <f>J30-'Firm Retail'!J30</f>
        <v>0</v>
      </c>
      <c r="K92" s="28">
        <f>K30-'Firm Retail'!K30</f>
        <v>0</v>
      </c>
      <c r="L92" s="28">
        <f>L30-'Firm Retail'!L30</f>
        <v>0</v>
      </c>
      <c r="M92" s="28">
        <f>M30-'Firm Retail'!M30</f>
        <v>0</v>
      </c>
      <c r="N92" s="3"/>
      <c r="O92" s="3"/>
      <c r="P92" s="3"/>
      <c r="Q92" s="3"/>
      <c r="R92" s="3"/>
      <c r="S92" s="3"/>
      <c r="T92" s="3"/>
      <c r="U92" s="3"/>
      <c r="V92" s="3"/>
    </row>
    <row r="93" spans="1:22">
      <c r="A93" s="3">
        <f t="shared" si="10"/>
        <v>1998</v>
      </c>
      <c r="B93" s="98">
        <f>B31-'Firm Retail'!B31</f>
        <v>0</v>
      </c>
      <c r="C93" s="28">
        <f>C31-'Firm Retail'!C31</f>
        <v>0</v>
      </c>
      <c r="D93" s="28">
        <f>D31-'Firm Retail'!D31</f>
        <v>0</v>
      </c>
      <c r="E93" s="28">
        <f>E31-'Firm Retail'!E31</f>
        <v>0</v>
      </c>
      <c r="F93" s="28">
        <f>F31-'Firm Retail'!F31</f>
        <v>-28</v>
      </c>
      <c r="G93" s="28">
        <f>G31-'Firm Retail'!G31</f>
        <v>-87</v>
      </c>
      <c r="H93" s="28">
        <f>H31-'Firm Retail'!H31</f>
        <v>0</v>
      </c>
      <c r="I93" s="28">
        <f>I31-'Firm Retail'!I31</f>
        <v>0</v>
      </c>
      <c r="J93" s="28">
        <f>J31-'Firm Retail'!J31</f>
        <v>0</v>
      </c>
      <c r="K93" s="28">
        <f>K31-'Firm Retail'!K31</f>
        <v>0</v>
      </c>
      <c r="L93" s="28">
        <f>L31-'Firm Retail'!L31</f>
        <v>-40</v>
      </c>
      <c r="M93" s="28">
        <f>M31-'Firm Retail'!M31</f>
        <v>-86</v>
      </c>
      <c r="N93" s="3"/>
      <c r="O93" s="3"/>
      <c r="P93" s="3"/>
      <c r="Q93" s="3"/>
      <c r="R93" s="3"/>
      <c r="S93" s="3"/>
      <c r="T93" s="3"/>
      <c r="U93" s="3"/>
      <c r="V93" s="3"/>
    </row>
    <row r="94" spans="1:22">
      <c r="A94" s="3">
        <f t="shared" si="10"/>
        <v>1999</v>
      </c>
      <c r="B94" s="98">
        <f>B32-'Firm Retail'!B32</f>
        <v>0</v>
      </c>
      <c r="C94" s="28">
        <f>C32-'Firm Retail'!C32</f>
        <v>0</v>
      </c>
      <c r="D94" s="28">
        <f>D32-'Firm Retail'!D32</f>
        <v>-2</v>
      </c>
      <c r="E94" s="28">
        <f>E32-'Firm Retail'!E32</f>
        <v>0</v>
      </c>
      <c r="F94" s="28">
        <f>F32-'Firm Retail'!F32</f>
        <v>-53</v>
      </c>
      <c r="G94" s="28">
        <f>G32-'Firm Retail'!G32</f>
        <v>0</v>
      </c>
      <c r="H94" s="28">
        <f>H32-'Firm Retail'!H32</f>
        <v>0</v>
      </c>
      <c r="I94" s="28">
        <f>I32-'Firm Retail'!I32</f>
        <v>0</v>
      </c>
      <c r="J94" s="28">
        <f>J32-'Firm Retail'!J32</f>
        <v>-60</v>
      </c>
      <c r="K94" s="28">
        <f>K32-'Firm Retail'!K32</f>
        <v>0</v>
      </c>
      <c r="L94" s="28">
        <f>L32-'Firm Retail'!L32</f>
        <v>0</v>
      </c>
      <c r="M94" s="28">
        <f>M32-'Firm Retail'!M32</f>
        <v>0</v>
      </c>
      <c r="N94" s="3"/>
      <c r="O94" s="3"/>
      <c r="P94" s="3"/>
      <c r="Q94" s="3"/>
      <c r="R94" s="3"/>
      <c r="S94" s="3"/>
      <c r="T94" s="3"/>
      <c r="U94" s="3"/>
      <c r="V94" s="3"/>
    </row>
    <row r="95" spans="1:22">
      <c r="A95" s="3">
        <f t="shared" si="10"/>
        <v>2000</v>
      </c>
      <c r="B95" s="98">
        <f>B33-ROUND('Firm Retail'!B33,0)</f>
        <v>-1</v>
      </c>
      <c r="C95" s="28">
        <f>C33-'Firm Retail'!C33</f>
        <v>-3</v>
      </c>
      <c r="D95" s="28">
        <f>D33-'Firm Retail'!D33</f>
        <v>0</v>
      </c>
      <c r="E95" s="28">
        <f>E33-'Firm Retail'!E33</f>
        <v>0</v>
      </c>
      <c r="F95" s="28">
        <f>F33-'Firm Retail'!F33</f>
        <v>0</v>
      </c>
      <c r="G95" s="28">
        <f>G33-'Firm Retail'!G33</f>
        <v>0</v>
      </c>
      <c r="H95" s="28">
        <f>H33-'Firm Retail'!H33</f>
        <v>0</v>
      </c>
      <c r="I95" s="28">
        <f>I33-'Firm Retail'!I33</f>
        <v>0</v>
      </c>
      <c r="J95" s="28">
        <f>J33-'Firm Retail'!J33</f>
        <v>0</v>
      </c>
      <c r="K95" s="28">
        <f>K33-'Firm Retail'!K33</f>
        <v>-182</v>
      </c>
      <c r="L95" s="28">
        <f>L33-'Firm Retail'!L33</f>
        <v>0.36999999999989086</v>
      </c>
      <c r="M95" s="28">
        <f>M33-'Firm Retail'!M33</f>
        <v>0.183100000000195</v>
      </c>
      <c r="N95" s="3"/>
      <c r="O95" s="3"/>
      <c r="P95" s="3"/>
      <c r="Q95" s="3"/>
      <c r="R95" s="3"/>
      <c r="S95" s="3"/>
      <c r="T95" s="3"/>
      <c r="U95" s="3"/>
      <c r="V95" s="3"/>
    </row>
    <row r="96" spans="1:22">
      <c r="A96" s="3">
        <f t="shared" si="10"/>
        <v>2001</v>
      </c>
      <c r="B96" s="98">
        <f>B34-ROUND('Firm Retail'!B34,0)</f>
        <v>0</v>
      </c>
      <c r="C96" s="28">
        <f>C34-'Firm Retail'!C34</f>
        <v>0</v>
      </c>
      <c r="D96" s="28">
        <f>D34-'Firm Retail'!D34</f>
        <v>0</v>
      </c>
      <c r="E96" s="28">
        <f>E34-'Firm Retail'!E34</f>
        <v>0</v>
      </c>
      <c r="F96" s="28">
        <f>F34-'Firm Retail'!F34</f>
        <v>0</v>
      </c>
      <c r="G96" s="28">
        <f>G34-'Firm Retail'!G34</f>
        <v>0</v>
      </c>
      <c r="H96" s="28">
        <f>H34-'Firm Retail'!H34</f>
        <v>0</v>
      </c>
      <c r="I96" s="28">
        <f>I34-'Firm Retail'!I34</f>
        <v>0</v>
      </c>
      <c r="J96" s="28">
        <f>J34-'Firm Retail'!J34</f>
        <v>0</v>
      </c>
      <c r="K96" s="28">
        <f>K34-'Firm Retail'!K34</f>
        <v>0</v>
      </c>
      <c r="L96" s="28">
        <f>L34-'Firm Retail'!L34</f>
        <v>-24</v>
      </c>
      <c r="M96" s="28">
        <f>M34-'Firm Retail'!M34</f>
        <v>-4</v>
      </c>
    </row>
    <row r="97" spans="1:13">
      <c r="A97" s="3">
        <f t="shared" si="10"/>
        <v>2002</v>
      </c>
      <c r="B97" s="98">
        <f>B35-ROUND('Firm Retail'!B35,0)</f>
        <v>0</v>
      </c>
      <c r="C97" s="28">
        <f>C35-'Firm Retail'!C35</f>
        <v>1</v>
      </c>
      <c r="D97" s="28">
        <f>D35-'Firm Retail'!D35</f>
        <v>1</v>
      </c>
      <c r="E97" s="28">
        <f>E35-'Firm Retail'!E35</f>
        <v>0</v>
      </c>
      <c r="F97" s="28">
        <f>F35-'Firm Retail'!F35</f>
        <v>0</v>
      </c>
      <c r="G97" s="28">
        <f>G35-'Firm Retail'!G35</f>
        <v>0</v>
      </c>
      <c r="H97" s="28">
        <f>H35-'Firm Retail'!H35</f>
        <v>-9</v>
      </c>
      <c r="I97" s="28">
        <f>I35-'Firm Retail'!I35</f>
        <v>1</v>
      </c>
      <c r="J97" s="28">
        <f>J35-'Firm Retail'!J35</f>
        <v>0</v>
      </c>
      <c r="K97" s="28">
        <f>K35-'Firm Retail'!K35</f>
        <v>-27</v>
      </c>
      <c r="L97" s="28">
        <f>L35-'Firm Retail'!L35</f>
        <v>0</v>
      </c>
      <c r="M97" s="28">
        <f>M35-'Firm Retail'!M35</f>
        <v>0</v>
      </c>
    </row>
    <row r="98" spans="1:13">
      <c r="A98" s="3">
        <f t="shared" si="10"/>
        <v>2003</v>
      </c>
      <c r="B98" s="98">
        <f>B36-ROUND('Firm Retail'!B36,0)</f>
        <v>0</v>
      </c>
      <c r="C98" s="28">
        <f>C36-'Firm Retail'!C36</f>
        <v>-1</v>
      </c>
      <c r="D98" s="28">
        <f>D36-'Firm Retail'!D36</f>
        <v>0</v>
      </c>
      <c r="E98" s="28">
        <f>E36-'Firm Retail'!E36</f>
        <v>0</v>
      </c>
      <c r="F98" s="28">
        <f>F36-'Firm Retail'!F36</f>
        <v>1</v>
      </c>
      <c r="G98" s="28">
        <f>G36-'Firm Retail'!G36</f>
        <v>0</v>
      </c>
      <c r="H98" s="28">
        <f>H36-'Firm Retail'!H36</f>
        <v>0</v>
      </c>
      <c r="I98" s="28">
        <f>I36-'Firm Retail'!I36</f>
        <v>0</v>
      </c>
      <c r="J98" s="28">
        <f>J36-'Firm Retail'!J36</f>
        <v>1</v>
      </c>
      <c r="K98" s="28">
        <f>K36-'Firm Retail'!K36</f>
        <v>0</v>
      </c>
      <c r="L98" s="28">
        <f>L36-'Firm Retail'!L36</f>
        <v>1</v>
      </c>
      <c r="M98" s="28">
        <f>M36-'Firm Retail'!M36</f>
        <v>1</v>
      </c>
    </row>
    <row r="99" spans="1:13">
      <c r="A99" s="3">
        <f t="shared" si="10"/>
        <v>2004</v>
      </c>
      <c r="B99" s="98">
        <f>B37-ROUND('Firm Retail'!B37,0)</f>
        <v>0</v>
      </c>
      <c r="C99" s="28">
        <f>C37-'Firm Retail'!C37</f>
        <v>0</v>
      </c>
      <c r="D99" s="28">
        <f>D37-'Firm Retail'!D37</f>
        <v>0</v>
      </c>
      <c r="E99" s="28">
        <f>E37-'Firm Retail'!E37</f>
        <v>0</v>
      </c>
      <c r="F99" s="28">
        <f>F37-'Firm Retail'!F37</f>
        <v>0</v>
      </c>
      <c r="G99" s="28">
        <f>G37-'Firm Retail'!G37</f>
        <v>0</v>
      </c>
      <c r="H99" s="28">
        <f>H37-'Firm Retail'!H37</f>
        <v>0</v>
      </c>
      <c r="I99" s="28">
        <f>I37-'Firm Retail'!I37</f>
        <v>-42</v>
      </c>
      <c r="J99" s="28">
        <f>J37-'Firm Retail'!J37</f>
        <v>-34</v>
      </c>
      <c r="K99" s="28">
        <f>K37-'Firm Retail'!K37</f>
        <v>0</v>
      </c>
      <c r="L99" s="28">
        <f>L37-'Firm Retail'!L37</f>
        <v>0</v>
      </c>
      <c r="M99" s="28">
        <f>M37-'Firm Retail'!M37</f>
        <v>1</v>
      </c>
    </row>
    <row r="100" spans="1:13">
      <c r="A100" s="3">
        <f t="shared" si="10"/>
        <v>2005</v>
      </c>
      <c r="B100" s="98">
        <f>B38-ROUND('Firm Retail'!B38,0)</f>
        <v>0</v>
      </c>
      <c r="C100" s="28">
        <f>C38-'Firm Retail'!C38</f>
        <v>-35</v>
      </c>
      <c r="D100" s="28">
        <f>D38-'Firm Retail'!D38</f>
        <v>-5</v>
      </c>
      <c r="E100" s="28">
        <f>E38-'Firm Retail'!E38</f>
        <v>1</v>
      </c>
      <c r="F100" s="28">
        <f>F38-'Firm Retail'!F38</f>
        <v>-3</v>
      </c>
      <c r="G100" s="28">
        <f>G38-'Firm Retail'!G38</f>
        <v>0</v>
      </c>
      <c r="H100" s="28">
        <f>H38-'Firm Retail'!H38</f>
        <v>-12</v>
      </c>
      <c r="I100" s="28">
        <f>I38-'Firm Retail'!I38</f>
        <v>1</v>
      </c>
      <c r="J100" s="28">
        <f>J38-'Firm Retail'!J38</f>
        <v>-1</v>
      </c>
      <c r="K100" s="28">
        <f>K38-'Firm Retail'!K38</f>
        <v>0</v>
      </c>
      <c r="L100" s="28">
        <f>L38-'Firm Retail'!L38</f>
        <v>0</v>
      </c>
      <c r="M100" s="28">
        <f>M38-'Firm Retail'!M38</f>
        <v>-14</v>
      </c>
    </row>
    <row r="101" spans="1:13">
      <c r="A101" s="3">
        <f t="shared" si="10"/>
        <v>2006</v>
      </c>
      <c r="B101" s="98">
        <f>B39-ROUND('Firm Retail'!B39,0)</f>
        <v>0</v>
      </c>
      <c r="C101" s="28">
        <f>C39-'Firm Retail'!C39</f>
        <v>0</v>
      </c>
      <c r="D101" s="28">
        <f>D39-'Firm Retail'!D39</f>
        <v>-1</v>
      </c>
      <c r="E101" s="28">
        <f>E39-'Firm Retail'!E39</f>
        <v>1</v>
      </c>
      <c r="F101" s="28">
        <f>F39-'Firm Retail'!F39</f>
        <v>0</v>
      </c>
      <c r="G101" s="28">
        <f>G39-'Firm Retail'!G39</f>
        <v>1</v>
      </c>
      <c r="H101" s="28">
        <f>H39-'Firm Retail'!H39</f>
        <v>-4</v>
      </c>
      <c r="I101" s="28">
        <f>I39-'Firm Retail'!I39</f>
        <v>0</v>
      </c>
      <c r="J101" s="28">
        <f>J39-'Firm Retail'!J39</f>
        <v>0</v>
      </c>
      <c r="K101" s="28">
        <f>K39-'Firm Retail'!K39</f>
        <v>-10</v>
      </c>
      <c r="L101" s="28">
        <f>L39-'Firm Retail'!L39</f>
        <v>0</v>
      </c>
      <c r="M101" s="28">
        <f>M39-'Firm Retail'!M39</f>
        <v>0</v>
      </c>
    </row>
    <row r="102" spans="1:13">
      <c r="A102" s="3">
        <f t="shared" si="10"/>
        <v>2007</v>
      </c>
      <c r="B102" s="98">
        <f>B40-ROUND('Firm Retail'!B40,0)</f>
        <v>0.36583641886818441</v>
      </c>
      <c r="C102" s="28">
        <f>C40-'Firm Retail'!C40</f>
        <v>0</v>
      </c>
      <c r="D102" s="28">
        <f>D40-'Firm Retail'!D40</f>
        <v>0</v>
      </c>
      <c r="E102" s="28">
        <f>E40-'Firm Retail'!E40</f>
        <v>-39.603234252817401</v>
      </c>
      <c r="F102" s="28">
        <f>F40-'Firm Retail'!F40</f>
        <v>0</v>
      </c>
      <c r="G102" s="28">
        <f>G40-'Firm Retail'!G40</f>
        <v>-29.544840693647984</v>
      </c>
      <c r="H102" s="28">
        <f>H40-'Firm Retail'!H40</f>
        <v>0</v>
      </c>
      <c r="I102" s="28">
        <f>I40-'Firm Retail'!I40</f>
        <v>0</v>
      </c>
      <c r="J102" s="28">
        <f>J40-'Firm Retail'!J40</f>
        <v>-87.364994113293051</v>
      </c>
      <c r="K102" s="28">
        <f>K40-'Firm Retail'!K40</f>
        <v>0</v>
      </c>
      <c r="L102" s="28">
        <f>L40-'Firm Retail'!L40</f>
        <v>0</v>
      </c>
      <c r="M102" s="28">
        <f>M40-'Firm Retail'!M40</f>
        <v>0</v>
      </c>
    </row>
    <row r="103" spans="1:13">
      <c r="A103" s="3">
        <f t="shared" si="10"/>
        <v>2008</v>
      </c>
      <c r="B103" s="98">
        <f>B41-ROUND('Firm Retail'!B41,0)</f>
        <v>-0.37896332389163945</v>
      </c>
      <c r="C103" s="28">
        <f>C41-'Firm Retail'!C41</f>
        <v>0</v>
      </c>
      <c r="D103" s="28">
        <f>D41-'Firm Retail'!D41</f>
        <v>0</v>
      </c>
      <c r="E103" s="28">
        <f>E41-'Firm Retail'!E41</f>
        <v>0</v>
      </c>
      <c r="F103" s="28">
        <f>F41-'Firm Retail'!F41</f>
        <v>-19.126216987974658</v>
      </c>
      <c r="G103" s="28">
        <f>G41-'Firm Retail'!G41</f>
        <v>0</v>
      </c>
      <c r="H103" s="28">
        <f>H41-'Firm Retail'!H41</f>
        <v>0</v>
      </c>
      <c r="I103" s="28">
        <f>I41-'Firm Retail'!I41</f>
        <v>0</v>
      </c>
      <c r="J103" s="28">
        <f>J41-'Firm Retail'!J41</f>
        <v>0</v>
      </c>
      <c r="K103" s="28">
        <f>K41-'Firm Retail'!K41</f>
        <v>-6.8519377347679438</v>
      </c>
      <c r="L103" s="28">
        <f>L41-'Firm Retail'!L41</f>
        <v>0</v>
      </c>
      <c r="M103" s="28">
        <f>M41-'Firm Retail'!M41</f>
        <v>0</v>
      </c>
    </row>
    <row r="104" spans="1:13">
      <c r="A104" s="3">
        <f t="shared" si="10"/>
        <v>2009</v>
      </c>
      <c r="B104" s="98">
        <f>B42-ROUND('Firm Retail'!B42,0)</f>
        <v>-0.11025765713429792</v>
      </c>
      <c r="C104" s="28">
        <f>C42-'Firm Retail'!C42</f>
        <v>0</v>
      </c>
      <c r="D104" s="28">
        <f>D42-'Firm Retail'!D42</f>
        <v>0</v>
      </c>
      <c r="E104" s="28">
        <f>E42-'Firm Retail'!E42</f>
        <v>0</v>
      </c>
      <c r="F104" s="28">
        <f>F42-'Firm Retail'!F42</f>
        <v>0</v>
      </c>
      <c r="G104" s="28">
        <f>G42-'Firm Retail'!G42</f>
        <v>0.21564910147571936</v>
      </c>
      <c r="H104" s="28">
        <f>H42-'Firm Retail'!H42</f>
        <v>-27.900000000000091</v>
      </c>
      <c r="I104" s="28">
        <f>I42-'Firm Retail'!I42</f>
        <v>0.34254335887362686</v>
      </c>
      <c r="J104" s="28">
        <f>J42-'Firm Retail'!J42</f>
        <v>0</v>
      </c>
      <c r="K104" s="28">
        <f>K42-'Firm Retail'!K42</f>
        <v>0</v>
      </c>
      <c r="L104" s="28">
        <f>L42-'Firm Retail'!L42</f>
        <v>-0.81879504690914473</v>
      </c>
      <c r="M104" s="28">
        <f>M42-'Firm Retail'!M42</f>
        <v>-12.622575485457219</v>
      </c>
    </row>
    <row r="105" spans="1:13">
      <c r="A105" s="3">
        <f t="shared" si="10"/>
        <v>2010</v>
      </c>
      <c r="B105" s="98">
        <f>B43-ROUND('Firm Retail'!B43,0)</f>
        <v>4.334493732858391E-2</v>
      </c>
      <c r="C105" s="28">
        <f>C43-'Firm Retail'!C43</f>
        <v>0</v>
      </c>
      <c r="D105" s="28">
        <f>D43-'Firm Retail'!D43</f>
        <v>0.41705801731268366</v>
      </c>
      <c r="E105" s="28">
        <f>E43-'Firm Retail'!E43</f>
        <v>0</v>
      </c>
      <c r="F105" s="28">
        <f>F43-'Firm Retail'!F43</f>
        <v>6.4604212766475939</v>
      </c>
      <c r="G105" s="28">
        <f>G43-'Firm Retail'!G43</f>
        <v>0</v>
      </c>
      <c r="H105" s="28">
        <f>H43-'Firm Retail'!H43</f>
        <v>59.278192140134252</v>
      </c>
      <c r="I105" s="28">
        <f>I43-'Firm Retail'!I43</f>
        <v>52.192978650955411</v>
      </c>
      <c r="J105" s="28">
        <f>J43-'Firm Retail'!J43</f>
        <v>0</v>
      </c>
      <c r="K105" s="28">
        <f>K43-'Firm Retail'!K43</f>
        <v>-0.12956760170527559</v>
      </c>
      <c r="L105" s="28">
        <f>L43-'Firm Retail'!L43</f>
        <v>97.388113204107412</v>
      </c>
      <c r="M105" s="28">
        <f>M43-'Firm Retail'!M43</f>
        <v>-27</v>
      </c>
    </row>
    <row r="106" spans="1:13">
      <c r="A106" s="3">
        <f t="shared" si="10"/>
        <v>2011</v>
      </c>
      <c r="B106" s="98">
        <f>B44-ROUND('Firm Retail'!B44,0)</f>
        <v>0.27239257263954642</v>
      </c>
      <c r="C106" s="28">
        <f>C44-'Firm Retail'!C44</f>
        <v>0</v>
      </c>
      <c r="D106" s="28">
        <f>D44-'Firm Retail'!D44</f>
        <v>0</v>
      </c>
      <c r="E106" s="28">
        <f>E44-'Firm Retail'!E44</f>
        <v>-19.298515344106818</v>
      </c>
      <c r="F106" s="28">
        <f>F44-'Firm Retail'!F44</f>
        <v>-23.091384602812923</v>
      </c>
      <c r="G106" s="28">
        <f>G44-'Firm Retail'!G44</f>
        <v>0.19594457271068677</v>
      </c>
      <c r="H106" s="28">
        <f>H44-'Firm Retail'!H44</f>
        <v>0</v>
      </c>
      <c r="I106" s="28">
        <f>I44-'Firm Retail'!I44</f>
        <v>0</v>
      </c>
      <c r="J106" s="28">
        <f>J44-'Firm Retail'!J44</f>
        <v>0</v>
      </c>
      <c r="K106" s="28">
        <f>K44-'Firm Retail'!K44</f>
        <v>-15.245952649354876</v>
      </c>
      <c r="L106" s="28">
        <f>L44-'Firm Retail'!L44</f>
        <v>0</v>
      </c>
      <c r="M106" s="28">
        <f>M44-'Firm Retail'!M44</f>
        <v>-18.355989324807979</v>
      </c>
    </row>
    <row r="107" spans="1:13">
      <c r="A107" s="3">
        <f t="shared" si="10"/>
        <v>2012</v>
      </c>
      <c r="B107" s="98">
        <f>B45-ROUND('Firm Retail'!B45,0)</f>
        <v>-22.64389451238776</v>
      </c>
      <c r="C107" s="28">
        <f>C45-'Firm Retail'!C45</f>
        <v>0</v>
      </c>
      <c r="D107" s="28">
        <f>D45-'Firm Retail'!D45</f>
        <v>-10.633759343385918</v>
      </c>
      <c r="E107" s="28">
        <f>E45-'Firm Retail'!E45</f>
        <v>0</v>
      </c>
      <c r="F107" s="28">
        <f>F45-'Firm Retail'!F45</f>
        <v>0</v>
      </c>
      <c r="G107" s="28">
        <f>G45-'Firm Retail'!G45</f>
        <v>0</v>
      </c>
      <c r="H107" s="28">
        <f>H45-'Firm Retail'!H45</f>
        <v>0</v>
      </c>
      <c r="I107" s="28">
        <f>I45-'Firm Retail'!I45</f>
        <v>0</v>
      </c>
      <c r="J107" s="28">
        <f>J45-'Firm Retail'!J45</f>
        <v>0</v>
      </c>
      <c r="K107" s="28">
        <f>K45-'Firm Retail'!K45</f>
        <v>0</v>
      </c>
      <c r="L107" s="28">
        <f>L45-'Firm Retail'!L45</f>
        <v>0</v>
      </c>
      <c r="M107" s="28">
        <f>M45-'Firm Retail'!M45</f>
        <v>-25.102131918430132</v>
      </c>
    </row>
    <row r="108" spans="1:13">
      <c r="A108" s="3">
        <f t="shared" si="10"/>
        <v>2013</v>
      </c>
      <c r="B108" s="98">
        <f>B46-ROUND('Firm Retail'!B46,0)</f>
        <v>-0.21394306548154418</v>
      </c>
      <c r="C108" s="28">
        <f>C46-'Firm Retail'!C46</f>
        <v>0</v>
      </c>
      <c r="D108" s="28">
        <f>D46-'Firm Retail'!D46</f>
        <v>0</v>
      </c>
      <c r="E108" s="28">
        <f>E46-'Firm Retail'!E46</f>
        <v>0</v>
      </c>
      <c r="F108" s="28">
        <f>F46-'Firm Retail'!F46</f>
        <v>-4.5432988154029772</v>
      </c>
      <c r="G108" s="28">
        <f>G46-'Firm Retail'!G46</f>
        <v>0</v>
      </c>
      <c r="H108" s="28">
        <f>H46-'Firm Retail'!H46</f>
        <v>-10.013793710870686</v>
      </c>
      <c r="I108" s="28">
        <f>I46-'Firm Retail'!I46</f>
        <v>0</v>
      </c>
      <c r="J108" s="28">
        <f>J46-'Firm Retail'!J46</f>
        <v>-25.160177819309411</v>
      </c>
      <c r="K108" s="28">
        <f>K46-'Firm Retail'!K46</f>
        <v>0</v>
      </c>
      <c r="L108" s="28">
        <f>L46-'Firm Retail'!L46</f>
        <v>0</v>
      </c>
      <c r="M108" s="28">
        <f>M46-'Firm Retail'!M46</f>
        <v>-17.227872351894348</v>
      </c>
    </row>
    <row r="109" spans="1:13">
      <c r="A109" s="3">
        <f t="shared" si="10"/>
        <v>2014</v>
      </c>
      <c r="B109" s="98">
        <f>B47-ROUND('Firm Retail'!B47,0)</f>
        <v>0.16249350309362853</v>
      </c>
      <c r="C109" s="28">
        <f>C47-'Firm Retail'!C47</f>
        <v>0</v>
      </c>
      <c r="D109" s="28">
        <f>D47-'Firm Retail'!D47</f>
        <v>0</v>
      </c>
      <c r="E109" s="28">
        <f>E47-'Firm Retail'!E47</f>
        <v>-21.457895734237354</v>
      </c>
      <c r="F109" s="28">
        <f>F47-'Firm Retail'!F47</f>
        <v>-9.283650551557912</v>
      </c>
      <c r="G109" s="28">
        <f>G47-'Firm Retail'!G47</f>
        <v>0</v>
      </c>
      <c r="H109" s="28">
        <f>H47-'Firm Retail'!H47</f>
        <v>-2.5247795195577964</v>
      </c>
      <c r="I109" s="28">
        <f>I47-'Firm Retail'!I47</f>
        <v>0</v>
      </c>
      <c r="J109" s="28">
        <f>J47-'Firm Retail'!J47</f>
        <v>-11.467000000000098</v>
      </c>
      <c r="K109" s="28">
        <f>K47-'Firm Retail'!K47</f>
        <v>0</v>
      </c>
      <c r="L109" s="28">
        <f>L47-'Firm Retail'!L47</f>
        <v>0</v>
      </c>
      <c r="M109" s="28">
        <f>M47-'Firm Retail'!M47</f>
        <v>0</v>
      </c>
    </row>
    <row r="110" spans="1:13">
      <c r="A110" s="3">
        <f t="shared" si="10"/>
        <v>2015</v>
      </c>
      <c r="B110" s="98"/>
      <c r="C110" s="28"/>
      <c r="D110" s="28"/>
      <c r="E110" s="28"/>
      <c r="F110" s="28"/>
    </row>
    <row r="111" spans="1:13">
      <c r="A111" s="3"/>
      <c r="B111" s="98"/>
      <c r="C111" s="28"/>
      <c r="D111" s="28"/>
      <c r="E111" s="28"/>
      <c r="F111" s="28"/>
    </row>
    <row r="112" spans="1:13">
      <c r="A112" s="10"/>
      <c r="B112" s="20"/>
    </row>
    <row r="113" spans="1:22" ht="15.75">
      <c r="A113" s="3"/>
      <c r="B113" s="5" t="s">
        <v>138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>
      <c r="A114" s="10"/>
      <c r="B114" s="10" t="s">
        <v>4</v>
      </c>
      <c r="C114" s="10" t="s">
        <v>8</v>
      </c>
      <c r="D114" s="10" t="s">
        <v>9</v>
      </c>
      <c r="E114" s="10" t="s">
        <v>10</v>
      </c>
      <c r="F114" s="10" t="s">
        <v>11</v>
      </c>
      <c r="G114" s="10" t="s">
        <v>12</v>
      </c>
      <c r="H114" s="10" t="s">
        <v>13</v>
      </c>
      <c r="I114" s="10" t="s">
        <v>15</v>
      </c>
      <c r="J114" s="10" t="s">
        <v>16</v>
      </c>
      <c r="K114" s="10" t="s">
        <v>17</v>
      </c>
      <c r="L114" s="10" t="s">
        <v>18</v>
      </c>
      <c r="M114" s="10" t="s">
        <v>19</v>
      </c>
      <c r="N114" s="3"/>
      <c r="O114" s="3"/>
      <c r="P114" s="3"/>
      <c r="Q114" s="3"/>
      <c r="R114" s="3"/>
      <c r="S114" s="3"/>
      <c r="T114" s="3"/>
      <c r="U114" s="3"/>
      <c r="V114" s="3"/>
    </row>
    <row r="115" spans="1:22">
      <c r="A115" s="3">
        <f t="shared" ref="A115:A157" si="11">A6</f>
        <v>1973</v>
      </c>
      <c r="B115" s="7" t="str">
        <f>IF('Firm Retail'!B62-'Total Retail'!B66=0,IF('Firm Retail'!B117-'Total Retail'!B123=0," ","x"),"X")</f>
        <v xml:space="preserve"> </v>
      </c>
      <c r="C115" s="8" t="str">
        <f>IF('Firm Retail'!C62-'Total Retail'!C66=0,IF('Firm Retail'!C117-'Total Retail'!C123=0," ","x"),"X")</f>
        <v xml:space="preserve"> </v>
      </c>
      <c r="D115" s="8" t="str">
        <f>IF('Firm Retail'!D62-'Total Retail'!D66=0,IF('Firm Retail'!D117-'Total Retail'!D123=0," ","x"),"X")</f>
        <v xml:space="preserve"> </v>
      </c>
      <c r="E115" s="8" t="str">
        <f>IF('Firm Retail'!E62-'Total Retail'!E66=0,IF('Firm Retail'!E117-'Total Retail'!E123=0," ","x"),"X")</f>
        <v xml:space="preserve"> </v>
      </c>
      <c r="F115" s="8" t="str">
        <f>IF('Firm Retail'!F62-'Total Retail'!F66=0,IF('Firm Retail'!F117-'Total Retail'!F123=0," ","x"),"X")</f>
        <v xml:space="preserve"> </v>
      </c>
      <c r="G115" s="8" t="str">
        <f>IF('Firm Retail'!G62-'Total Retail'!G66=0,IF('Firm Retail'!G117-'Total Retail'!G123=0," ","x"),"X")</f>
        <v xml:space="preserve"> </v>
      </c>
      <c r="H115" s="8" t="str">
        <f>IF('Firm Retail'!H62-'Total Retail'!H66=0,IF('Firm Retail'!H117-'Total Retail'!H123=0," ","x"),"X")</f>
        <v xml:space="preserve"> </v>
      </c>
      <c r="I115" s="8" t="str">
        <f>IF('Firm Retail'!I62-'Total Retail'!I66=0,IF('Firm Retail'!I117-'Total Retail'!I123=0," ","x"),"X")</f>
        <v xml:space="preserve"> </v>
      </c>
      <c r="J115" s="8" t="str">
        <f>IF('Firm Retail'!J62-'Total Retail'!J66=0,IF('Firm Retail'!J117-'Total Retail'!J123=0," ","x"),"X")</f>
        <v xml:space="preserve"> </v>
      </c>
      <c r="K115" s="8" t="str">
        <f>IF('Firm Retail'!K62-'Total Retail'!K66=0,IF('Firm Retail'!K117-'Total Retail'!K123=0," ","x"),"X")</f>
        <v xml:space="preserve"> </v>
      </c>
      <c r="L115" s="8" t="str">
        <f>IF('Firm Retail'!L62-'Total Retail'!L66=0,IF('Firm Retail'!L117-'Total Retail'!L123=0," ","x"),"X")</f>
        <v xml:space="preserve"> </v>
      </c>
      <c r="M115" s="8" t="str">
        <f>IF('Firm Retail'!M62-'Total Retail'!M66=0,IF('Firm Retail'!M117-'Total Retail'!M123=0," ","x"),"X")</f>
        <v xml:space="preserve"> </v>
      </c>
      <c r="N115" s="3"/>
      <c r="O115" s="3"/>
      <c r="P115" s="3"/>
      <c r="Q115" s="3"/>
      <c r="R115" s="3"/>
      <c r="S115" s="3"/>
      <c r="T115" s="3"/>
      <c r="U115" s="3"/>
      <c r="V115" s="3"/>
    </row>
    <row r="116" spans="1:22">
      <c r="A116" s="3">
        <f t="shared" si="11"/>
        <v>1974</v>
      </c>
      <c r="B116" s="12" t="str">
        <f>IF('Firm Retail'!B63-'Total Retail'!B67=0,IF('Firm Retail'!B118-'Total Retail'!B124=0," ","x"),"X")</f>
        <v xml:space="preserve"> </v>
      </c>
      <c r="C116" s="13" t="str">
        <f>IF('Firm Retail'!C63-'Total Retail'!C67=0,IF('Firm Retail'!C118-'Total Retail'!C124=0," ","x"),"X")</f>
        <v xml:space="preserve"> </v>
      </c>
      <c r="D116" s="13" t="str">
        <f>IF('Firm Retail'!D63-'Total Retail'!D67=0,IF('Firm Retail'!D118-'Total Retail'!D124=0," ","x"),"X")</f>
        <v xml:space="preserve"> </v>
      </c>
      <c r="E116" s="13" t="str">
        <f>IF('Firm Retail'!E63-'Total Retail'!E67=0,IF('Firm Retail'!E118-'Total Retail'!E124=0," ","x"),"X")</f>
        <v xml:space="preserve"> </v>
      </c>
      <c r="F116" s="13" t="str">
        <f>IF('Firm Retail'!F63-'Total Retail'!F67=0,IF('Firm Retail'!F118-'Total Retail'!F124=0," ","x"),"X")</f>
        <v xml:space="preserve"> </v>
      </c>
      <c r="G116" s="13" t="str">
        <f>IF('Firm Retail'!G63-'Total Retail'!G67=0,IF('Firm Retail'!G118-'Total Retail'!G124=0," ","x"),"X")</f>
        <v xml:space="preserve"> </v>
      </c>
      <c r="H116" s="13" t="str">
        <f>IF('Firm Retail'!H63-'Total Retail'!H67=0,IF('Firm Retail'!H118-'Total Retail'!H124=0," ","x"),"X")</f>
        <v xml:space="preserve"> </v>
      </c>
      <c r="I116" s="13" t="str">
        <f>IF('Firm Retail'!I63-'Total Retail'!I67=0,IF('Firm Retail'!I118-'Total Retail'!I124=0," ","x"),"X")</f>
        <v xml:space="preserve"> </v>
      </c>
      <c r="J116" s="13" t="str">
        <f>IF('Firm Retail'!J63-'Total Retail'!J67=0,IF('Firm Retail'!J118-'Total Retail'!J124=0," ","x"),"X")</f>
        <v xml:space="preserve"> </v>
      </c>
      <c r="K116" s="13" t="str">
        <f>IF('Firm Retail'!K63-'Total Retail'!K67=0,IF('Firm Retail'!K118-'Total Retail'!K124=0," ","x"),"X")</f>
        <v xml:space="preserve"> </v>
      </c>
      <c r="L116" s="13" t="str">
        <f>IF('Firm Retail'!L63-'Total Retail'!L67=0,IF('Firm Retail'!L118-'Total Retail'!L124=0," ","x"),"X")</f>
        <v xml:space="preserve"> </v>
      </c>
      <c r="M116" s="13" t="str">
        <f>IF('Firm Retail'!M63-'Total Retail'!M67=0,IF('Firm Retail'!M118-'Total Retail'!M124=0," ","x"),"X")</f>
        <v xml:space="preserve"> </v>
      </c>
      <c r="N116" s="3"/>
      <c r="O116" s="3"/>
      <c r="P116" s="3"/>
      <c r="Q116" s="3"/>
      <c r="R116" s="3"/>
      <c r="S116" s="3"/>
      <c r="T116" s="3"/>
      <c r="U116" s="3"/>
      <c r="V116" s="3"/>
    </row>
    <row r="117" spans="1:22">
      <c r="A117" s="3">
        <f t="shared" si="11"/>
        <v>1975</v>
      </c>
      <c r="B117" s="12" t="str">
        <f>IF('Firm Retail'!B64-'Total Retail'!B68=0,IF('Firm Retail'!B119-'Total Retail'!B125=0," ","x"),"X")</f>
        <v xml:space="preserve"> </v>
      </c>
      <c r="C117" s="13" t="str">
        <f>IF('Firm Retail'!C64-'Total Retail'!C68=0,IF('Firm Retail'!C119-'Total Retail'!C125=0," ","x"),"X")</f>
        <v xml:space="preserve"> </v>
      </c>
      <c r="D117" s="13" t="str">
        <f>IF('Firm Retail'!D64-'Total Retail'!D68=0,IF('Firm Retail'!D119-'Total Retail'!D125=0," ","x"),"X")</f>
        <v xml:space="preserve"> </v>
      </c>
      <c r="E117" s="13" t="str">
        <f>IF('Firm Retail'!E64-'Total Retail'!E68=0,IF('Firm Retail'!E119-'Total Retail'!E125=0," ","x"),"X")</f>
        <v xml:space="preserve"> </v>
      </c>
      <c r="F117" s="13" t="str">
        <f>IF('Firm Retail'!F64-'Total Retail'!F68=0,IF('Firm Retail'!F119-'Total Retail'!F125=0," ","x"),"X")</f>
        <v xml:space="preserve"> </v>
      </c>
      <c r="G117" s="13" t="str">
        <f>IF('Firm Retail'!G64-'Total Retail'!G68=0,IF('Firm Retail'!G119-'Total Retail'!G125=0," ","x"),"X")</f>
        <v xml:space="preserve"> </v>
      </c>
      <c r="H117" s="13" t="str">
        <f>IF('Firm Retail'!H64-'Total Retail'!H68=0,IF('Firm Retail'!H119-'Total Retail'!H125=0," ","x"),"X")</f>
        <v xml:space="preserve"> </v>
      </c>
      <c r="I117" s="13" t="str">
        <f>IF('Firm Retail'!I64-'Total Retail'!I68=0,IF('Firm Retail'!I119-'Total Retail'!I125=0," ","x"),"X")</f>
        <v xml:space="preserve"> </v>
      </c>
      <c r="J117" s="13" t="str">
        <f>IF('Firm Retail'!J64-'Total Retail'!J68=0,IF('Firm Retail'!J119-'Total Retail'!J125=0," ","x"),"X")</f>
        <v xml:space="preserve"> </v>
      </c>
      <c r="K117" s="13" t="str">
        <f>IF('Firm Retail'!K64-'Total Retail'!K68=0,IF('Firm Retail'!K119-'Total Retail'!K125=0," ","x"),"X")</f>
        <v xml:space="preserve"> </v>
      </c>
      <c r="L117" s="13" t="str">
        <f>IF('Firm Retail'!L64-'Total Retail'!L68=0,IF('Firm Retail'!L119-'Total Retail'!L125=0," ","x"),"X")</f>
        <v xml:space="preserve"> </v>
      </c>
      <c r="M117" s="13" t="str">
        <f>IF('Firm Retail'!M64-'Total Retail'!M68=0,IF('Firm Retail'!M119-'Total Retail'!M125=0," ","x"),"X")</f>
        <v xml:space="preserve"> </v>
      </c>
      <c r="N117" s="3"/>
      <c r="O117" s="3"/>
      <c r="P117" s="3"/>
      <c r="Q117" s="3"/>
      <c r="R117" s="3"/>
      <c r="S117" s="3"/>
      <c r="T117" s="3"/>
      <c r="U117" s="3"/>
      <c r="V117" s="3"/>
    </row>
    <row r="118" spans="1:22">
      <c r="A118" s="3">
        <f t="shared" si="11"/>
        <v>1976</v>
      </c>
      <c r="B118" s="12" t="str">
        <f>IF('Firm Retail'!B65-'Total Retail'!B69=0,IF('Firm Retail'!B120-'Total Retail'!B126=0," ","x"),"X")</f>
        <v xml:space="preserve"> </v>
      </c>
      <c r="C118" s="13" t="str">
        <f>IF('Firm Retail'!C65-'Total Retail'!C69=0,IF('Firm Retail'!C120-'Total Retail'!C126=0," ","x"),"X")</f>
        <v xml:space="preserve"> </v>
      </c>
      <c r="D118" s="13" t="str">
        <f>IF('Firm Retail'!D65-'Total Retail'!D69=0,IF('Firm Retail'!D120-'Total Retail'!D126=0," ","x"),"X")</f>
        <v xml:space="preserve"> </v>
      </c>
      <c r="E118" s="13" t="str">
        <f>IF('Firm Retail'!E65-'Total Retail'!E69=0,IF('Firm Retail'!E120-'Total Retail'!E126=0," ","x"),"X")</f>
        <v xml:space="preserve"> </v>
      </c>
      <c r="F118" s="13" t="str">
        <f>IF('Firm Retail'!F65-'Total Retail'!F69=0,IF('Firm Retail'!F120-'Total Retail'!F126=0," ","x"),"X")</f>
        <v xml:space="preserve"> </v>
      </c>
      <c r="G118" s="13" t="str">
        <f>IF('Firm Retail'!G65-'Total Retail'!G69=0,IF('Firm Retail'!G120-'Total Retail'!G126=0," ","x"),"X")</f>
        <v xml:space="preserve"> </v>
      </c>
      <c r="H118" s="13" t="str">
        <f>IF('Firm Retail'!H65-'Total Retail'!H69=0,IF('Firm Retail'!H120-'Total Retail'!H126=0," ","x"),"X")</f>
        <v xml:space="preserve"> </v>
      </c>
      <c r="I118" s="13" t="str">
        <f>IF('Firm Retail'!I65-'Total Retail'!I69=0,IF('Firm Retail'!I120-'Total Retail'!I126=0," ","x"),"X")</f>
        <v xml:space="preserve"> </v>
      </c>
      <c r="J118" s="13" t="str">
        <f>IF('Firm Retail'!J65-'Total Retail'!J69=0,IF('Firm Retail'!J120-'Total Retail'!J126=0," ","x"),"X")</f>
        <v xml:space="preserve"> </v>
      </c>
      <c r="K118" s="13" t="str">
        <f>IF('Firm Retail'!K65-'Total Retail'!K69=0,IF('Firm Retail'!K120-'Total Retail'!K126=0," ","x"),"X")</f>
        <v xml:space="preserve"> </v>
      </c>
      <c r="L118" s="13" t="str">
        <f>IF('Firm Retail'!L65-'Total Retail'!L69=0,IF('Firm Retail'!L120-'Total Retail'!L126=0," ","x"),"X")</f>
        <v xml:space="preserve"> </v>
      </c>
      <c r="M118" s="13" t="str">
        <f>IF('Firm Retail'!M65-'Total Retail'!M69=0,IF('Firm Retail'!M120-'Total Retail'!M126=0," ","x"),"X")</f>
        <v xml:space="preserve"> </v>
      </c>
      <c r="N118" s="3"/>
      <c r="O118" s="3"/>
      <c r="P118" s="3"/>
      <c r="Q118" s="3"/>
      <c r="R118" s="3"/>
      <c r="S118" s="3"/>
      <c r="T118" s="3"/>
      <c r="U118" s="3"/>
      <c r="V118" s="3"/>
    </row>
    <row r="119" spans="1:22">
      <c r="A119" s="3">
        <f t="shared" si="11"/>
        <v>1977</v>
      </c>
      <c r="B119" s="12" t="str">
        <f>IF('Firm Retail'!B66-'Total Retail'!B70=0,IF('Firm Retail'!B121-'Total Retail'!B127=0," ","x"),"X")</f>
        <v xml:space="preserve"> </v>
      </c>
      <c r="C119" s="13" t="str">
        <f>IF('Firm Retail'!C66-'Total Retail'!C70=0,IF('Firm Retail'!C121-'Total Retail'!C127=0," ","x"),"X")</f>
        <v xml:space="preserve"> </v>
      </c>
      <c r="D119" s="13" t="str">
        <f>IF('Firm Retail'!D66-'Total Retail'!D70=0,IF('Firm Retail'!D121-'Total Retail'!D127=0," ","x"),"X")</f>
        <v xml:space="preserve"> </v>
      </c>
      <c r="E119" s="13" t="str">
        <f>IF('Firm Retail'!E66-'Total Retail'!E70=0,IF('Firm Retail'!E121-'Total Retail'!E127=0," ","x"),"X")</f>
        <v xml:space="preserve"> </v>
      </c>
      <c r="F119" s="13" t="str">
        <f>IF('Firm Retail'!F66-'Total Retail'!F70=0,IF('Firm Retail'!F121-'Total Retail'!F127=0," ","x"),"X")</f>
        <v xml:space="preserve"> </v>
      </c>
      <c r="G119" s="13" t="str">
        <f>IF('Firm Retail'!G66-'Total Retail'!G70=0,IF('Firm Retail'!G121-'Total Retail'!G127=0," ","x"),"X")</f>
        <v xml:space="preserve"> </v>
      </c>
      <c r="H119" s="13" t="str">
        <f>IF('Firm Retail'!H66-'Total Retail'!H70=0,IF('Firm Retail'!H121-'Total Retail'!H127=0," ","x"),"X")</f>
        <v xml:space="preserve"> </v>
      </c>
      <c r="I119" s="13" t="str">
        <f>IF('Firm Retail'!I66-'Total Retail'!I70=0,IF('Firm Retail'!I121-'Total Retail'!I127=0," ","x"),"X")</f>
        <v xml:space="preserve"> </v>
      </c>
      <c r="J119" s="13" t="str">
        <f>IF('Firm Retail'!J66-'Total Retail'!J70=0,IF('Firm Retail'!J121-'Total Retail'!J127=0," ","x"),"X")</f>
        <v xml:space="preserve"> </v>
      </c>
      <c r="K119" s="13" t="str">
        <f>IF('Firm Retail'!K66-'Total Retail'!K70=0,IF('Firm Retail'!K121-'Total Retail'!K127=0," ","x"),"X")</f>
        <v xml:space="preserve"> </v>
      </c>
      <c r="L119" s="13" t="str">
        <f>IF('Firm Retail'!L66-'Total Retail'!L70=0,IF('Firm Retail'!L121-'Total Retail'!L127=0," ","x"),"X")</f>
        <v xml:space="preserve"> </v>
      </c>
      <c r="M119" s="13" t="str">
        <f>IF('Firm Retail'!M66-'Total Retail'!M70=0,IF('Firm Retail'!M121-'Total Retail'!M127=0," ","x"),"X")</f>
        <v xml:space="preserve"> </v>
      </c>
      <c r="N119" s="3"/>
      <c r="O119" s="3"/>
      <c r="P119" s="3"/>
      <c r="Q119" s="3"/>
      <c r="R119" s="3"/>
      <c r="S119" s="3"/>
      <c r="T119" s="3"/>
      <c r="U119" s="3"/>
      <c r="V119" s="3"/>
    </row>
    <row r="120" spans="1:22">
      <c r="A120" s="3">
        <f t="shared" si="11"/>
        <v>1978</v>
      </c>
      <c r="B120" s="12" t="str">
        <f>IF('Firm Retail'!B67-'Total Retail'!B71=0,IF('Firm Retail'!B122-'Total Retail'!B128=0," ","x"),"X")</f>
        <v xml:space="preserve"> </v>
      </c>
      <c r="C120" s="13" t="str">
        <f>IF('Firm Retail'!C67-'Total Retail'!C71=0,IF('Firm Retail'!C122-'Total Retail'!C128=0," ","x"),"X")</f>
        <v xml:space="preserve"> </v>
      </c>
      <c r="D120" s="13" t="str">
        <f>IF('Firm Retail'!D67-'Total Retail'!D71=0,IF('Firm Retail'!D122-'Total Retail'!D128=0," ","x"),"X")</f>
        <v xml:space="preserve"> </v>
      </c>
      <c r="E120" s="13" t="str">
        <f>IF('Firm Retail'!E67-'Total Retail'!E71=0,IF('Firm Retail'!E122-'Total Retail'!E128=0," ","x"),"X")</f>
        <v xml:space="preserve"> </v>
      </c>
      <c r="F120" s="13" t="str">
        <f>IF('Firm Retail'!F67-'Total Retail'!F71=0,IF('Firm Retail'!F122-'Total Retail'!F128=0," ","x"),"X")</f>
        <v xml:space="preserve"> </v>
      </c>
      <c r="G120" s="13" t="str">
        <f>IF('Firm Retail'!G67-'Total Retail'!G71=0,IF('Firm Retail'!G122-'Total Retail'!G128=0," ","x"),"X")</f>
        <v xml:space="preserve"> </v>
      </c>
      <c r="H120" s="13" t="str">
        <f>IF('Firm Retail'!H67-'Total Retail'!H71=0,IF('Firm Retail'!H122-'Total Retail'!H128=0," ","x"),"X")</f>
        <v xml:space="preserve"> </v>
      </c>
      <c r="I120" s="13" t="str">
        <f>IF('Firm Retail'!I67-'Total Retail'!I71=0,IF('Firm Retail'!I122-'Total Retail'!I128=0," ","x"),"X")</f>
        <v xml:space="preserve"> </v>
      </c>
      <c r="J120" s="13" t="str">
        <f>IF('Firm Retail'!J67-'Total Retail'!J71=0,IF('Firm Retail'!J122-'Total Retail'!J128=0," ","x"),"X")</f>
        <v xml:space="preserve"> </v>
      </c>
      <c r="K120" s="13" t="str">
        <f>IF('Firm Retail'!K67-'Total Retail'!K71=0,IF('Firm Retail'!K122-'Total Retail'!K128=0," ","x"),"X")</f>
        <v xml:space="preserve"> </v>
      </c>
      <c r="L120" s="13" t="str">
        <f>IF('Firm Retail'!L67-'Total Retail'!L71=0,IF('Firm Retail'!L122-'Total Retail'!L128=0," ","x"),"X")</f>
        <v xml:space="preserve"> </v>
      </c>
      <c r="M120" s="13" t="str">
        <f>IF('Firm Retail'!M67-'Total Retail'!M71=0,IF('Firm Retail'!M122-'Total Retail'!M128=0," ","x"),"X")</f>
        <v xml:space="preserve"> </v>
      </c>
      <c r="N120" s="3"/>
      <c r="O120" s="3"/>
      <c r="P120" s="3"/>
      <c r="Q120" s="3"/>
      <c r="R120" s="3"/>
      <c r="S120" s="3"/>
      <c r="T120" s="3"/>
      <c r="U120" s="3"/>
      <c r="V120" s="3"/>
    </row>
    <row r="121" spans="1:22">
      <c r="A121" s="3">
        <f t="shared" si="11"/>
        <v>1979</v>
      </c>
      <c r="B121" s="12" t="str">
        <f>IF('Firm Retail'!B68-'Total Retail'!B72=0,IF('Firm Retail'!B123-'Total Retail'!B129=0," ","x"),"X")</f>
        <v xml:space="preserve"> </v>
      </c>
      <c r="C121" s="13" t="str">
        <f>IF('Firm Retail'!C68-'Total Retail'!C72=0,IF('Firm Retail'!C123-'Total Retail'!C129=0," ","x"),"X")</f>
        <v xml:space="preserve"> </v>
      </c>
      <c r="D121" s="13" t="str">
        <f>IF('Firm Retail'!D68-'Total Retail'!D72=0,IF('Firm Retail'!D123-'Total Retail'!D129=0," ","x"),"X")</f>
        <v xml:space="preserve"> </v>
      </c>
      <c r="E121" s="13" t="str">
        <f>IF('Firm Retail'!E68-'Total Retail'!E72=0,IF('Firm Retail'!E123-'Total Retail'!E129=0," ","x"),"X")</f>
        <v xml:space="preserve"> </v>
      </c>
      <c r="F121" s="13" t="str">
        <f>IF('Firm Retail'!F68-'Total Retail'!F72=0,IF('Firm Retail'!F123-'Total Retail'!F129=0," ","x"),"X")</f>
        <v xml:space="preserve"> </v>
      </c>
      <c r="G121" s="13" t="str">
        <f>IF('Firm Retail'!G68-'Total Retail'!G72=0,IF('Firm Retail'!G123-'Total Retail'!G129=0," ","x"),"X")</f>
        <v xml:space="preserve"> </v>
      </c>
      <c r="H121" s="13" t="str">
        <f>IF('Firm Retail'!H68-'Total Retail'!H72=0,IF('Firm Retail'!H123-'Total Retail'!H129=0," ","x"),"X")</f>
        <v xml:space="preserve"> </v>
      </c>
      <c r="I121" s="13" t="str">
        <f>IF('Firm Retail'!I68-'Total Retail'!I72=0,IF('Firm Retail'!I123-'Total Retail'!I129=0," ","x"),"X")</f>
        <v xml:space="preserve"> </v>
      </c>
      <c r="J121" s="13" t="str">
        <f>IF('Firm Retail'!J68-'Total Retail'!J72=0,IF('Firm Retail'!J123-'Total Retail'!J129=0," ","x"),"X")</f>
        <v xml:space="preserve"> </v>
      </c>
      <c r="K121" s="13" t="str">
        <f>IF('Firm Retail'!K68-'Total Retail'!K72=0,IF('Firm Retail'!K123-'Total Retail'!K129=0," ","x"),"X")</f>
        <v xml:space="preserve"> </v>
      </c>
      <c r="L121" s="13" t="str">
        <f>IF('Firm Retail'!L68-'Total Retail'!L72=0,IF('Firm Retail'!L123-'Total Retail'!L129=0," ","x"),"X")</f>
        <v xml:space="preserve"> </v>
      </c>
      <c r="M121" s="13" t="str">
        <f>IF('Firm Retail'!M68-'Total Retail'!M72=0,IF('Firm Retail'!M123-'Total Retail'!M129=0," ","x"),"X")</f>
        <v xml:space="preserve"> </v>
      </c>
      <c r="N121" s="3"/>
      <c r="O121" s="3"/>
      <c r="P121" s="3"/>
      <c r="Q121" s="3"/>
      <c r="R121" s="3"/>
      <c r="S121" s="3"/>
      <c r="T121" s="3"/>
      <c r="U121" s="3"/>
      <c r="V121" s="3"/>
    </row>
    <row r="122" spans="1:22">
      <c r="A122" s="3">
        <f t="shared" si="11"/>
        <v>1980</v>
      </c>
      <c r="B122" s="12" t="str">
        <f>IF('Firm Retail'!B69-'Total Retail'!B73=0,IF('Firm Retail'!B124-'Total Retail'!B130=0," ","x"),"X")</f>
        <v xml:space="preserve"> </v>
      </c>
      <c r="C122" s="13" t="str">
        <f>IF('Firm Retail'!C69-'Total Retail'!C73=0,IF('Firm Retail'!C124-'Total Retail'!C130=0," ","x"),"X")</f>
        <v xml:space="preserve"> </v>
      </c>
      <c r="D122" s="13" t="str">
        <f>IF('Firm Retail'!D69-'Total Retail'!D73=0,IF('Firm Retail'!D124-'Total Retail'!D130=0," ","x"),"X")</f>
        <v>X</v>
      </c>
      <c r="E122" s="13" t="str">
        <f>IF('Firm Retail'!E69-'Total Retail'!E73=0,IF('Firm Retail'!E124-'Total Retail'!E130=0," ","x"),"X")</f>
        <v xml:space="preserve"> </v>
      </c>
      <c r="F122" s="13" t="str">
        <f>IF('Firm Retail'!F69-'Total Retail'!F73=0,IF('Firm Retail'!F124-'Total Retail'!F130=0," ","x"),"X")</f>
        <v>X</v>
      </c>
      <c r="G122" s="13" t="str">
        <f>IF('Firm Retail'!G69-'Total Retail'!G73=0,IF('Firm Retail'!G124-'Total Retail'!G130=0," ","x"),"X")</f>
        <v>X</v>
      </c>
      <c r="H122" s="13" t="str">
        <f>IF('Firm Retail'!H69-'Total Retail'!H73=0,IF('Firm Retail'!H124-'Total Retail'!H130=0," ","x"),"X")</f>
        <v>x</v>
      </c>
      <c r="I122" s="13" t="str">
        <f>IF('Firm Retail'!I69-'Total Retail'!I73=0,IF('Firm Retail'!I124-'Total Retail'!I130=0," ","x"),"X")</f>
        <v xml:space="preserve"> </v>
      </c>
      <c r="J122" s="13" t="str">
        <f>IF('Firm Retail'!J69-'Total Retail'!J73=0,IF('Firm Retail'!J124-'Total Retail'!J130=0," ","x"),"X")</f>
        <v>X</v>
      </c>
      <c r="K122" s="13" t="str">
        <f>IF('Firm Retail'!K69-'Total Retail'!K73=0,IF('Firm Retail'!K124-'Total Retail'!K130=0," ","x"),"X")</f>
        <v>X</v>
      </c>
      <c r="L122" s="13" t="str">
        <f>IF('Firm Retail'!L69-'Total Retail'!L73=0,IF('Firm Retail'!L124-'Total Retail'!L130=0," ","x"),"X")</f>
        <v>X</v>
      </c>
      <c r="M122" s="13" t="str">
        <f>IF('Firm Retail'!M69-'Total Retail'!M73=0,IF('Firm Retail'!M124-'Total Retail'!M130=0," ","x"),"X")</f>
        <v xml:space="preserve"> </v>
      </c>
      <c r="N122" s="3"/>
      <c r="O122" s="3"/>
      <c r="P122" s="3"/>
      <c r="Q122" s="3"/>
      <c r="R122" s="3"/>
      <c r="S122" s="3"/>
      <c r="T122" s="3"/>
      <c r="U122" s="3"/>
      <c r="V122" s="3"/>
    </row>
    <row r="123" spans="1:22">
      <c r="A123" s="3">
        <f t="shared" si="11"/>
        <v>1981</v>
      </c>
      <c r="B123" s="12" t="str">
        <f>IF('Firm Retail'!B70-'Total Retail'!B74=0,IF('Firm Retail'!B125-'Total Retail'!B131=0," ","x"),"X")</f>
        <v xml:space="preserve"> </v>
      </c>
      <c r="C123" s="13" t="str">
        <f>IF('Firm Retail'!C70-'Total Retail'!C74=0,IF('Firm Retail'!C125-'Total Retail'!C131=0," ","x"),"X")</f>
        <v>X</v>
      </c>
      <c r="D123" s="13" t="str">
        <f>IF('Firm Retail'!D70-'Total Retail'!D74=0,IF('Firm Retail'!D125-'Total Retail'!D131=0," ","x"),"X")</f>
        <v>X</v>
      </c>
      <c r="E123" s="13" t="str">
        <f>IF('Firm Retail'!E70-'Total Retail'!E74=0,IF('Firm Retail'!E125-'Total Retail'!E131=0," ","x"),"X")</f>
        <v>X</v>
      </c>
      <c r="F123" s="13" t="str">
        <f>IF('Firm Retail'!F70-'Total Retail'!F74=0,IF('Firm Retail'!F125-'Total Retail'!F131=0," ","x"),"X")</f>
        <v xml:space="preserve"> </v>
      </c>
      <c r="G123" s="13" t="str">
        <f>IF('Firm Retail'!G70-'Total Retail'!G74=0,IF('Firm Retail'!G125-'Total Retail'!G131=0," ","x"),"X")</f>
        <v>X</v>
      </c>
      <c r="H123" s="13" t="str">
        <f>IF('Firm Retail'!H70-'Total Retail'!H74=0,IF('Firm Retail'!H125-'Total Retail'!H131=0," ","x"),"X")</f>
        <v>X</v>
      </c>
      <c r="I123" s="13" t="str">
        <f>IF('Firm Retail'!I70-'Total Retail'!I74=0,IF('Firm Retail'!I125-'Total Retail'!I131=0," ","x"),"X")</f>
        <v>x</v>
      </c>
      <c r="J123" s="13" t="str">
        <f>IF('Firm Retail'!J70-'Total Retail'!J74=0,IF('Firm Retail'!J125-'Total Retail'!J131=0," ","x"),"X")</f>
        <v xml:space="preserve"> </v>
      </c>
      <c r="K123" s="13" t="str">
        <f>IF('Firm Retail'!K70-'Total Retail'!K74=0,IF('Firm Retail'!K125-'Total Retail'!K131=0," ","x"),"X")</f>
        <v>X</v>
      </c>
      <c r="L123" s="13" t="str">
        <f>IF('Firm Retail'!L70-'Total Retail'!L74=0,IF('Firm Retail'!L125-'Total Retail'!L131=0," ","x"),"X")</f>
        <v xml:space="preserve"> </v>
      </c>
      <c r="M123" s="13" t="str">
        <f>IF('Firm Retail'!M70-'Total Retail'!M74=0,IF('Firm Retail'!M125-'Total Retail'!M131=0," ","x"),"X")</f>
        <v xml:space="preserve"> </v>
      </c>
      <c r="N123" s="3"/>
      <c r="O123" s="3"/>
      <c r="P123" s="3"/>
      <c r="Q123" s="3"/>
      <c r="R123" s="3"/>
      <c r="S123" s="3"/>
      <c r="T123" s="3"/>
      <c r="U123" s="3"/>
      <c r="V123" s="3"/>
    </row>
    <row r="124" spans="1:22">
      <c r="A124" s="3">
        <f t="shared" si="11"/>
        <v>1982</v>
      </c>
      <c r="B124" s="12" t="str">
        <f>IF('Firm Retail'!B71-'Total Retail'!B75=0,IF('Firm Retail'!B126-'Total Retail'!B132=0," ","x"),"X")</f>
        <v xml:space="preserve"> </v>
      </c>
      <c r="C124" s="13" t="str">
        <f>IF('Firm Retail'!C71-'Total Retail'!C75=0,IF('Firm Retail'!C126-'Total Retail'!C132=0," ","x"),"X")</f>
        <v>X</v>
      </c>
      <c r="D124" s="13" t="str">
        <f>IF('Firm Retail'!D71-'Total Retail'!D75=0,IF('Firm Retail'!D126-'Total Retail'!D132=0," ","x"),"X")</f>
        <v>X</v>
      </c>
      <c r="E124" s="13" t="str">
        <f>IF('Firm Retail'!E71-'Total Retail'!E75=0,IF('Firm Retail'!E126-'Total Retail'!E132=0," ","x"),"X")</f>
        <v>x</v>
      </c>
      <c r="F124" s="13" t="str">
        <f>IF('Firm Retail'!F71-'Total Retail'!F75=0,IF('Firm Retail'!F126-'Total Retail'!F132=0," ","x"),"X")</f>
        <v>x</v>
      </c>
      <c r="G124" s="13" t="str">
        <f>IF('Firm Retail'!G71-'Total Retail'!G75=0,IF('Firm Retail'!G126-'Total Retail'!G132=0," ","x"),"X")</f>
        <v>X</v>
      </c>
      <c r="H124" s="13" t="str">
        <f>IF('Firm Retail'!H71-'Total Retail'!H75=0,IF('Firm Retail'!H126-'Total Retail'!H132=0," ","x"),"X")</f>
        <v>X</v>
      </c>
      <c r="I124" s="13" t="str">
        <f>IF('Firm Retail'!I71-'Total Retail'!I75=0,IF('Firm Retail'!I126-'Total Retail'!I132=0," ","x"),"X")</f>
        <v xml:space="preserve"> </v>
      </c>
      <c r="J124" s="13" t="str">
        <f>IF('Firm Retail'!J71-'Total Retail'!J75=0,IF('Firm Retail'!J126-'Total Retail'!J132=0," ","x"),"X")</f>
        <v xml:space="preserve"> </v>
      </c>
      <c r="K124" s="13" t="str">
        <f>IF('Firm Retail'!K71-'Total Retail'!K75=0,IF('Firm Retail'!K126-'Total Retail'!K132=0," ","x"),"X")</f>
        <v xml:space="preserve"> </v>
      </c>
      <c r="L124" s="13" t="str">
        <f>IF('Firm Retail'!L71-'Total Retail'!L75=0,IF('Firm Retail'!L126-'Total Retail'!L132=0," ","x"),"X")</f>
        <v xml:space="preserve"> </v>
      </c>
      <c r="M124" s="13" t="str">
        <f>IF('Firm Retail'!M71-'Total Retail'!M75=0,IF('Firm Retail'!M126-'Total Retail'!M132=0," ","x"),"X")</f>
        <v xml:space="preserve"> </v>
      </c>
      <c r="N124" s="3"/>
      <c r="O124" s="3"/>
      <c r="P124" s="3"/>
      <c r="Q124" s="3"/>
      <c r="R124" s="3"/>
      <c r="S124" s="3"/>
      <c r="T124" s="3"/>
      <c r="U124" s="3"/>
      <c r="V124" s="3"/>
    </row>
    <row r="125" spans="1:22">
      <c r="A125" s="3">
        <f t="shared" si="11"/>
        <v>1983</v>
      </c>
      <c r="B125" s="12" t="str">
        <f>IF('Firm Retail'!B72-'Total Retail'!B76=0,IF('Firm Retail'!B127-'Total Retail'!B133=0," ","x"),"X")</f>
        <v>X</v>
      </c>
      <c r="C125" s="13" t="str">
        <f>IF('Firm Retail'!C72-'Total Retail'!C76=0,IF('Firm Retail'!C127-'Total Retail'!C133=0," ","x"),"X")</f>
        <v xml:space="preserve"> </v>
      </c>
      <c r="D125" s="13" t="str">
        <f>IF('Firm Retail'!D72-'Total Retail'!D76=0,IF('Firm Retail'!D127-'Total Retail'!D133=0," ","x"),"X")</f>
        <v xml:space="preserve"> </v>
      </c>
      <c r="E125" s="13" t="str">
        <f>IF('Firm Retail'!E72-'Total Retail'!E76=0,IF('Firm Retail'!E127-'Total Retail'!E133=0," ","x"),"X")</f>
        <v xml:space="preserve"> </v>
      </c>
      <c r="F125" s="13" t="str">
        <f>IF('Firm Retail'!F72-'Total Retail'!F76=0,IF('Firm Retail'!F127-'Total Retail'!F133=0," ","x"),"X")</f>
        <v xml:space="preserve"> </v>
      </c>
      <c r="G125" s="13" t="str">
        <f>IF('Firm Retail'!G72-'Total Retail'!G76=0,IF('Firm Retail'!G127-'Total Retail'!G133=0," ","x"),"X")</f>
        <v xml:space="preserve"> </v>
      </c>
      <c r="H125" s="13" t="str">
        <f>IF('Firm Retail'!H72-'Total Retail'!H76=0,IF('Firm Retail'!H127-'Total Retail'!H133=0," ","x"),"X")</f>
        <v>x</v>
      </c>
      <c r="I125" s="13" t="str">
        <f>IF('Firm Retail'!I72-'Total Retail'!I76=0,IF('Firm Retail'!I127-'Total Retail'!I133=0," ","x"),"X")</f>
        <v>X</v>
      </c>
      <c r="J125" s="13" t="str">
        <f>IF('Firm Retail'!J72-'Total Retail'!J76=0,IF('Firm Retail'!J127-'Total Retail'!J133=0," ","x"),"X")</f>
        <v xml:space="preserve"> </v>
      </c>
      <c r="K125" s="13" t="str">
        <f>IF('Firm Retail'!K72-'Total Retail'!K76=0,IF('Firm Retail'!K127-'Total Retail'!K133=0," ","x"),"X")</f>
        <v xml:space="preserve"> </v>
      </c>
      <c r="L125" s="13" t="str">
        <f>IF('Firm Retail'!L72-'Total Retail'!L76=0,IF('Firm Retail'!L127-'Total Retail'!L133=0," ","x"),"X")</f>
        <v xml:space="preserve"> </v>
      </c>
      <c r="M125" s="13" t="str">
        <f>IF('Firm Retail'!M72-'Total Retail'!M76=0,IF('Firm Retail'!M127-'Total Retail'!M133=0," ","x"),"X")</f>
        <v xml:space="preserve"> </v>
      </c>
      <c r="N125" s="3"/>
      <c r="O125" s="3"/>
      <c r="P125" s="3"/>
      <c r="Q125" s="3"/>
      <c r="R125" s="3"/>
      <c r="S125" s="3"/>
      <c r="T125" s="3"/>
      <c r="U125" s="3"/>
      <c r="V125" s="3"/>
    </row>
    <row r="126" spans="1:22">
      <c r="A126" s="3">
        <f t="shared" si="11"/>
        <v>1984</v>
      </c>
      <c r="B126" s="12" t="str">
        <f>IF('Firm Retail'!B73-'Total Retail'!B77=0,IF('Firm Retail'!B128-'Total Retail'!B134=0," ","x"),"X")</f>
        <v xml:space="preserve"> </v>
      </c>
      <c r="C126" s="13" t="str">
        <f>IF('Firm Retail'!C73-'Total Retail'!C77=0,IF('Firm Retail'!C128-'Total Retail'!C134=0," ","x"),"X")</f>
        <v xml:space="preserve"> </v>
      </c>
      <c r="D126" s="13" t="str">
        <f>IF('Firm Retail'!D73-'Total Retail'!D77=0,IF('Firm Retail'!D128-'Total Retail'!D134=0," ","x"),"X")</f>
        <v>X</v>
      </c>
      <c r="E126" s="13" t="str">
        <f>IF('Firm Retail'!E73-'Total Retail'!E77=0,IF('Firm Retail'!E128-'Total Retail'!E134=0," ","x"),"X")</f>
        <v>x</v>
      </c>
      <c r="F126" s="13" t="str">
        <f>IF('Firm Retail'!F73-'Total Retail'!F77=0,IF('Firm Retail'!F128-'Total Retail'!F134=0," ","x"),"X")</f>
        <v xml:space="preserve"> </v>
      </c>
      <c r="G126" s="13" t="str">
        <f>IF('Firm Retail'!G73-'Total Retail'!G77=0,IF('Firm Retail'!G128-'Total Retail'!G134=0," ","x"),"X")</f>
        <v>x</v>
      </c>
      <c r="H126" s="13" t="str">
        <f>IF('Firm Retail'!H73-'Total Retail'!H77=0,IF('Firm Retail'!H128-'Total Retail'!H134=0," ","x"),"X")</f>
        <v xml:space="preserve"> </v>
      </c>
      <c r="I126" s="13" t="str">
        <f>IF('Firm Retail'!I73-'Total Retail'!I77=0,IF('Firm Retail'!I128-'Total Retail'!I134=0," ","x"),"X")</f>
        <v>X</v>
      </c>
      <c r="J126" s="13" t="str">
        <f>IF('Firm Retail'!J73-'Total Retail'!J77=0,IF('Firm Retail'!J128-'Total Retail'!J134=0," ","x"),"X")</f>
        <v xml:space="preserve"> </v>
      </c>
      <c r="K126" s="13" t="str">
        <f>IF('Firm Retail'!K73-'Total Retail'!K77=0,IF('Firm Retail'!K128-'Total Retail'!K134=0," ","x"),"X")</f>
        <v xml:space="preserve"> </v>
      </c>
      <c r="L126" s="13" t="str">
        <f>IF('Firm Retail'!L73-'Total Retail'!L77=0,IF('Firm Retail'!L128-'Total Retail'!L134=0," ","x"),"X")</f>
        <v xml:space="preserve"> </v>
      </c>
      <c r="M126" s="13" t="str">
        <f>IF('Firm Retail'!M73-'Total Retail'!M77=0,IF('Firm Retail'!M128-'Total Retail'!M134=0," ","x"),"X")</f>
        <v xml:space="preserve"> </v>
      </c>
      <c r="N126" s="3"/>
      <c r="O126" s="3"/>
      <c r="P126" s="3"/>
      <c r="Q126" s="3"/>
      <c r="R126" s="3"/>
      <c r="S126" s="3"/>
      <c r="T126" s="3"/>
      <c r="U126" s="3"/>
      <c r="V126" s="3"/>
    </row>
    <row r="127" spans="1:22">
      <c r="A127" s="3">
        <f t="shared" si="11"/>
        <v>1985</v>
      </c>
      <c r="B127" s="12" t="str">
        <f>IF('Firm Retail'!B74-'Total Retail'!B78=0,IF('Firm Retail'!B129-'Total Retail'!B135=0," ","x"),"X")</f>
        <v xml:space="preserve"> </v>
      </c>
      <c r="C127" s="13" t="str">
        <f>IF('Firm Retail'!C74-'Total Retail'!C78=0,IF('Firm Retail'!C129-'Total Retail'!C135=0," ","x"),"X")</f>
        <v xml:space="preserve"> </v>
      </c>
      <c r="D127" s="13" t="str">
        <f>IF('Firm Retail'!D74-'Total Retail'!D78=0,IF('Firm Retail'!D129-'Total Retail'!D135=0," ","x"),"X")</f>
        <v xml:space="preserve"> </v>
      </c>
      <c r="E127" s="13" t="str">
        <f>IF('Firm Retail'!E74-'Total Retail'!E78=0,IF('Firm Retail'!E129-'Total Retail'!E135=0," ","x"),"X")</f>
        <v>X</v>
      </c>
      <c r="F127" s="13" t="str">
        <f>IF('Firm Retail'!F74-'Total Retail'!F78=0,IF('Firm Retail'!F129-'Total Retail'!F135=0," ","x"),"X")</f>
        <v xml:space="preserve"> </v>
      </c>
      <c r="G127" s="13" t="str">
        <f>IF('Firm Retail'!G74-'Total Retail'!G78=0,IF('Firm Retail'!G129-'Total Retail'!G135=0," ","x"),"X")</f>
        <v xml:space="preserve"> </v>
      </c>
      <c r="H127" s="13" t="str">
        <f>IF('Firm Retail'!H74-'Total Retail'!H78=0,IF('Firm Retail'!H129-'Total Retail'!H135=0," ","x"),"X")</f>
        <v>x</v>
      </c>
      <c r="I127" s="13" t="str">
        <f>IF('Firm Retail'!I74-'Total Retail'!I78=0,IF('Firm Retail'!I129-'Total Retail'!I135=0," ","x"),"X")</f>
        <v>X</v>
      </c>
      <c r="J127" s="13" t="str">
        <f>IF('Firm Retail'!J74-'Total Retail'!J78=0,IF('Firm Retail'!J129-'Total Retail'!J135=0," ","x"),"X")</f>
        <v>X</v>
      </c>
      <c r="K127" s="13" t="str">
        <f>IF('Firm Retail'!K74-'Total Retail'!K78=0,IF('Firm Retail'!K129-'Total Retail'!K135=0," ","x"),"X")</f>
        <v>X</v>
      </c>
      <c r="L127" s="13" t="str">
        <f>IF('Firm Retail'!L74-'Total Retail'!L78=0,IF('Firm Retail'!L129-'Total Retail'!L135=0," ","x"),"X")</f>
        <v xml:space="preserve"> </v>
      </c>
      <c r="M127" s="13" t="str">
        <f>IF('Firm Retail'!M74-'Total Retail'!M78=0,IF('Firm Retail'!M129-'Total Retail'!M135=0," ","x"),"X")</f>
        <v xml:space="preserve"> </v>
      </c>
      <c r="N127" s="3"/>
      <c r="O127" s="3"/>
      <c r="P127" s="3"/>
      <c r="Q127" s="3"/>
      <c r="R127" s="3"/>
      <c r="S127" s="3"/>
      <c r="T127" s="3"/>
      <c r="U127" s="3"/>
      <c r="V127" s="3"/>
    </row>
    <row r="128" spans="1:22">
      <c r="A128" s="3">
        <f t="shared" si="11"/>
        <v>1986</v>
      </c>
      <c r="B128" s="12" t="str">
        <f>IF('Firm Retail'!B75-'Total Retail'!B79=0,IF('Firm Retail'!B130-'Total Retail'!B136=0," ","x"),"X")</f>
        <v xml:space="preserve"> </v>
      </c>
      <c r="C128" s="13" t="str">
        <f>IF('Firm Retail'!C75-'Total Retail'!C79=0,IF('Firm Retail'!C130-'Total Retail'!C136=0," ","x"),"X")</f>
        <v xml:space="preserve"> </v>
      </c>
      <c r="D128" s="13" t="str">
        <f>IF('Firm Retail'!D75-'Total Retail'!D79=0,IF('Firm Retail'!D130-'Total Retail'!D136=0," ","x"),"X")</f>
        <v xml:space="preserve"> </v>
      </c>
      <c r="E128" s="13" t="str">
        <f>IF('Firm Retail'!E75-'Total Retail'!E79=0,IF('Firm Retail'!E130-'Total Retail'!E136=0," ","x"),"X")</f>
        <v xml:space="preserve"> </v>
      </c>
      <c r="F128" s="13" t="str">
        <f>IF('Firm Retail'!F75-'Total Retail'!F79=0,IF('Firm Retail'!F130-'Total Retail'!F136=0," ","x"),"X")</f>
        <v xml:space="preserve"> </v>
      </c>
      <c r="G128" s="13" t="str">
        <f>IF('Firm Retail'!G75-'Total Retail'!G79=0,IF('Firm Retail'!G130-'Total Retail'!G136=0," ","x"),"X")</f>
        <v>X</v>
      </c>
      <c r="H128" s="13" t="str">
        <f>IF('Firm Retail'!H75-'Total Retail'!H79=0,IF('Firm Retail'!H130-'Total Retail'!H136=0," ","x"),"X")</f>
        <v xml:space="preserve"> </v>
      </c>
      <c r="I128" s="13" t="str">
        <f>IF('Firm Retail'!I75-'Total Retail'!I79=0,IF('Firm Retail'!I130-'Total Retail'!I136=0," ","x"),"X")</f>
        <v xml:space="preserve"> </v>
      </c>
      <c r="J128" s="13" t="str">
        <f>IF('Firm Retail'!J75-'Total Retail'!J79=0,IF('Firm Retail'!J130-'Total Retail'!J136=0," ","x"),"X")</f>
        <v>X</v>
      </c>
      <c r="K128" s="13" t="str">
        <f>IF('Firm Retail'!K75-'Total Retail'!K79=0,IF('Firm Retail'!K130-'Total Retail'!K136=0," ","x"),"X")</f>
        <v xml:space="preserve"> </v>
      </c>
      <c r="L128" s="13" t="str">
        <f>IF('Firm Retail'!L75-'Total Retail'!L79=0,IF('Firm Retail'!L130-'Total Retail'!L136=0," ","x"),"X")</f>
        <v xml:space="preserve"> </v>
      </c>
      <c r="M128" s="13" t="str">
        <f>IF('Firm Retail'!M75-'Total Retail'!M79=0,IF('Firm Retail'!M130-'Total Retail'!M136=0," ","x"),"X")</f>
        <v xml:space="preserve"> </v>
      </c>
      <c r="N128" s="3"/>
      <c r="O128" s="3"/>
      <c r="P128" s="3"/>
      <c r="Q128" s="3"/>
      <c r="R128" s="3"/>
      <c r="S128" s="3"/>
      <c r="T128" s="3"/>
      <c r="U128" s="3"/>
      <c r="V128" s="3"/>
    </row>
    <row r="129" spans="1:22">
      <c r="A129" s="3">
        <f t="shared" si="11"/>
        <v>1987</v>
      </c>
      <c r="B129" s="12" t="str">
        <f>IF('Firm Retail'!B76-'Total Retail'!B80=0,IF('Firm Retail'!B131-'Total Retail'!B137=0," ","x"),"X")</f>
        <v>X</v>
      </c>
      <c r="C129" s="13" t="str">
        <f>IF('Firm Retail'!C76-'Total Retail'!C80=0,IF('Firm Retail'!C131-'Total Retail'!C137=0," ","x"),"X")</f>
        <v xml:space="preserve"> </v>
      </c>
      <c r="D129" s="13" t="str">
        <f>IF('Firm Retail'!D76-'Total Retail'!D80=0,IF('Firm Retail'!D131-'Total Retail'!D137=0," ","x"),"X")</f>
        <v xml:space="preserve"> </v>
      </c>
      <c r="E129" s="13" t="str">
        <f>IF('Firm Retail'!E76-'Total Retail'!E80=0,IF('Firm Retail'!E131-'Total Retail'!E137=0," ","x"),"X")</f>
        <v>X</v>
      </c>
      <c r="F129" s="13" t="str">
        <f>IF('Firm Retail'!F76-'Total Retail'!F80=0,IF('Firm Retail'!F131-'Total Retail'!F137=0," ","x"),"X")</f>
        <v xml:space="preserve"> </v>
      </c>
      <c r="G129" s="13" t="str">
        <f>IF('Firm Retail'!G76-'Total Retail'!G80=0,IF('Firm Retail'!G131-'Total Retail'!G137=0," ","x"),"X")</f>
        <v>X</v>
      </c>
      <c r="H129" s="13" t="str">
        <f>IF('Firm Retail'!H76-'Total Retail'!H80=0,IF('Firm Retail'!H131-'Total Retail'!H137=0," ","x"),"X")</f>
        <v xml:space="preserve"> </v>
      </c>
      <c r="I129" s="13" t="str">
        <f>IF('Firm Retail'!I76-'Total Retail'!I80=0,IF('Firm Retail'!I131-'Total Retail'!I137=0," ","x"),"X")</f>
        <v>X</v>
      </c>
      <c r="J129" s="13" t="str">
        <f>IF('Firm Retail'!J76-'Total Retail'!J80=0,IF('Firm Retail'!J131-'Total Retail'!J137=0," ","x"),"X")</f>
        <v>X</v>
      </c>
      <c r="K129" s="13" t="str">
        <f>IF('Firm Retail'!K76-'Total Retail'!K80=0,IF('Firm Retail'!K131-'Total Retail'!K137=0," ","x"),"X")</f>
        <v xml:space="preserve"> </v>
      </c>
      <c r="L129" s="13" t="str">
        <f>IF('Firm Retail'!L76-'Total Retail'!L80=0,IF('Firm Retail'!L131-'Total Retail'!L137=0," ","x"),"X")</f>
        <v>X</v>
      </c>
      <c r="M129" s="13" t="str">
        <f>IF('Firm Retail'!M76-'Total Retail'!M80=0,IF('Firm Retail'!M131-'Total Retail'!M137=0," ","x"),"X")</f>
        <v xml:space="preserve"> </v>
      </c>
      <c r="N129" s="3"/>
      <c r="O129" s="3"/>
      <c r="P129" s="3"/>
      <c r="Q129" s="3"/>
      <c r="R129" s="3"/>
      <c r="S129" s="3"/>
      <c r="T129" s="3"/>
      <c r="U129" s="3"/>
      <c r="V129" s="3"/>
    </row>
    <row r="130" spans="1:22">
      <c r="A130" s="3">
        <f t="shared" si="11"/>
        <v>1988</v>
      </c>
      <c r="B130" s="12" t="str">
        <f>IF('Firm Retail'!B77-'Total Retail'!B81=0,IF('Firm Retail'!B132-'Total Retail'!B138=0," ","x"),"X")</f>
        <v xml:space="preserve"> </v>
      </c>
      <c r="C130" s="13" t="str">
        <f>IF('Firm Retail'!C77-'Total Retail'!C81=0,IF('Firm Retail'!C132-'Total Retail'!C138=0," ","x"),"X")</f>
        <v xml:space="preserve"> </v>
      </c>
      <c r="D130" s="13" t="str">
        <f>IF('Firm Retail'!D77-'Total Retail'!D81=0,IF('Firm Retail'!D132-'Total Retail'!D138=0," ","x"),"X")</f>
        <v xml:space="preserve"> </v>
      </c>
      <c r="E130" s="13" t="str">
        <f>IF('Firm Retail'!E77-'Total Retail'!E81=0,IF('Firm Retail'!E132-'Total Retail'!E138=0," ","x"),"X")</f>
        <v xml:space="preserve"> </v>
      </c>
      <c r="F130" s="13" t="str">
        <f>IF('Firm Retail'!F77-'Total Retail'!F81=0,IF('Firm Retail'!F132-'Total Retail'!F138=0," ","x"),"X")</f>
        <v xml:space="preserve"> </v>
      </c>
      <c r="G130" s="13" t="str">
        <f>IF('Firm Retail'!G77-'Total Retail'!G81=0,IF('Firm Retail'!G132-'Total Retail'!G138=0," ","x"),"X")</f>
        <v xml:space="preserve"> </v>
      </c>
      <c r="H130" s="13" t="str">
        <f>IF('Firm Retail'!H77-'Total Retail'!H81=0,IF('Firm Retail'!H132-'Total Retail'!H138=0," ","x"),"X")</f>
        <v xml:space="preserve"> </v>
      </c>
      <c r="I130" s="13" t="str">
        <f>IF('Firm Retail'!I77-'Total Retail'!I81=0,IF('Firm Retail'!I132-'Total Retail'!I138=0," ","x"),"X")</f>
        <v xml:space="preserve"> </v>
      </c>
      <c r="J130" s="13" t="str">
        <f>IF('Firm Retail'!J77-'Total Retail'!J81=0,IF('Firm Retail'!J132-'Total Retail'!J138=0," ","x"),"X")</f>
        <v>X</v>
      </c>
      <c r="K130" s="13" t="str">
        <f>IF('Firm Retail'!K77-'Total Retail'!K81=0,IF('Firm Retail'!K132-'Total Retail'!K138=0," ","x"),"X")</f>
        <v>X</v>
      </c>
      <c r="L130" s="13" t="str">
        <f>IF('Firm Retail'!L77-'Total Retail'!L81=0,IF('Firm Retail'!L132-'Total Retail'!L138=0," ","x"),"X")</f>
        <v>X</v>
      </c>
      <c r="M130" s="13" t="str">
        <f>IF('Firm Retail'!M77-'Total Retail'!M81=0,IF('Firm Retail'!M132-'Total Retail'!M138=0," ","x"),"X")</f>
        <v xml:space="preserve"> </v>
      </c>
      <c r="N130" s="3"/>
      <c r="O130" s="3"/>
      <c r="P130" s="3"/>
      <c r="Q130" s="3"/>
      <c r="R130" s="3"/>
      <c r="S130" s="3"/>
      <c r="T130" s="3"/>
      <c r="U130" s="3"/>
      <c r="V130" s="3"/>
    </row>
    <row r="131" spans="1:22">
      <c r="A131" s="3">
        <f t="shared" si="11"/>
        <v>1989</v>
      </c>
      <c r="B131" s="12" t="str">
        <f>IF('Firm Retail'!B78-'Total Retail'!B82=0,IF('Firm Retail'!B133-'Total Retail'!B139=0," ","x"),"X")</f>
        <v xml:space="preserve"> </v>
      </c>
      <c r="C131" s="13" t="str">
        <f>IF('Firm Retail'!C78-'Total Retail'!C82=0,IF('Firm Retail'!C133-'Total Retail'!C139=0," ","x"),"X")</f>
        <v xml:space="preserve"> </v>
      </c>
      <c r="D131" s="13" t="str">
        <f>IF('Firm Retail'!D78-'Total Retail'!D82=0,IF('Firm Retail'!D133-'Total Retail'!D139=0," ","x"),"X")</f>
        <v xml:space="preserve"> </v>
      </c>
      <c r="E131" s="13" t="str">
        <f>IF('Firm Retail'!E78-'Total Retail'!E82=0,IF('Firm Retail'!E133-'Total Retail'!E139=0," ","x"),"X")</f>
        <v xml:space="preserve"> </v>
      </c>
      <c r="F131" s="13" t="str">
        <f>IF('Firm Retail'!F78-'Total Retail'!F82=0,IF('Firm Retail'!F133-'Total Retail'!F139=0," ","x"),"X")</f>
        <v>X</v>
      </c>
      <c r="G131" s="13" t="str">
        <f>IF('Firm Retail'!G78-'Total Retail'!G82=0,IF('Firm Retail'!G133-'Total Retail'!G139=0," ","x"),"X")</f>
        <v>X</v>
      </c>
      <c r="H131" s="13" t="str">
        <f>IF('Firm Retail'!H78-'Total Retail'!H82=0,IF('Firm Retail'!H133-'Total Retail'!H139=0," ","x"),"X")</f>
        <v xml:space="preserve"> </v>
      </c>
      <c r="I131" s="13" t="str">
        <f>IF('Firm Retail'!I78-'Total Retail'!I82=0,IF('Firm Retail'!I133-'Total Retail'!I139=0," ","x"),"X")</f>
        <v>X</v>
      </c>
      <c r="J131" s="13" t="str">
        <f>IF('Firm Retail'!J78-'Total Retail'!J82=0,IF('Firm Retail'!J133-'Total Retail'!J139=0," ","x"),"X")</f>
        <v>X</v>
      </c>
      <c r="K131" s="13" t="str">
        <f>IF('Firm Retail'!K78-'Total Retail'!K82=0,IF('Firm Retail'!K133-'Total Retail'!K139=0," ","x"),"X")</f>
        <v xml:space="preserve"> </v>
      </c>
      <c r="L131" s="13" t="str">
        <f>IF('Firm Retail'!L78-'Total Retail'!L82=0,IF('Firm Retail'!L133-'Total Retail'!L139=0," ","x"),"X")</f>
        <v xml:space="preserve"> </v>
      </c>
      <c r="M131" s="13" t="str">
        <f>IF('Firm Retail'!M78-'Total Retail'!M82=0,IF('Firm Retail'!M133-'Total Retail'!M139=0," ","x"),"X")</f>
        <v>x</v>
      </c>
      <c r="N131" s="3"/>
      <c r="O131" s="3"/>
      <c r="P131" s="3"/>
      <c r="Q131" s="3"/>
      <c r="R131" s="3"/>
      <c r="S131" s="3"/>
      <c r="T131" s="3"/>
      <c r="U131" s="3"/>
      <c r="V131" s="3"/>
    </row>
    <row r="132" spans="1:22">
      <c r="A132" s="3">
        <f t="shared" si="11"/>
        <v>1990</v>
      </c>
      <c r="B132" s="12" t="str">
        <f>IF('Firm Retail'!B79-'Total Retail'!B83=0,IF('Firm Retail'!B134-'Total Retail'!B140=0," ","x"),"X")</f>
        <v xml:space="preserve"> </v>
      </c>
      <c r="C132" s="13" t="str">
        <f>IF('Firm Retail'!C79-'Total Retail'!C83=0,IF('Firm Retail'!C134-'Total Retail'!C140=0," ","x"),"X")</f>
        <v xml:space="preserve"> </v>
      </c>
      <c r="D132" s="13" t="str">
        <f>IF('Firm Retail'!D79-'Total Retail'!D83=0,IF('Firm Retail'!D134-'Total Retail'!D140=0," ","x"),"X")</f>
        <v>x</v>
      </c>
      <c r="E132" s="13" t="str">
        <f>IF('Firm Retail'!E79-'Total Retail'!E83=0,IF('Firm Retail'!E134-'Total Retail'!E140=0," ","x"),"X")</f>
        <v xml:space="preserve"> </v>
      </c>
      <c r="F132" s="13" t="str">
        <f>IF('Firm Retail'!F79-'Total Retail'!F83=0,IF('Firm Retail'!F134-'Total Retail'!F140=0," ","x"),"X")</f>
        <v xml:space="preserve"> </v>
      </c>
      <c r="G132" s="13" t="str">
        <f>IF('Firm Retail'!G79-'Total Retail'!G83=0,IF('Firm Retail'!G134-'Total Retail'!G140=0," ","x"),"X")</f>
        <v>x</v>
      </c>
      <c r="H132" s="13" t="str">
        <f>IF('Firm Retail'!H79-'Total Retail'!H83=0,IF('Firm Retail'!H134-'Total Retail'!H140=0," ","x"),"X")</f>
        <v>X</v>
      </c>
      <c r="I132" s="13" t="str">
        <f>IF('Firm Retail'!I79-'Total Retail'!I83=0,IF('Firm Retail'!I134-'Total Retail'!I140=0," ","x"),"X")</f>
        <v xml:space="preserve"> </v>
      </c>
      <c r="J132" s="13" t="str">
        <f>IF('Firm Retail'!J79-'Total Retail'!J83=0,IF('Firm Retail'!J134-'Total Retail'!J140=0," ","x"),"X")</f>
        <v>X</v>
      </c>
      <c r="K132" s="13" t="str">
        <f>IF('Firm Retail'!K79-'Total Retail'!K83=0,IF('Firm Retail'!K134-'Total Retail'!K140=0," ","x"),"X")</f>
        <v xml:space="preserve"> </v>
      </c>
      <c r="L132" s="13" t="str">
        <f>IF('Firm Retail'!L79-'Total Retail'!L83=0,IF('Firm Retail'!L134-'Total Retail'!L140=0," ","x"),"X")</f>
        <v xml:space="preserve"> </v>
      </c>
      <c r="M132" s="13" t="str">
        <f>IF('Firm Retail'!M79-'Total Retail'!M83=0,IF('Firm Retail'!M134-'Total Retail'!M140=0," ","x"),"X")</f>
        <v xml:space="preserve"> </v>
      </c>
      <c r="N132" s="3"/>
      <c r="O132" s="3"/>
      <c r="P132" s="3"/>
      <c r="Q132" s="3"/>
      <c r="R132" s="3"/>
      <c r="S132" s="3"/>
      <c r="T132" s="3"/>
      <c r="U132" s="3"/>
      <c r="V132" s="3"/>
    </row>
    <row r="133" spans="1:22">
      <c r="A133" s="3">
        <f t="shared" si="11"/>
        <v>1991</v>
      </c>
      <c r="B133" s="12" t="str">
        <f>IF('Firm Retail'!B80-'Total Retail'!B84=0,IF('Firm Retail'!B135-'Total Retail'!B141=0," ","x"),"X")</f>
        <v xml:space="preserve"> </v>
      </c>
      <c r="C133" s="13" t="str">
        <f>IF('Firm Retail'!C80-'Total Retail'!C84=0,IF('Firm Retail'!C135-'Total Retail'!C141=0," ","x"),"X")</f>
        <v xml:space="preserve"> </v>
      </c>
      <c r="D133" s="13" t="str">
        <f>IF('Firm Retail'!D80-'Total Retail'!D84=0,IF('Firm Retail'!D135-'Total Retail'!D141=0," ","x"),"X")</f>
        <v xml:space="preserve"> </v>
      </c>
      <c r="E133" s="13" t="str">
        <f>IF('Firm Retail'!E80-'Total Retail'!E84=0,IF('Firm Retail'!E135-'Total Retail'!E141=0," ","x"),"X")</f>
        <v xml:space="preserve"> </v>
      </c>
      <c r="F133" s="13" t="str">
        <f>IF('Firm Retail'!F80-'Total Retail'!F84=0,IF('Firm Retail'!F135-'Total Retail'!F141=0," ","x"),"X")</f>
        <v xml:space="preserve"> </v>
      </c>
      <c r="G133" s="13" t="str">
        <f>IF('Firm Retail'!G80-'Total Retail'!G84=0,IF('Firm Retail'!G135-'Total Retail'!G141=0," ","x"),"X")</f>
        <v>X</v>
      </c>
      <c r="H133" s="13" t="str">
        <f>IF('Firm Retail'!H80-'Total Retail'!H84=0,IF('Firm Retail'!H135-'Total Retail'!H141=0," ","x"),"X")</f>
        <v xml:space="preserve"> </v>
      </c>
      <c r="I133" s="13" t="str">
        <f>IF('Firm Retail'!I80-'Total Retail'!I84=0,IF('Firm Retail'!I135-'Total Retail'!I141=0," ","x"),"X")</f>
        <v xml:space="preserve"> </v>
      </c>
      <c r="J133" s="13" t="str">
        <f>IF('Firm Retail'!J80-'Total Retail'!J84=0,IF('Firm Retail'!J135-'Total Retail'!J141=0," ","x"),"X")</f>
        <v xml:space="preserve"> </v>
      </c>
      <c r="K133" s="13" t="str">
        <f>IF('Firm Retail'!K80-'Total Retail'!K84=0,IF('Firm Retail'!K135-'Total Retail'!K141=0," ","x"),"X")</f>
        <v>x</v>
      </c>
      <c r="L133" s="13" t="str">
        <f>IF('Firm Retail'!L80-'Total Retail'!L84=0,IF('Firm Retail'!L135-'Total Retail'!L141=0," ","x"),"X")</f>
        <v xml:space="preserve"> </v>
      </c>
      <c r="M133" s="13" t="str">
        <f>IF('Firm Retail'!M80-'Total Retail'!M84=0,IF('Firm Retail'!M135-'Total Retail'!M141=0," ","x"),"X")</f>
        <v xml:space="preserve"> </v>
      </c>
      <c r="N133" s="3"/>
      <c r="O133" s="3"/>
      <c r="P133" s="3"/>
      <c r="Q133" s="3"/>
      <c r="R133" s="3"/>
      <c r="S133" s="3"/>
      <c r="T133" s="3"/>
      <c r="U133" s="3"/>
      <c r="V133" s="3"/>
    </row>
    <row r="134" spans="1:22">
      <c r="A134" s="3">
        <f t="shared" si="11"/>
        <v>1992</v>
      </c>
      <c r="B134" s="12" t="str">
        <f>IF('Firm Retail'!B81-'Total Retail'!B85=0,IF('Firm Retail'!B136-'Total Retail'!B142=0," ","x"),"X")</f>
        <v xml:space="preserve"> </v>
      </c>
      <c r="C134" s="13" t="str">
        <f>IF('Firm Retail'!C81-'Total Retail'!C85=0,IF('Firm Retail'!C136-'Total Retail'!C142=0," ","x"),"X")</f>
        <v xml:space="preserve"> </v>
      </c>
      <c r="D134" s="13" t="str">
        <f>IF('Firm Retail'!D81-'Total Retail'!D85=0,IF('Firm Retail'!D136-'Total Retail'!D142=0," ","x"),"X")</f>
        <v xml:space="preserve"> </v>
      </c>
      <c r="E134" s="13" t="str">
        <f>IF('Firm Retail'!E81-'Total Retail'!E85=0,IF('Firm Retail'!E136-'Total Retail'!E142=0," ","x"),"X")</f>
        <v>X</v>
      </c>
      <c r="F134" s="13" t="str">
        <f>IF('Firm Retail'!F81-'Total Retail'!F85=0,IF('Firm Retail'!F136-'Total Retail'!F142=0," ","x"),"X")</f>
        <v>x</v>
      </c>
      <c r="G134" s="13" t="str">
        <f>IF('Firm Retail'!G81-'Total Retail'!G85=0,IF('Firm Retail'!G136-'Total Retail'!G142=0," ","x"),"X")</f>
        <v>X</v>
      </c>
      <c r="H134" s="13" t="str">
        <f>IF('Firm Retail'!H81-'Total Retail'!H85=0,IF('Firm Retail'!H136-'Total Retail'!H142=0," ","x"),"X")</f>
        <v>X</v>
      </c>
      <c r="I134" s="13" t="str">
        <f>IF('Firm Retail'!I81-'Total Retail'!I85=0,IF('Firm Retail'!I136-'Total Retail'!I142=0," ","x"),"X")</f>
        <v xml:space="preserve"> </v>
      </c>
      <c r="J134" s="13" t="str">
        <f>IF('Firm Retail'!J81-'Total Retail'!J85=0,IF('Firm Retail'!J136-'Total Retail'!J142=0," ","x"),"X")</f>
        <v xml:space="preserve"> </v>
      </c>
      <c r="K134" s="13" t="str">
        <f>IF('Firm Retail'!K81-'Total Retail'!K85=0,IF('Firm Retail'!K136-'Total Retail'!K142=0," ","x"),"X")</f>
        <v xml:space="preserve"> </v>
      </c>
      <c r="L134" s="13" t="str">
        <f>IF('Firm Retail'!L81-'Total Retail'!L85=0,IF('Firm Retail'!L136-'Total Retail'!L142=0," ","x"),"X")</f>
        <v xml:space="preserve"> </v>
      </c>
      <c r="M134" s="13" t="str">
        <f>IF('Firm Retail'!M81-'Total Retail'!M85=0,IF('Firm Retail'!M136-'Total Retail'!M142=0," ","x"),"X")</f>
        <v xml:space="preserve"> </v>
      </c>
      <c r="N134" s="3"/>
      <c r="O134" s="3"/>
      <c r="P134" s="3"/>
      <c r="Q134" s="3"/>
      <c r="R134" s="3"/>
      <c r="S134" s="3"/>
      <c r="T134" s="3"/>
      <c r="U134" s="3"/>
      <c r="V134" s="3"/>
    </row>
    <row r="135" spans="1:22">
      <c r="A135" s="3">
        <f t="shared" si="11"/>
        <v>1993</v>
      </c>
      <c r="B135" s="12" t="str">
        <f>IF('Firm Retail'!B82-'Total Retail'!B86=0,IF('Firm Retail'!B137-'Total Retail'!B143=0," ","x"),"X")</f>
        <v xml:space="preserve"> </v>
      </c>
      <c r="C135" s="13" t="str">
        <f>IF('Firm Retail'!C82-'Total Retail'!C86=0,IF('Firm Retail'!C137-'Total Retail'!C143=0," ","x"),"X")</f>
        <v xml:space="preserve"> </v>
      </c>
      <c r="D135" s="13" t="str">
        <f>IF('Firm Retail'!D82-'Total Retail'!D86=0,IF('Firm Retail'!D137-'Total Retail'!D143=0," ","x"),"X")</f>
        <v xml:space="preserve"> </v>
      </c>
      <c r="E135" s="13" t="str">
        <f>IF('Firm Retail'!E82-'Total Retail'!E86=0,IF('Firm Retail'!E137-'Total Retail'!E143=0," ","x"),"X")</f>
        <v xml:space="preserve"> </v>
      </c>
      <c r="F135" s="13" t="str">
        <f>IF('Firm Retail'!F82-'Total Retail'!F86=0,IF('Firm Retail'!F137-'Total Retail'!F143=0," ","x"),"X")</f>
        <v xml:space="preserve"> </v>
      </c>
      <c r="G135" s="13" t="str">
        <f>IF('Firm Retail'!G82-'Total Retail'!G86=0,IF('Firm Retail'!G137-'Total Retail'!G143=0," ","x"),"X")</f>
        <v xml:space="preserve"> </v>
      </c>
      <c r="H135" s="13" t="str">
        <f>IF('Firm Retail'!H82-'Total Retail'!H86=0,IF('Firm Retail'!H137-'Total Retail'!H143=0," ","x"),"X")</f>
        <v xml:space="preserve"> </v>
      </c>
      <c r="I135" s="13" t="str">
        <f>IF('Firm Retail'!I82-'Total Retail'!I86=0,IF('Firm Retail'!I137-'Total Retail'!I143=0," ","x"),"X")</f>
        <v>X</v>
      </c>
      <c r="J135" s="13" t="str">
        <f>IF('Firm Retail'!J82-'Total Retail'!J86=0,IF('Firm Retail'!J137-'Total Retail'!J143=0," ","x"),"X")</f>
        <v xml:space="preserve"> </v>
      </c>
      <c r="K135" s="13" t="str">
        <f>IF('Firm Retail'!K82-'Total Retail'!K86=0,IF('Firm Retail'!K137-'Total Retail'!K143=0," ","x"),"X")</f>
        <v xml:space="preserve"> </v>
      </c>
      <c r="L135" s="13" t="str">
        <f>IF('Firm Retail'!L82-'Total Retail'!L86=0,IF('Firm Retail'!L137-'Total Retail'!L143=0," ","x"),"X")</f>
        <v xml:space="preserve"> </v>
      </c>
      <c r="M135" s="13" t="str">
        <f>IF('Firm Retail'!M82-'Total Retail'!M86=0,IF('Firm Retail'!M137-'Total Retail'!M143=0," ","x"),"X")</f>
        <v xml:space="preserve"> </v>
      </c>
      <c r="N135" s="3"/>
      <c r="O135" s="3"/>
      <c r="P135" s="3"/>
      <c r="Q135" s="3"/>
      <c r="R135" s="3"/>
      <c r="S135" s="3"/>
      <c r="T135" s="3"/>
      <c r="U135" s="3"/>
      <c r="V135" s="3"/>
    </row>
    <row r="136" spans="1:22">
      <c r="A136" s="3">
        <f t="shared" si="11"/>
        <v>1994</v>
      </c>
      <c r="B136" s="12" t="str">
        <f>IF('Firm Retail'!B83-'Total Retail'!B87=0,IF('Firm Retail'!B138-'Total Retail'!B144=0," ","x"),"X")</f>
        <v xml:space="preserve"> </v>
      </c>
      <c r="C136" s="13" t="str">
        <f>IF('Firm Retail'!C83-'Total Retail'!C87=0,IF('Firm Retail'!C138-'Total Retail'!C144=0," ","x"),"X")</f>
        <v xml:space="preserve"> </v>
      </c>
      <c r="D136" s="13" t="str">
        <f>IF('Firm Retail'!D83-'Total Retail'!D87=0,IF('Firm Retail'!D138-'Total Retail'!D144=0," ","x"),"X")</f>
        <v xml:space="preserve"> </v>
      </c>
      <c r="E136" s="13" t="str">
        <f>IF('Firm Retail'!E83-'Total Retail'!E87=0,IF('Firm Retail'!E138-'Total Retail'!E144=0," ","x"),"X")</f>
        <v>X</v>
      </c>
      <c r="F136" s="13" t="str">
        <f>IF('Firm Retail'!F83-'Total Retail'!F87=0,IF('Firm Retail'!F138-'Total Retail'!F144=0," ","x"),"X")</f>
        <v>X</v>
      </c>
      <c r="G136" s="13" t="str">
        <f>IF('Firm Retail'!G83-'Total Retail'!G87=0,IF('Firm Retail'!G138-'Total Retail'!G144=0," ","x"),"X")</f>
        <v>x</v>
      </c>
      <c r="H136" s="13" t="str">
        <f>IF('Firm Retail'!H83-'Total Retail'!H87=0,IF('Firm Retail'!H138-'Total Retail'!H144=0," ","x"),"X")</f>
        <v xml:space="preserve"> </v>
      </c>
      <c r="I136" s="13" t="str">
        <f>IF('Firm Retail'!I83-'Total Retail'!I87=0,IF('Firm Retail'!I138-'Total Retail'!I144=0," ","x"),"X")</f>
        <v xml:space="preserve"> </v>
      </c>
      <c r="J136" s="13" t="str">
        <f>IF('Firm Retail'!J83-'Total Retail'!J87=0,IF('Firm Retail'!J138-'Total Retail'!J144=0," ","x"),"X")</f>
        <v xml:space="preserve"> </v>
      </c>
      <c r="K136" s="13" t="str">
        <f>IF('Firm Retail'!K83-'Total Retail'!K87=0,IF('Firm Retail'!K138-'Total Retail'!K144=0," ","x"),"X")</f>
        <v xml:space="preserve"> </v>
      </c>
      <c r="L136" s="13" t="str">
        <f>IF('Firm Retail'!L83-'Total Retail'!L87=0,IF('Firm Retail'!L138-'Total Retail'!L144=0," ","x"),"X")</f>
        <v>X</v>
      </c>
      <c r="M136" s="13" t="str">
        <f>IF('Firm Retail'!M83-'Total Retail'!M87=0,IF('Firm Retail'!M138-'Total Retail'!M144=0," ","x"),"X")</f>
        <v xml:space="preserve"> </v>
      </c>
      <c r="N136" s="3"/>
      <c r="O136" s="3"/>
      <c r="P136" s="3"/>
      <c r="Q136" s="3"/>
      <c r="R136" s="3"/>
      <c r="S136" s="3"/>
      <c r="T136" s="3"/>
      <c r="U136" s="3"/>
      <c r="V136" s="3"/>
    </row>
    <row r="137" spans="1:22">
      <c r="A137" s="3">
        <f t="shared" si="11"/>
        <v>1995</v>
      </c>
      <c r="B137" s="12" t="str">
        <f>IF('Firm Retail'!B84-'Total Retail'!B88=0,IF('Firm Retail'!B139-'Total Retail'!B145=0," ","x"),"X")</f>
        <v xml:space="preserve"> </v>
      </c>
      <c r="C137" s="13" t="str">
        <f>IF('Firm Retail'!C84-'Total Retail'!C88=0,IF('Firm Retail'!C139-'Total Retail'!C145=0," ","x"),"X")</f>
        <v xml:space="preserve"> </v>
      </c>
      <c r="D137" s="13" t="str">
        <f>IF('Firm Retail'!D84-'Total Retail'!D88=0,IF('Firm Retail'!D139-'Total Retail'!D145=0," ","x"),"X")</f>
        <v>X</v>
      </c>
      <c r="E137" s="13" t="str">
        <f>IF('Firm Retail'!E84-'Total Retail'!E88=0,IF('Firm Retail'!E139-'Total Retail'!E145=0," ","x"),"X")</f>
        <v xml:space="preserve"> </v>
      </c>
      <c r="F137" s="13" t="str">
        <f>IF('Firm Retail'!F84-'Total Retail'!F88=0,IF('Firm Retail'!F139-'Total Retail'!F145=0," ","x"),"X")</f>
        <v>X</v>
      </c>
      <c r="G137" s="13" t="str">
        <f>IF('Firm Retail'!G84-'Total Retail'!G88=0,IF('Firm Retail'!G139-'Total Retail'!G145=0," ","x"),"X")</f>
        <v xml:space="preserve"> </v>
      </c>
      <c r="H137" s="13" t="str">
        <f>IF('Firm Retail'!H84-'Total Retail'!H88=0,IF('Firm Retail'!H139-'Total Retail'!H145=0," ","x"),"X")</f>
        <v xml:space="preserve"> </v>
      </c>
      <c r="I137" s="13" t="str">
        <f>IF('Firm Retail'!I84-'Total Retail'!I88=0,IF('Firm Retail'!I139-'Total Retail'!I145=0," ","x"),"X")</f>
        <v xml:space="preserve"> </v>
      </c>
      <c r="J137" s="13" t="str">
        <f>IF('Firm Retail'!J84-'Total Retail'!J88=0,IF('Firm Retail'!J139-'Total Retail'!J145=0," ","x"),"X")</f>
        <v xml:space="preserve"> </v>
      </c>
      <c r="K137" s="13" t="str">
        <f>IF('Firm Retail'!K84-'Total Retail'!K88=0,IF('Firm Retail'!K139-'Total Retail'!K145=0," ","x"),"X")</f>
        <v xml:space="preserve"> </v>
      </c>
      <c r="L137" s="13" t="str">
        <f>IF('Firm Retail'!L84-'Total Retail'!L88=0,IF('Firm Retail'!L139-'Total Retail'!L145=0," ","x"),"X")</f>
        <v xml:space="preserve"> </v>
      </c>
      <c r="M137" s="13" t="str">
        <f>IF('Firm Retail'!M84-'Total Retail'!M88=0,IF('Firm Retail'!M139-'Total Retail'!M145=0," ","x"),"X")</f>
        <v xml:space="preserve"> </v>
      </c>
      <c r="N137" s="3"/>
      <c r="O137" s="3"/>
      <c r="P137" s="3"/>
      <c r="Q137" s="3"/>
      <c r="R137" s="3"/>
      <c r="S137" s="3"/>
      <c r="T137" s="3"/>
      <c r="U137" s="3"/>
      <c r="V137" s="3"/>
    </row>
    <row r="138" spans="1:22">
      <c r="A138" s="3">
        <f t="shared" si="11"/>
        <v>1996</v>
      </c>
      <c r="B138" s="12" t="str">
        <f>IF('Firm Retail'!B85-'Total Retail'!B89=0,IF('Firm Retail'!B140-'Total Retail'!B146=0," ","x"),"X")</f>
        <v xml:space="preserve"> </v>
      </c>
      <c r="C138" s="13" t="str">
        <f>IF('Firm Retail'!C85-'Total Retail'!C89=0,IF('Firm Retail'!C140-'Total Retail'!C146=0," ","x"),"X")</f>
        <v xml:space="preserve"> </v>
      </c>
      <c r="D138" s="13" t="str">
        <f>IF('Firm Retail'!D85-'Total Retail'!D89=0,IF('Firm Retail'!D140-'Total Retail'!D146=0," ","x"),"X")</f>
        <v>X</v>
      </c>
      <c r="E138" s="13" t="str">
        <f>IF('Firm Retail'!E85-'Total Retail'!E89=0,IF('Firm Retail'!E140-'Total Retail'!E146=0," ","x"),"X")</f>
        <v xml:space="preserve"> </v>
      </c>
      <c r="F138" s="13" t="str">
        <f>IF('Firm Retail'!F85-'Total Retail'!F89=0,IF('Firm Retail'!F140-'Total Retail'!F146=0," ","x"),"X")</f>
        <v xml:space="preserve"> </v>
      </c>
      <c r="G138" s="13" t="str">
        <f>IF('Firm Retail'!G85-'Total Retail'!G89=0,IF('Firm Retail'!G140-'Total Retail'!G146=0," ","x"),"X")</f>
        <v xml:space="preserve"> </v>
      </c>
      <c r="H138" s="13" t="str">
        <f>IF('Firm Retail'!H85-'Total Retail'!H89=0,IF('Firm Retail'!H140-'Total Retail'!H146=0," ","x"),"X")</f>
        <v xml:space="preserve"> </v>
      </c>
      <c r="I138" s="13" t="str">
        <f>IF('Firm Retail'!I85-'Total Retail'!I89=0,IF('Firm Retail'!I140-'Total Retail'!I146=0," ","x"),"X")</f>
        <v xml:space="preserve"> </v>
      </c>
      <c r="J138" s="13" t="str">
        <f>IF('Firm Retail'!J85-'Total Retail'!J89=0,IF('Firm Retail'!J140-'Total Retail'!J146=0," ","x"),"X")</f>
        <v xml:space="preserve"> </v>
      </c>
      <c r="K138" s="13" t="str">
        <f>IF('Firm Retail'!K85-'Total Retail'!K89=0,IF('Firm Retail'!K140-'Total Retail'!K146=0," ","x"),"X")</f>
        <v xml:space="preserve"> </v>
      </c>
      <c r="L138" s="13" t="str">
        <f>IF('Firm Retail'!L85-'Total Retail'!L89=0,IF('Firm Retail'!L140-'Total Retail'!L146=0," ","x"),"X")</f>
        <v xml:space="preserve"> </v>
      </c>
      <c r="M138" s="13" t="str">
        <f>IF('Firm Retail'!M85-'Total Retail'!M89=0,IF('Firm Retail'!M140-'Total Retail'!M146=0," ","x"),"X")</f>
        <v xml:space="preserve"> </v>
      </c>
      <c r="N138" s="3"/>
      <c r="O138" s="3"/>
      <c r="P138" s="3"/>
      <c r="Q138" s="3"/>
      <c r="R138" s="3"/>
      <c r="S138" s="3"/>
      <c r="T138" s="3"/>
      <c r="U138" s="3"/>
      <c r="V138" s="3"/>
    </row>
    <row r="139" spans="1:22">
      <c r="A139" s="3">
        <f t="shared" si="11"/>
        <v>1997</v>
      </c>
      <c r="B139" s="12" t="str">
        <f>IF('Firm Retail'!B86-'Total Retail'!B90=0,IF('Firm Retail'!B141-'Total Retail'!B147=0," ","x"),"X")</f>
        <v xml:space="preserve"> </v>
      </c>
      <c r="C139" s="13" t="str">
        <f>IF('Firm Retail'!C86-'Total Retail'!C90=0,IF('Firm Retail'!C141-'Total Retail'!C147=0," ","x"),"X")</f>
        <v xml:space="preserve"> </v>
      </c>
      <c r="D139" s="13" t="str">
        <f>IF('Firm Retail'!D86-'Total Retail'!D90=0,IF('Firm Retail'!D141-'Total Retail'!D147=0," ","x"),"X")</f>
        <v xml:space="preserve"> </v>
      </c>
      <c r="E139" s="13" t="str">
        <f>IF('Firm Retail'!E86-'Total Retail'!E90=0,IF('Firm Retail'!E141-'Total Retail'!E147=0," ","x"),"X")</f>
        <v xml:space="preserve"> </v>
      </c>
      <c r="F139" s="13" t="str">
        <f>IF('Firm Retail'!F86-'Total Retail'!F90=0,IF('Firm Retail'!F141-'Total Retail'!F147=0," ","x"),"X")</f>
        <v xml:space="preserve"> </v>
      </c>
      <c r="G139" s="13" t="str">
        <f>IF('Firm Retail'!G86-'Total Retail'!G90=0,IF('Firm Retail'!G141-'Total Retail'!G147=0," ","x"),"X")</f>
        <v xml:space="preserve"> </v>
      </c>
      <c r="H139" s="13" t="str">
        <f>IF('Firm Retail'!H86-'Total Retail'!H90=0,IF('Firm Retail'!H141-'Total Retail'!H147=0," ","x"),"X")</f>
        <v xml:space="preserve"> </v>
      </c>
      <c r="I139" s="13" t="str">
        <f>IF('Firm Retail'!I86-'Total Retail'!I90=0,IF('Firm Retail'!I141-'Total Retail'!I147=0," ","x"),"X")</f>
        <v xml:space="preserve"> </v>
      </c>
      <c r="J139" s="13" t="str">
        <f>IF('Firm Retail'!J86-'Total Retail'!J90=0,IF('Firm Retail'!J141-'Total Retail'!J147=0," ","x"),"X")</f>
        <v xml:space="preserve"> </v>
      </c>
      <c r="K139" s="13" t="str">
        <f>IF('Firm Retail'!K86-'Total Retail'!K90=0,IF('Firm Retail'!K141-'Total Retail'!K147=0," ","x"),"X")</f>
        <v xml:space="preserve"> </v>
      </c>
      <c r="L139" s="13" t="str">
        <f>IF('Firm Retail'!L86-'Total Retail'!L90=0,IF('Firm Retail'!L141-'Total Retail'!L147=0," ","x"),"X")</f>
        <v>X</v>
      </c>
      <c r="M139" s="13" t="str">
        <f>IF('Firm Retail'!M86-'Total Retail'!M90=0,IF('Firm Retail'!M141-'Total Retail'!M147=0," ","x"),"X")</f>
        <v xml:space="preserve"> </v>
      </c>
      <c r="N139" s="3"/>
      <c r="O139" s="3"/>
      <c r="P139" s="3"/>
      <c r="Q139" s="3"/>
      <c r="R139" s="3"/>
      <c r="S139" s="3"/>
      <c r="T139" s="3"/>
      <c r="U139" s="3"/>
      <c r="V139" s="3"/>
    </row>
    <row r="140" spans="1:22">
      <c r="A140" s="3">
        <f t="shared" si="11"/>
        <v>1998</v>
      </c>
      <c r="B140" s="12" t="str">
        <f>IF('Firm Retail'!B87-'Total Retail'!B91=0,IF('Firm Retail'!B142-'Total Retail'!B148=0," ","x"),"X")</f>
        <v xml:space="preserve"> </v>
      </c>
      <c r="C140" s="13" t="str">
        <f>IF('Firm Retail'!C87-'Total Retail'!C91=0,IF('Firm Retail'!C142-'Total Retail'!C148=0," ","x"),"X")</f>
        <v xml:space="preserve"> </v>
      </c>
      <c r="D140" s="13" t="str">
        <f>IF('Firm Retail'!D87-'Total Retail'!D91=0,IF('Firm Retail'!D142-'Total Retail'!D148=0," ","x"),"X")</f>
        <v xml:space="preserve"> </v>
      </c>
      <c r="E140" s="13" t="str">
        <f>IF('Firm Retail'!E87-'Total Retail'!E91=0,IF('Firm Retail'!E142-'Total Retail'!E148=0," ","x"),"X")</f>
        <v xml:space="preserve"> </v>
      </c>
      <c r="F140" s="13" t="str">
        <f>IF('Firm Retail'!F87-'Total Retail'!F91=0,IF('Firm Retail'!F142-'Total Retail'!F148=0," ","x"),"X")</f>
        <v>X</v>
      </c>
      <c r="G140" s="13" t="str">
        <f>IF('Firm Retail'!G87-'Total Retail'!G91=0,IF('Firm Retail'!G142-'Total Retail'!G148=0," ","x"),"X")</f>
        <v>X</v>
      </c>
      <c r="H140" s="13" t="str">
        <f>IF('Firm Retail'!H87-'Total Retail'!H91=0,IF('Firm Retail'!H142-'Total Retail'!H148=0," ","x"),"X")</f>
        <v xml:space="preserve"> </v>
      </c>
      <c r="I140" s="13" t="str">
        <f>IF('Firm Retail'!I87-'Total Retail'!I91=0,IF('Firm Retail'!I142-'Total Retail'!I148=0," ","x"),"X")</f>
        <v xml:space="preserve"> </v>
      </c>
      <c r="J140" s="13" t="str">
        <f>IF('Firm Retail'!J87-'Total Retail'!J91=0,IF('Firm Retail'!J142-'Total Retail'!J148=0," ","x"),"X")</f>
        <v xml:space="preserve"> </v>
      </c>
      <c r="K140" s="13" t="str">
        <f>IF('Firm Retail'!K87-'Total Retail'!K91=0,IF('Firm Retail'!K142-'Total Retail'!K148=0," ","x"),"X")</f>
        <v xml:space="preserve"> </v>
      </c>
      <c r="L140" s="13" t="str">
        <f>IF('Firm Retail'!L87-'Total Retail'!L91=0,IF('Firm Retail'!L142-'Total Retail'!L148=0," ","x"),"X")</f>
        <v>X</v>
      </c>
      <c r="M140" s="13" t="str">
        <f>IF('Firm Retail'!M87-'Total Retail'!M91=0,IF('Firm Retail'!M142-'Total Retail'!M148=0," ","x"),"X")</f>
        <v>X</v>
      </c>
      <c r="N140" s="3"/>
      <c r="O140" s="3"/>
      <c r="P140" s="3"/>
      <c r="Q140" s="3"/>
      <c r="R140" s="3"/>
      <c r="S140" s="3"/>
      <c r="T140" s="3"/>
      <c r="U140" s="3"/>
      <c r="V140" s="3"/>
    </row>
    <row r="141" spans="1:22">
      <c r="A141" s="3">
        <f t="shared" si="11"/>
        <v>1999</v>
      </c>
      <c r="B141" s="12" t="str">
        <f>IF('Firm Retail'!B88-'Total Retail'!B92=0,IF('Firm Retail'!B143-'Total Retail'!B149=0," ","x"),"X")</f>
        <v xml:space="preserve"> </v>
      </c>
      <c r="C141" s="13" t="str">
        <f>IF('Firm Retail'!C88-'Total Retail'!C92=0,IF('Firm Retail'!C143-'Total Retail'!C149=0," ","x"),"X")</f>
        <v xml:space="preserve"> </v>
      </c>
      <c r="D141" s="13" t="str">
        <f>IF('Firm Retail'!D88-'Total Retail'!D92=0,IF('Firm Retail'!D143-'Total Retail'!D149=0," ","x"),"X")</f>
        <v>X</v>
      </c>
      <c r="E141" s="13" t="str">
        <f>IF('Firm Retail'!E88-'Total Retail'!E92=0,IF('Firm Retail'!E143-'Total Retail'!E149=0," ","x"),"X")</f>
        <v xml:space="preserve"> </v>
      </c>
      <c r="F141" s="13" t="str">
        <f>IF('Firm Retail'!F88-'Total Retail'!F92=0,IF('Firm Retail'!F143-'Total Retail'!F149=0," ","x"),"X")</f>
        <v>X</v>
      </c>
      <c r="G141" s="13" t="str">
        <f>IF('Firm Retail'!G88-'Total Retail'!G92=0,IF('Firm Retail'!G143-'Total Retail'!G149=0," ","x"),"X")</f>
        <v xml:space="preserve"> </v>
      </c>
      <c r="H141" s="13" t="str">
        <f>IF('Firm Retail'!H88-'Total Retail'!H92=0,IF('Firm Retail'!H143-'Total Retail'!H149=0," ","x"),"X")</f>
        <v xml:space="preserve"> </v>
      </c>
      <c r="I141" s="13" t="str">
        <f>IF('Firm Retail'!I88-'Total Retail'!I92=0,IF('Firm Retail'!I143-'Total Retail'!I149=0," ","x"),"X")</f>
        <v xml:space="preserve"> </v>
      </c>
      <c r="J141" s="13" t="str">
        <f>IF('Firm Retail'!J88-'Total Retail'!J92=0,IF('Firm Retail'!J143-'Total Retail'!J149=0," ","x"),"X")</f>
        <v>X</v>
      </c>
      <c r="K141" s="13" t="str">
        <f>IF('Firm Retail'!K88-'Total Retail'!K92=0,IF('Firm Retail'!K143-'Total Retail'!K149=0," ","x"),"X")</f>
        <v xml:space="preserve"> </v>
      </c>
      <c r="L141" s="13" t="str">
        <f>IF('Firm Retail'!L88-'Total Retail'!L92=0,IF('Firm Retail'!L143-'Total Retail'!L149=0," ","x"),"X")</f>
        <v xml:space="preserve"> </v>
      </c>
      <c r="M141" s="13" t="str">
        <f>IF('Firm Retail'!M88-'Total Retail'!M92=0,IF('Firm Retail'!M143-'Total Retail'!M149=0," ","x"),"X")</f>
        <v xml:space="preserve"> </v>
      </c>
      <c r="N141" s="3"/>
      <c r="O141" s="3"/>
      <c r="P141" s="3"/>
      <c r="Q141" s="3"/>
      <c r="R141" s="3"/>
      <c r="S141" s="3"/>
      <c r="T141" s="3"/>
      <c r="U141" s="3"/>
      <c r="V141" s="3"/>
    </row>
    <row r="142" spans="1:22">
      <c r="A142" s="3">
        <f t="shared" si="11"/>
        <v>2000</v>
      </c>
      <c r="B142" s="12" t="str">
        <f>IF('Firm Retail'!B89-'Total Retail'!B93=0,IF('Firm Retail'!B144-'Total Retail'!B150=0," ","x"),"X")</f>
        <v xml:space="preserve"> </v>
      </c>
      <c r="C142" s="13" t="str">
        <f>IF('Firm Retail'!C89-'Total Retail'!C93=0,IF('Firm Retail'!C144-'Total Retail'!C150=0," ","x"),"X")</f>
        <v xml:space="preserve"> </v>
      </c>
      <c r="D142" s="13" t="str">
        <f>IF('Firm Retail'!D89-'Total Retail'!D93=0,IF('Firm Retail'!D144-'Total Retail'!D150=0," ","x"),"X")</f>
        <v xml:space="preserve"> </v>
      </c>
      <c r="E142" s="13" t="str">
        <f>IF('Firm Retail'!E89-'Total Retail'!E93=0,IF('Firm Retail'!E144-'Total Retail'!E150=0," ","x"),"X")</f>
        <v xml:space="preserve"> </v>
      </c>
      <c r="F142" s="13" t="str">
        <f>IF('Firm Retail'!F89-'Total Retail'!F93=0,IF('Firm Retail'!F144-'Total Retail'!F150=0," ","x"),"X")</f>
        <v xml:space="preserve"> </v>
      </c>
      <c r="G142" s="13" t="str">
        <f>IF('Firm Retail'!G89-'Total Retail'!G93=0,IF('Firm Retail'!G144-'Total Retail'!G150=0," ","x"),"X")</f>
        <v xml:space="preserve"> </v>
      </c>
      <c r="H142" s="13" t="str">
        <f>IF('Firm Retail'!H89-'Total Retail'!H93=0,IF('Firm Retail'!H144-'Total Retail'!H150=0," ","x"),"X")</f>
        <v xml:space="preserve"> </v>
      </c>
      <c r="I142" s="13" t="str">
        <f>IF('Firm Retail'!I89-'Total Retail'!I93=0,IF('Firm Retail'!I144-'Total Retail'!I150=0," ","x"),"X")</f>
        <v xml:space="preserve"> </v>
      </c>
      <c r="J142" s="13" t="str">
        <f>IF('Firm Retail'!J89-'Total Retail'!J93=0,IF('Firm Retail'!J144-'Total Retail'!J150=0," ","x"),"X")</f>
        <v xml:space="preserve"> </v>
      </c>
      <c r="K142" s="13" t="str">
        <f>IF('Firm Retail'!K89-'Total Retail'!K93=0,IF('Firm Retail'!K144-'Total Retail'!K150=0," ","x"),"X")</f>
        <v>X</v>
      </c>
      <c r="L142" s="13" t="str">
        <f>IF('Firm Retail'!L89-'Total Retail'!L93=0,IF('Firm Retail'!L144-'Total Retail'!L150=0," ","x"),"X")</f>
        <v xml:space="preserve"> </v>
      </c>
      <c r="M142" s="13" t="str">
        <f>IF('Firm Retail'!M89-'Total Retail'!M93=0,IF('Firm Retail'!M144-'Total Retail'!M150=0," ","x"),"X")</f>
        <v xml:space="preserve"> </v>
      </c>
      <c r="N142" s="3"/>
      <c r="O142" s="3"/>
      <c r="P142" s="3"/>
      <c r="Q142" s="3"/>
      <c r="R142" s="3"/>
      <c r="S142" s="3"/>
      <c r="T142" s="3"/>
      <c r="U142" s="3"/>
      <c r="V142" s="3"/>
    </row>
    <row r="143" spans="1:22">
      <c r="A143" s="3">
        <f t="shared" si="11"/>
        <v>2001</v>
      </c>
      <c r="B143" s="12" t="str">
        <f>IF('Firm Retail'!B90-'Total Retail'!B94=0,IF('Firm Retail'!B145-'Total Retail'!B151=0," ","x"),"X")</f>
        <v xml:space="preserve"> </v>
      </c>
      <c r="C143" s="13" t="str">
        <f>IF('Firm Retail'!C90-'Total Retail'!C94=0,IF('Firm Retail'!C145-'Total Retail'!C151=0," ","x"),"X")</f>
        <v xml:space="preserve"> </v>
      </c>
      <c r="D143" s="13" t="str">
        <f>IF('Firm Retail'!D90-'Total Retail'!D94=0,IF('Firm Retail'!D145-'Total Retail'!D151=0," ","x"),"X")</f>
        <v xml:space="preserve"> </v>
      </c>
      <c r="E143" s="13" t="str">
        <f>IF('Firm Retail'!E90-'Total Retail'!E94=0,IF('Firm Retail'!E145-'Total Retail'!E151=0," ","x"),"X")</f>
        <v xml:space="preserve"> </v>
      </c>
      <c r="F143" s="13" t="str">
        <f>IF('Firm Retail'!F90-'Total Retail'!F94=0,IF('Firm Retail'!F145-'Total Retail'!F151=0," ","x"),"X")</f>
        <v xml:space="preserve"> </v>
      </c>
      <c r="G143" s="13" t="str">
        <f>IF('Firm Retail'!G90-'Total Retail'!G94=0,IF('Firm Retail'!G145-'Total Retail'!G151=0," ","x"),"X")</f>
        <v xml:space="preserve"> </v>
      </c>
      <c r="H143" s="13" t="str">
        <f>IF('Firm Retail'!H90-'Total Retail'!H94=0,IF('Firm Retail'!H145-'Total Retail'!H151=0," ","x"),"X")</f>
        <v xml:space="preserve"> </v>
      </c>
      <c r="I143" s="13" t="str">
        <f>IF('Firm Retail'!I90-'Total Retail'!I94=0,IF('Firm Retail'!I145-'Total Retail'!I151=0," ","x"),"X")</f>
        <v xml:space="preserve"> </v>
      </c>
      <c r="J143" s="13" t="str">
        <f>IF('Firm Retail'!J90-'Total Retail'!J94=0,IF('Firm Retail'!J145-'Total Retail'!J151=0," ","x"),"X")</f>
        <v xml:space="preserve"> </v>
      </c>
      <c r="K143" s="13" t="str">
        <f>IF('Firm Retail'!K90-'Total Retail'!K94=0,IF('Firm Retail'!K145-'Total Retail'!K151=0," ","x"),"X")</f>
        <v xml:space="preserve"> </v>
      </c>
      <c r="L143" s="13" t="str">
        <f>IF('Firm Retail'!L90-'Total Retail'!L94=0,IF('Firm Retail'!L145-'Total Retail'!L151=0," ","x"),"X")</f>
        <v>X</v>
      </c>
      <c r="M143" s="13" t="str">
        <f>IF('Firm Retail'!M90-'Total Retail'!M94=0,IF('Firm Retail'!M145-'Total Retail'!M151=0," ","x"),"X")</f>
        <v>X</v>
      </c>
    </row>
    <row r="144" spans="1:22">
      <c r="A144" s="3">
        <f t="shared" si="11"/>
        <v>2002</v>
      </c>
      <c r="B144" s="12" t="str">
        <f>IF('Firm Retail'!B91-'Total Retail'!B95=0,IF('Firm Retail'!B146-'Total Retail'!B152=0," ","x"),"X")</f>
        <v xml:space="preserve"> </v>
      </c>
      <c r="C144" s="13" t="str">
        <f>IF('Firm Retail'!C91-'Total Retail'!C95=0,IF('Firm Retail'!C146-'Total Retail'!C152=0," ","x"),"X")</f>
        <v xml:space="preserve"> </v>
      </c>
      <c r="D144" s="13" t="str">
        <f>IF('Firm Retail'!D91-'Total Retail'!D95=0,IF('Firm Retail'!D146-'Total Retail'!D152=0," ","x"),"X")</f>
        <v xml:space="preserve"> </v>
      </c>
      <c r="E144" s="13" t="str">
        <f>IF('Firm Retail'!E91-'Total Retail'!E95=0,IF('Firm Retail'!E146-'Total Retail'!E152=0," ","x"),"X")</f>
        <v xml:space="preserve"> </v>
      </c>
      <c r="F144" s="13" t="str">
        <f>IF('Firm Retail'!F91-'Total Retail'!F95=0,IF('Firm Retail'!F146-'Total Retail'!F152=0," ","x"),"X")</f>
        <v xml:space="preserve"> </v>
      </c>
      <c r="G144" s="13" t="str">
        <f>IF('Firm Retail'!G91-'Total Retail'!G95=0,IF('Firm Retail'!G146-'Total Retail'!G152=0," ","x"),"X")</f>
        <v xml:space="preserve"> </v>
      </c>
      <c r="H144" s="13" t="s">
        <v>240</v>
      </c>
      <c r="I144" s="13" t="str">
        <f>IF('Firm Retail'!I91-'Total Retail'!I95=0,IF('Firm Retail'!I146-'Total Retail'!I152=0," ","x"),"X")</f>
        <v xml:space="preserve"> </v>
      </c>
      <c r="J144" s="13" t="str">
        <f>IF('Firm Retail'!J91-'Total Retail'!J95=0,IF('Firm Retail'!J146-'Total Retail'!J152=0," ","x"),"X")</f>
        <v xml:space="preserve"> </v>
      </c>
      <c r="K144" s="13" t="str">
        <f>IF('Firm Retail'!K91-'Total Retail'!K95=0,IF('Firm Retail'!K146-'Total Retail'!K152=0," ","x"),"X")</f>
        <v>X</v>
      </c>
      <c r="L144" s="13" t="str">
        <f>IF('Firm Retail'!L91-'Total Retail'!L95=0,IF('Firm Retail'!L146-'Total Retail'!L152=0," ","x"),"X")</f>
        <v xml:space="preserve"> </v>
      </c>
      <c r="M144" s="13" t="str">
        <f>IF('Firm Retail'!M91-'Total Retail'!M95=0,IF('Firm Retail'!M146-'Total Retail'!M152=0," ","x"),"X")</f>
        <v xml:space="preserve"> </v>
      </c>
    </row>
    <row r="145" spans="1:13">
      <c r="A145" s="3">
        <f t="shared" si="11"/>
        <v>2003</v>
      </c>
      <c r="B145" s="12" t="str">
        <f>IF('Firm Retail'!B92-'Total Retail'!B96=0,IF('Firm Retail'!B147-'Total Retail'!B153=0," ","x"),"X")</f>
        <v xml:space="preserve"> </v>
      </c>
      <c r="C145" s="13" t="str">
        <f>IF('Firm Retail'!C92-'Total Retail'!C96=0,IF('Firm Retail'!C147-'Total Retail'!C153=0," ","x"),"X")</f>
        <v xml:space="preserve"> </v>
      </c>
      <c r="D145" s="13" t="str">
        <f>IF('Firm Retail'!D92-'Total Retail'!D96=0,IF('Firm Retail'!D147-'Total Retail'!D153=0," ","x"),"X")</f>
        <v xml:space="preserve"> </v>
      </c>
      <c r="E145" s="13" t="str">
        <f>IF('Firm Retail'!E92-'Total Retail'!E96=0,IF('Firm Retail'!E147-'Total Retail'!E153=0," ","x"),"X")</f>
        <v xml:space="preserve"> </v>
      </c>
      <c r="F145" s="13" t="str">
        <f>IF('Firm Retail'!F92-'Total Retail'!F96=0,IF('Firm Retail'!F147-'Total Retail'!F153=0," ","x"),"X")</f>
        <v xml:space="preserve"> </v>
      </c>
      <c r="G145" s="13" t="str">
        <f>IF('Firm Retail'!G92-'Total Retail'!G96=0,IF('Firm Retail'!G147-'Total Retail'!G153=0," ","x"),"X")</f>
        <v xml:space="preserve"> </v>
      </c>
      <c r="H145" s="13" t="str">
        <f>IF('Firm Retail'!H92-'Total Retail'!H96=0,IF('Firm Retail'!H147-'Total Retail'!H153=0," ","x"),"X")</f>
        <v xml:space="preserve"> </v>
      </c>
      <c r="I145" s="13" t="str">
        <f>IF('Firm Retail'!I92-'Total Retail'!I96=0,IF('Firm Retail'!I147-'Total Retail'!I153=0," ","x"),"X")</f>
        <v xml:space="preserve"> </v>
      </c>
      <c r="J145" s="13" t="str">
        <f>IF('Firm Retail'!J92-'Total Retail'!J96=0,IF('Firm Retail'!J147-'Total Retail'!J153=0," ","x"),"X")</f>
        <v xml:space="preserve"> </v>
      </c>
      <c r="K145" s="13" t="str">
        <f>IF('Firm Retail'!K92-'Total Retail'!K96=0,IF('Firm Retail'!K147-'Total Retail'!K153=0," ","x"),"X")</f>
        <v xml:space="preserve"> </v>
      </c>
      <c r="L145" s="13" t="str">
        <f>IF('Firm Retail'!L92-'Total Retail'!L96=0,IF('Firm Retail'!L147-'Total Retail'!L153=0," ","x"),"X")</f>
        <v xml:space="preserve"> </v>
      </c>
      <c r="M145" s="13" t="str">
        <f>IF('Firm Retail'!M92-'Total Retail'!M96=0,IF('Firm Retail'!M147-'Total Retail'!M153=0," ","x"),"X")</f>
        <v xml:space="preserve"> </v>
      </c>
    </row>
    <row r="146" spans="1:13">
      <c r="A146" s="3">
        <f t="shared" si="11"/>
        <v>2004</v>
      </c>
      <c r="B146" s="12" t="str">
        <f>IF('Firm Retail'!B93-'Total Retail'!B97=0,IF('Firm Retail'!B148-'Total Retail'!B154=0," ","x"),"X")</f>
        <v xml:space="preserve"> </v>
      </c>
      <c r="C146" s="13" t="str">
        <f>IF('Firm Retail'!C93-'Total Retail'!C97=0,IF('Firm Retail'!C148-'Total Retail'!C154=0," ","x"),"X")</f>
        <v xml:space="preserve"> </v>
      </c>
      <c r="D146" s="13" t="str">
        <f>IF('Firm Retail'!D93-'Total Retail'!D97=0,IF('Firm Retail'!D148-'Total Retail'!D154=0," ","x"),"X")</f>
        <v xml:space="preserve"> </v>
      </c>
      <c r="E146" s="13" t="str">
        <f>IF('Firm Retail'!E93-'Total Retail'!E97=0,IF('Firm Retail'!E148-'Total Retail'!E154=0," ","x"),"X")</f>
        <v xml:space="preserve"> </v>
      </c>
      <c r="F146" s="13" t="str">
        <f>IF('Firm Retail'!F93-'Total Retail'!F97=0,IF('Firm Retail'!F148-'Total Retail'!F154=0," ","x"),"X")</f>
        <v xml:space="preserve"> </v>
      </c>
      <c r="G146" s="13" t="str">
        <f>IF('Firm Retail'!G93-'Total Retail'!G97=0,IF('Firm Retail'!G148-'Total Retail'!G154=0," ","x"),"X")</f>
        <v xml:space="preserve"> </v>
      </c>
      <c r="H146" s="13" t="str">
        <f>IF('Firm Retail'!H93-'Total Retail'!H97=0,IF('Firm Retail'!H148-'Total Retail'!H154=0," ","x"),"X")</f>
        <v xml:space="preserve"> </v>
      </c>
      <c r="I146" s="13" t="str">
        <f>IF('Firm Retail'!I93-'Total Retail'!I97=0,IF('Firm Retail'!I148-'Total Retail'!I154=0," ","x"),"X")</f>
        <v>X</v>
      </c>
      <c r="J146" s="13" t="s">
        <v>240</v>
      </c>
      <c r="K146" s="13" t="str">
        <f>IF('Firm Retail'!K93-'Total Retail'!K97=0,IF('Firm Retail'!K148-'Total Retail'!K154=0," ","x"),"X")</f>
        <v xml:space="preserve"> </v>
      </c>
      <c r="L146" s="13" t="str">
        <f>IF('Firm Retail'!L93-'Total Retail'!L97=0,IF('Firm Retail'!L148-'Total Retail'!L154=0," ","x"),"X")</f>
        <v xml:space="preserve"> </v>
      </c>
      <c r="M146" s="13" t="str">
        <f>IF('Firm Retail'!M93-'Total Retail'!M97=0,IF('Firm Retail'!M148-'Total Retail'!M154=0," ","x"),"X")</f>
        <v xml:space="preserve"> </v>
      </c>
    </row>
    <row r="147" spans="1:13">
      <c r="A147" s="3">
        <f t="shared" si="11"/>
        <v>2005</v>
      </c>
      <c r="B147" s="12" t="str">
        <f>IF('Firm Retail'!B94-'Total Retail'!B98=0,IF('Firm Retail'!B149-'Total Retail'!B155=0," ","x"),"X")</f>
        <v xml:space="preserve"> </v>
      </c>
      <c r="C147" s="13" t="str">
        <f>IF('Firm Retail'!C94-'Total Retail'!C98=0,IF('Firm Retail'!C149-'Total Retail'!C155=0," ","x"),"X")</f>
        <v>X</v>
      </c>
      <c r="D147" s="13" t="str">
        <f>IF('Firm Retail'!D94-'Total Retail'!D98=0,IF('Firm Retail'!D149-'Total Retail'!D155=0," ","x"),"X")</f>
        <v>X</v>
      </c>
      <c r="E147" s="13" t="str">
        <f>IF('Firm Retail'!E94-'Total Retail'!E98=0,IF('Firm Retail'!E149-'Total Retail'!E155=0," ","x"),"X")</f>
        <v xml:space="preserve"> </v>
      </c>
      <c r="F147" s="13"/>
      <c r="G147" s="13"/>
      <c r="H147" s="13"/>
      <c r="I147" s="13"/>
      <c r="J147" s="13"/>
      <c r="K147" s="13"/>
      <c r="L147" s="13"/>
      <c r="M147" s="13"/>
    </row>
    <row r="148" spans="1:13">
      <c r="A148" s="3">
        <f t="shared" si="11"/>
        <v>2006</v>
      </c>
      <c r="B148" s="12" t="str">
        <f>IF('Firm Retail'!B95-'Total Retail'!B99=0,IF('Firm Retail'!B150-'Total Retail'!B156=0," ","x"),"X")</f>
        <v xml:space="preserve"> </v>
      </c>
      <c r="C148" s="13" t="str">
        <f>IF('Firm Retail'!C95-'Total Retail'!C99=0,IF('Firm Retail'!C150-'Total Retail'!C156=0," ","x"),"X")</f>
        <v xml:space="preserve"> </v>
      </c>
      <c r="D148" s="13" t="str">
        <f>IF('Firm Retail'!D95-'Total Retail'!D99=0,IF('Firm Retail'!D150-'Total Retail'!D156=0," ","x"),"X")</f>
        <v xml:space="preserve"> </v>
      </c>
      <c r="E148" s="13" t="str">
        <f>IF('Firm Retail'!E95-'Total Retail'!E99=0,IF('Firm Retail'!E150-'Total Retail'!E156=0," ","x"),"X")</f>
        <v xml:space="preserve"> </v>
      </c>
      <c r="F148" s="13"/>
      <c r="G148" s="13"/>
      <c r="H148" s="13"/>
      <c r="I148" s="13"/>
      <c r="J148" s="13"/>
      <c r="K148" s="13"/>
      <c r="L148" s="13"/>
      <c r="M148" s="13"/>
    </row>
    <row r="149" spans="1:13">
      <c r="A149" s="3">
        <f t="shared" si="11"/>
        <v>2007</v>
      </c>
      <c r="B149" s="12" t="str">
        <f>IF('Firm Retail'!B96-'Total Retail'!B100=0,IF('Firm Retail'!B151-'Total Retail'!B157=0," ","x"),"X")</f>
        <v xml:space="preserve"> </v>
      </c>
      <c r="C149" s="13" t="str">
        <f>IF('Firm Retail'!C96-'Total Retail'!C100=0,IF('Firm Retail'!C151-'Total Retail'!C157=0," ","x"),"X")</f>
        <v xml:space="preserve"> </v>
      </c>
      <c r="D149" s="13" t="str">
        <f>IF('Firm Retail'!D96-'Total Retail'!D100=0,IF('Firm Retail'!D151-'Total Retail'!D157=0," ","x"),"X")</f>
        <v xml:space="preserve"> </v>
      </c>
      <c r="E149" s="13" t="str">
        <f>IF('Firm Retail'!E96-'Total Retail'!E100=0,IF('Firm Retail'!E151-'Total Retail'!E157=0," ","x"),"X")</f>
        <v>X</v>
      </c>
      <c r="F149" s="13"/>
      <c r="G149" s="13"/>
      <c r="H149" s="13"/>
      <c r="I149" s="13"/>
      <c r="J149" s="13"/>
      <c r="K149" s="13"/>
      <c r="L149" s="13"/>
      <c r="M149" s="13"/>
    </row>
    <row r="150" spans="1:13">
      <c r="A150" s="3">
        <f t="shared" si="11"/>
        <v>2008</v>
      </c>
      <c r="B150" s="12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>
      <c r="A151" s="3">
        <f t="shared" si="11"/>
        <v>2009</v>
      </c>
      <c r="B151" s="12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>
      <c r="A152" s="3">
        <f t="shared" si="11"/>
        <v>2010</v>
      </c>
      <c r="B152" s="12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>
      <c r="A153" s="3">
        <f t="shared" si="11"/>
        <v>2011</v>
      </c>
      <c r="B153" s="12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>
      <c r="A154" s="3">
        <f t="shared" si="11"/>
        <v>2012</v>
      </c>
      <c r="B154" s="12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>
      <c r="A155" s="3">
        <f t="shared" si="11"/>
        <v>2013</v>
      </c>
      <c r="B155" s="12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>
      <c r="A156" s="3">
        <f t="shared" si="11"/>
        <v>2014</v>
      </c>
      <c r="B156" s="12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>
      <c r="A157" s="3">
        <f t="shared" si="11"/>
        <v>2015</v>
      </c>
      <c r="B157" s="12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>
      <c r="A158" s="3"/>
      <c r="B158" s="12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>
      <c r="B159" s="29" t="s">
        <v>139</v>
      </c>
    </row>
    <row r="160" spans="1:13">
      <c r="B160" s="29" t="s">
        <v>140</v>
      </c>
    </row>
    <row r="161" spans="1:22">
      <c r="B161" s="29" t="s">
        <v>141</v>
      </c>
    </row>
    <row r="163" spans="1:22">
      <c r="A163" s="10"/>
      <c r="B163" s="10" t="s">
        <v>4</v>
      </c>
      <c r="C163" s="10" t="s">
        <v>8</v>
      </c>
      <c r="D163" s="10" t="s">
        <v>9</v>
      </c>
      <c r="E163" s="10" t="s">
        <v>10</v>
      </c>
      <c r="F163" s="10" t="s">
        <v>11</v>
      </c>
      <c r="G163" s="10" t="s">
        <v>12</v>
      </c>
      <c r="H163" s="10" t="s">
        <v>13</v>
      </c>
      <c r="I163" s="10" t="s">
        <v>15</v>
      </c>
      <c r="J163" s="10" t="s">
        <v>16</v>
      </c>
      <c r="K163" s="10" t="s">
        <v>17</v>
      </c>
      <c r="L163" s="10" t="s">
        <v>18</v>
      </c>
      <c r="M163" s="10" t="s">
        <v>19</v>
      </c>
      <c r="N163" s="3"/>
      <c r="O163" s="3"/>
      <c r="P163" s="3"/>
      <c r="Q163" s="3"/>
      <c r="R163" s="3"/>
      <c r="S163" s="3"/>
      <c r="T163" s="3"/>
      <c r="U163" s="3"/>
      <c r="V163" s="3"/>
    </row>
    <row r="164" spans="1:22">
      <c r="A164" s="3">
        <f t="shared" ref="A164:A200" si="12">A6</f>
        <v>1973</v>
      </c>
      <c r="B164" s="7" t="str">
        <f t="shared" ref="B164:M164" si="13">IF(B115&gt;"A",IF(B68=0,"?","OK"),IF(B68=0," ","Check "))</f>
        <v xml:space="preserve"> </v>
      </c>
      <c r="C164" s="8" t="str">
        <f t="shared" si="13"/>
        <v xml:space="preserve"> </v>
      </c>
      <c r="D164" s="8" t="str">
        <f t="shared" si="13"/>
        <v xml:space="preserve"> </v>
      </c>
      <c r="E164" s="8" t="str">
        <f t="shared" si="13"/>
        <v xml:space="preserve"> </v>
      </c>
      <c r="F164" s="8" t="str">
        <f t="shared" si="13"/>
        <v xml:space="preserve"> </v>
      </c>
      <c r="G164" s="8" t="str">
        <f t="shared" si="13"/>
        <v xml:space="preserve"> </v>
      </c>
      <c r="H164" s="8" t="str">
        <f t="shared" si="13"/>
        <v xml:space="preserve"> </v>
      </c>
      <c r="I164" s="8" t="str">
        <f t="shared" si="13"/>
        <v xml:space="preserve"> </v>
      </c>
      <c r="J164" s="8" t="str">
        <f t="shared" si="13"/>
        <v xml:space="preserve"> </v>
      </c>
      <c r="K164" s="8" t="str">
        <f t="shared" si="13"/>
        <v xml:space="preserve"> </v>
      </c>
      <c r="L164" s="8" t="str">
        <f t="shared" si="13"/>
        <v xml:space="preserve"> </v>
      </c>
      <c r="M164" s="8" t="str">
        <f t="shared" si="13"/>
        <v xml:space="preserve"> </v>
      </c>
      <c r="N164" s="3"/>
      <c r="O164" s="3"/>
      <c r="P164" s="3"/>
      <c r="Q164" s="3"/>
      <c r="R164" s="3"/>
      <c r="S164" s="3"/>
      <c r="T164" s="3"/>
      <c r="U164" s="3"/>
      <c r="V164" s="3"/>
    </row>
    <row r="165" spans="1:22">
      <c r="A165" s="3">
        <f t="shared" si="12"/>
        <v>1974</v>
      </c>
      <c r="B165" s="12" t="str">
        <f t="shared" ref="B165:M165" si="14">IF(B116&gt;"A",IF(B69=0,"?","OK"),IF(B69=0," ","Check "))</f>
        <v xml:space="preserve"> </v>
      </c>
      <c r="C165" s="13" t="str">
        <f t="shared" si="14"/>
        <v xml:space="preserve"> </v>
      </c>
      <c r="D165" s="13" t="str">
        <f t="shared" si="14"/>
        <v xml:space="preserve"> </v>
      </c>
      <c r="E165" s="13" t="str">
        <f t="shared" si="14"/>
        <v xml:space="preserve"> </v>
      </c>
      <c r="F165" s="13" t="str">
        <f t="shared" si="14"/>
        <v xml:space="preserve"> </v>
      </c>
      <c r="G165" s="13" t="str">
        <f t="shared" si="14"/>
        <v xml:space="preserve"> </v>
      </c>
      <c r="H165" s="13" t="str">
        <f t="shared" si="14"/>
        <v xml:space="preserve"> </v>
      </c>
      <c r="I165" s="13" t="str">
        <f t="shared" si="14"/>
        <v xml:space="preserve"> </v>
      </c>
      <c r="J165" s="13" t="str">
        <f t="shared" si="14"/>
        <v xml:space="preserve"> </v>
      </c>
      <c r="K165" s="13" t="str">
        <f t="shared" si="14"/>
        <v xml:space="preserve"> </v>
      </c>
      <c r="L165" s="13" t="str">
        <f t="shared" si="14"/>
        <v xml:space="preserve"> </v>
      </c>
      <c r="M165" s="13" t="str">
        <f t="shared" si="14"/>
        <v xml:space="preserve"> </v>
      </c>
      <c r="N165" s="3"/>
      <c r="O165" s="3"/>
      <c r="P165" s="3"/>
      <c r="Q165" s="3"/>
      <c r="R165" s="3"/>
      <c r="S165" s="3"/>
      <c r="T165" s="3"/>
      <c r="U165" s="3"/>
      <c r="V165" s="3"/>
    </row>
    <row r="166" spans="1:22">
      <c r="A166" s="3">
        <f t="shared" si="12"/>
        <v>1975</v>
      </c>
      <c r="B166" s="12" t="str">
        <f t="shared" ref="B166:M166" si="15">IF(B117&gt;"A",IF(B70=0,"?","OK"),IF(B70=0," ","Check "))</f>
        <v xml:space="preserve"> </v>
      </c>
      <c r="C166" s="13" t="str">
        <f t="shared" si="15"/>
        <v xml:space="preserve"> </v>
      </c>
      <c r="D166" s="13" t="str">
        <f t="shared" si="15"/>
        <v xml:space="preserve"> </v>
      </c>
      <c r="E166" s="13" t="str">
        <f t="shared" si="15"/>
        <v xml:space="preserve"> </v>
      </c>
      <c r="F166" s="13" t="str">
        <f t="shared" si="15"/>
        <v xml:space="preserve"> </v>
      </c>
      <c r="G166" s="13" t="str">
        <f t="shared" si="15"/>
        <v xml:space="preserve"> </v>
      </c>
      <c r="H166" s="13" t="str">
        <f t="shared" si="15"/>
        <v xml:space="preserve"> </v>
      </c>
      <c r="I166" s="13" t="str">
        <f t="shared" si="15"/>
        <v xml:space="preserve"> </v>
      </c>
      <c r="J166" s="13" t="str">
        <f t="shared" si="15"/>
        <v xml:space="preserve"> </v>
      </c>
      <c r="K166" s="100" t="str">
        <f t="shared" si="15"/>
        <v xml:space="preserve"> </v>
      </c>
      <c r="L166" s="13" t="str">
        <f t="shared" si="15"/>
        <v xml:space="preserve"> </v>
      </c>
      <c r="M166" s="13" t="str">
        <f t="shared" si="15"/>
        <v xml:space="preserve"> </v>
      </c>
      <c r="N166" s="3"/>
      <c r="O166" s="3"/>
      <c r="P166" s="3"/>
      <c r="Q166" s="3"/>
      <c r="R166" s="3"/>
      <c r="S166" s="3"/>
      <c r="T166" s="3"/>
      <c r="U166" s="3"/>
      <c r="V166" s="3"/>
    </row>
    <row r="167" spans="1:22">
      <c r="A167" s="3">
        <f t="shared" si="12"/>
        <v>1976</v>
      </c>
      <c r="B167" s="12" t="str">
        <f t="shared" ref="B167:M167" si="16">IF(B118&gt;"A",IF(B71=0,"?","OK"),IF(B71=0," ","Check "))</f>
        <v xml:space="preserve"> </v>
      </c>
      <c r="C167" s="13" t="str">
        <f t="shared" si="16"/>
        <v xml:space="preserve"> </v>
      </c>
      <c r="D167" s="13" t="str">
        <f t="shared" si="16"/>
        <v xml:space="preserve"> </v>
      </c>
      <c r="E167" s="13" t="str">
        <f t="shared" si="16"/>
        <v xml:space="preserve"> </v>
      </c>
      <c r="F167" s="13" t="str">
        <f t="shared" si="16"/>
        <v xml:space="preserve"> </v>
      </c>
      <c r="G167" s="13" t="str">
        <f t="shared" si="16"/>
        <v xml:space="preserve"> </v>
      </c>
      <c r="H167" s="13" t="str">
        <f t="shared" si="16"/>
        <v xml:space="preserve"> </v>
      </c>
      <c r="I167" s="13" t="str">
        <f t="shared" si="16"/>
        <v xml:space="preserve"> </v>
      </c>
      <c r="J167" s="13" t="str">
        <f t="shared" si="16"/>
        <v xml:space="preserve"> </v>
      </c>
      <c r="K167" s="13" t="str">
        <f t="shared" si="16"/>
        <v xml:space="preserve"> </v>
      </c>
      <c r="L167" s="13" t="str">
        <f t="shared" si="16"/>
        <v xml:space="preserve"> </v>
      </c>
      <c r="M167" s="13" t="str">
        <f t="shared" si="16"/>
        <v xml:space="preserve"> </v>
      </c>
      <c r="N167" s="3"/>
      <c r="O167" s="3"/>
      <c r="P167" s="3"/>
      <c r="Q167" s="3"/>
      <c r="R167" s="3"/>
      <c r="S167" s="3"/>
      <c r="T167" s="3"/>
      <c r="U167" s="3"/>
      <c r="V167" s="3"/>
    </row>
    <row r="168" spans="1:22">
      <c r="A168" s="3">
        <f t="shared" si="12"/>
        <v>1977</v>
      </c>
      <c r="B168" s="12" t="str">
        <f t="shared" ref="B168:M168" si="17">IF(B119&gt;"A",IF(B72=0,"?","OK"),IF(B72=0," ","Check "))</f>
        <v xml:space="preserve"> </v>
      </c>
      <c r="C168" s="13" t="str">
        <f t="shared" si="17"/>
        <v xml:space="preserve"> </v>
      </c>
      <c r="D168" s="13" t="str">
        <f t="shared" si="17"/>
        <v xml:space="preserve"> </v>
      </c>
      <c r="E168" s="13" t="str">
        <f t="shared" si="17"/>
        <v xml:space="preserve"> </v>
      </c>
      <c r="F168" s="13" t="str">
        <f t="shared" si="17"/>
        <v xml:space="preserve"> </v>
      </c>
      <c r="G168" s="13" t="str">
        <f t="shared" si="17"/>
        <v xml:space="preserve"> </v>
      </c>
      <c r="H168" s="13" t="str">
        <f t="shared" si="17"/>
        <v xml:space="preserve"> </v>
      </c>
      <c r="I168" s="13" t="str">
        <f t="shared" si="17"/>
        <v xml:space="preserve"> </v>
      </c>
      <c r="J168" s="13" t="str">
        <f t="shared" si="17"/>
        <v xml:space="preserve"> </v>
      </c>
      <c r="K168" s="100" t="str">
        <f t="shared" si="17"/>
        <v xml:space="preserve"> </v>
      </c>
      <c r="L168" s="13" t="str">
        <f t="shared" si="17"/>
        <v xml:space="preserve"> </v>
      </c>
      <c r="M168" s="13" t="str">
        <f t="shared" si="17"/>
        <v xml:space="preserve"> </v>
      </c>
      <c r="N168" s="3"/>
      <c r="O168" s="3"/>
      <c r="P168" s="3"/>
      <c r="Q168" s="3"/>
      <c r="R168" s="3"/>
      <c r="S168" s="3"/>
      <c r="T168" s="3"/>
      <c r="U168" s="3"/>
      <c r="V168" s="3"/>
    </row>
    <row r="169" spans="1:22">
      <c r="A169" s="3">
        <f t="shared" si="12"/>
        <v>1978</v>
      </c>
      <c r="B169" s="12" t="str">
        <f t="shared" ref="B169:M169" si="18">IF(B120&gt;"A",IF(B73=0,"?","OK"),IF(B73=0," ","Check "))</f>
        <v xml:space="preserve"> </v>
      </c>
      <c r="C169" s="13" t="str">
        <f t="shared" si="18"/>
        <v xml:space="preserve"> </v>
      </c>
      <c r="D169" s="13" t="str">
        <f t="shared" si="18"/>
        <v xml:space="preserve"> </v>
      </c>
      <c r="E169" s="13" t="str">
        <f t="shared" si="18"/>
        <v xml:space="preserve"> </v>
      </c>
      <c r="F169" s="13" t="str">
        <f t="shared" si="18"/>
        <v xml:space="preserve"> </v>
      </c>
      <c r="G169" s="13" t="str">
        <f t="shared" si="18"/>
        <v xml:space="preserve"> </v>
      </c>
      <c r="H169" s="13" t="str">
        <f t="shared" si="18"/>
        <v xml:space="preserve"> </v>
      </c>
      <c r="I169" s="13" t="str">
        <f t="shared" si="18"/>
        <v xml:space="preserve"> </v>
      </c>
      <c r="J169" s="13" t="str">
        <f t="shared" si="18"/>
        <v xml:space="preserve"> </v>
      </c>
      <c r="K169" s="13" t="str">
        <f t="shared" si="18"/>
        <v xml:space="preserve"> </v>
      </c>
      <c r="L169" s="13" t="str">
        <f t="shared" si="18"/>
        <v xml:space="preserve"> </v>
      </c>
      <c r="M169" s="13" t="str">
        <f t="shared" si="18"/>
        <v xml:space="preserve"> </v>
      </c>
      <c r="N169" s="3"/>
      <c r="O169" s="3"/>
      <c r="P169" s="3"/>
      <c r="Q169" s="3"/>
      <c r="R169" s="3"/>
      <c r="S169" s="3"/>
      <c r="T169" s="3"/>
      <c r="U169" s="3"/>
      <c r="V169" s="3"/>
    </row>
    <row r="170" spans="1:22">
      <c r="A170" s="3">
        <f t="shared" si="12"/>
        <v>1979</v>
      </c>
      <c r="B170" s="12" t="str">
        <f t="shared" ref="B170:M170" si="19">IF(B121&gt;"A",IF(B74=0,"?","OK"),IF(B74=0," ","Check "))</f>
        <v xml:space="preserve"> </v>
      </c>
      <c r="C170" s="13" t="str">
        <f t="shared" si="19"/>
        <v xml:space="preserve"> </v>
      </c>
      <c r="D170" s="13" t="str">
        <f t="shared" si="19"/>
        <v xml:space="preserve"> </v>
      </c>
      <c r="E170" s="13" t="str">
        <f t="shared" si="19"/>
        <v xml:space="preserve"> </v>
      </c>
      <c r="F170" s="13" t="str">
        <f t="shared" si="19"/>
        <v xml:space="preserve"> </v>
      </c>
      <c r="G170" s="13" t="str">
        <f t="shared" si="19"/>
        <v xml:space="preserve"> </v>
      </c>
      <c r="H170" s="13" t="str">
        <f t="shared" si="19"/>
        <v xml:space="preserve"> </v>
      </c>
      <c r="I170" s="13" t="str">
        <f t="shared" si="19"/>
        <v xml:space="preserve"> </v>
      </c>
      <c r="J170" s="13" t="str">
        <f t="shared" si="19"/>
        <v xml:space="preserve"> </v>
      </c>
      <c r="K170" s="13" t="str">
        <f t="shared" si="19"/>
        <v xml:space="preserve"> </v>
      </c>
      <c r="L170" s="13" t="str">
        <f t="shared" si="19"/>
        <v xml:space="preserve"> </v>
      </c>
      <c r="M170" s="13" t="str">
        <f t="shared" si="19"/>
        <v xml:space="preserve"> </v>
      </c>
      <c r="N170" s="3"/>
      <c r="O170" s="3"/>
      <c r="P170" s="3"/>
      <c r="Q170" s="3"/>
      <c r="R170" s="3"/>
      <c r="S170" s="3"/>
      <c r="T170" s="3"/>
      <c r="U170" s="3"/>
      <c r="V170" s="3"/>
    </row>
    <row r="171" spans="1:22">
      <c r="A171" s="3">
        <f t="shared" si="12"/>
        <v>1980</v>
      </c>
      <c r="B171" s="12" t="str">
        <f t="shared" ref="B171:M171" si="20">IF(B122&gt;"A",IF(B75=0,"?","OK"),IF(B75=0," ","Check "))</f>
        <v xml:space="preserve"> </v>
      </c>
      <c r="C171" s="13" t="str">
        <f t="shared" si="20"/>
        <v xml:space="preserve"> </v>
      </c>
      <c r="D171" s="13" t="str">
        <f t="shared" si="20"/>
        <v>OK</v>
      </c>
      <c r="E171" s="13" t="str">
        <f t="shared" si="20"/>
        <v xml:space="preserve"> </v>
      </c>
      <c r="F171" s="13" t="str">
        <f t="shared" si="20"/>
        <v>?</v>
      </c>
      <c r="G171" s="13" t="str">
        <f t="shared" si="20"/>
        <v>?</v>
      </c>
      <c r="H171" s="13" t="str">
        <f t="shared" si="20"/>
        <v>OK</v>
      </c>
      <c r="I171" s="13" t="str">
        <f t="shared" si="20"/>
        <v xml:space="preserve"> </v>
      </c>
      <c r="J171" s="13" t="str">
        <f t="shared" si="20"/>
        <v>OK</v>
      </c>
      <c r="K171" s="13" t="str">
        <f t="shared" si="20"/>
        <v>OK</v>
      </c>
      <c r="L171" s="13" t="str">
        <f t="shared" si="20"/>
        <v>OK</v>
      </c>
      <c r="M171" s="13" t="str">
        <f t="shared" si="20"/>
        <v xml:space="preserve"> </v>
      </c>
      <c r="N171" s="3"/>
      <c r="O171" s="3"/>
      <c r="P171" s="3"/>
      <c r="Q171" s="3"/>
      <c r="R171" s="3"/>
      <c r="S171" s="3"/>
      <c r="T171" s="3"/>
      <c r="U171" s="3"/>
      <c r="V171" s="3"/>
    </row>
    <row r="172" spans="1:22">
      <c r="A172" s="3">
        <f t="shared" si="12"/>
        <v>1981</v>
      </c>
      <c r="B172" s="12" t="str">
        <f t="shared" ref="B172:M172" si="21">IF(B123&gt;"A",IF(B76=0,"?","OK"),IF(B76=0," ","Check "))</f>
        <v xml:space="preserve"> </v>
      </c>
      <c r="C172" s="13" t="str">
        <f t="shared" si="21"/>
        <v>OK</v>
      </c>
      <c r="D172" s="13" t="str">
        <f t="shared" si="21"/>
        <v>OK</v>
      </c>
      <c r="E172" s="13" t="str">
        <f t="shared" si="21"/>
        <v>OK</v>
      </c>
      <c r="F172" s="13" t="str">
        <f t="shared" si="21"/>
        <v xml:space="preserve"> </v>
      </c>
      <c r="G172" s="13" t="str">
        <f t="shared" si="21"/>
        <v>OK</v>
      </c>
      <c r="H172" s="13" t="str">
        <f t="shared" si="21"/>
        <v>OK</v>
      </c>
      <c r="I172" s="13" t="str">
        <f t="shared" si="21"/>
        <v>OK</v>
      </c>
      <c r="J172" s="13" t="str">
        <f t="shared" si="21"/>
        <v xml:space="preserve"> </v>
      </c>
      <c r="K172" s="13" t="str">
        <f t="shared" si="21"/>
        <v>OK</v>
      </c>
      <c r="L172" s="13" t="str">
        <f t="shared" si="21"/>
        <v xml:space="preserve"> </v>
      </c>
      <c r="M172" s="13" t="str">
        <f t="shared" si="21"/>
        <v xml:space="preserve"> </v>
      </c>
      <c r="N172" s="3"/>
      <c r="O172" s="3"/>
      <c r="P172" s="3"/>
      <c r="Q172" s="3"/>
      <c r="R172" s="3"/>
      <c r="S172" s="3"/>
      <c r="T172" s="3"/>
      <c r="U172" s="3"/>
      <c r="V172" s="3"/>
    </row>
    <row r="173" spans="1:22">
      <c r="A173" s="3">
        <f t="shared" si="12"/>
        <v>1982</v>
      </c>
      <c r="B173" s="12" t="str">
        <f t="shared" ref="B173:M173" si="22">IF(B124&gt;"A",IF(B77=0,"?","OK"),IF(B77=0," ","Check "))</f>
        <v xml:space="preserve"> </v>
      </c>
      <c r="C173" s="13" t="str">
        <f t="shared" si="22"/>
        <v>OK</v>
      </c>
      <c r="D173" s="13" t="str">
        <f t="shared" si="22"/>
        <v>OK</v>
      </c>
      <c r="E173" s="13" t="str">
        <f t="shared" si="22"/>
        <v>OK</v>
      </c>
      <c r="F173" s="13" t="str">
        <f t="shared" si="22"/>
        <v>OK</v>
      </c>
      <c r="G173" s="13" t="str">
        <f t="shared" si="22"/>
        <v>OK</v>
      </c>
      <c r="H173" s="13" t="str">
        <f t="shared" si="22"/>
        <v>OK</v>
      </c>
      <c r="I173" s="13" t="str">
        <f t="shared" si="22"/>
        <v xml:space="preserve"> </v>
      </c>
      <c r="J173" s="13" t="str">
        <f t="shared" si="22"/>
        <v xml:space="preserve"> </v>
      </c>
      <c r="K173" s="13" t="str">
        <f t="shared" si="22"/>
        <v xml:space="preserve"> </v>
      </c>
      <c r="L173" s="13" t="str">
        <f t="shared" si="22"/>
        <v xml:space="preserve"> </v>
      </c>
      <c r="M173" s="13" t="str">
        <f t="shared" si="22"/>
        <v xml:space="preserve"> </v>
      </c>
      <c r="N173" s="3"/>
      <c r="O173" s="3"/>
      <c r="P173" s="3"/>
      <c r="Q173" s="3"/>
      <c r="R173" s="3"/>
      <c r="S173" s="3"/>
      <c r="T173" s="3"/>
      <c r="U173" s="3"/>
      <c r="V173" s="3"/>
    </row>
    <row r="174" spans="1:22">
      <c r="A174" s="3">
        <f t="shared" si="12"/>
        <v>1983</v>
      </c>
      <c r="B174" s="12" t="str">
        <f t="shared" ref="B174:M174" si="23">IF(B125&gt;"A",IF(B78=0,"?","OK"),IF(B78=0," ","Check "))</f>
        <v>OK</v>
      </c>
      <c r="C174" s="13" t="str">
        <f t="shared" si="23"/>
        <v xml:space="preserve"> </v>
      </c>
      <c r="D174" s="13" t="str">
        <f t="shared" si="23"/>
        <v xml:space="preserve"> </v>
      </c>
      <c r="E174" s="13" t="str">
        <f t="shared" si="23"/>
        <v xml:space="preserve"> </v>
      </c>
      <c r="F174" s="13" t="str">
        <f t="shared" si="23"/>
        <v xml:space="preserve"> </v>
      </c>
      <c r="G174" s="13" t="str">
        <f t="shared" si="23"/>
        <v xml:space="preserve"> </v>
      </c>
      <c r="H174" s="13" t="str">
        <f t="shared" si="23"/>
        <v>OK</v>
      </c>
      <c r="I174" s="13" t="str">
        <f t="shared" si="23"/>
        <v>OK</v>
      </c>
      <c r="J174" s="13" t="str">
        <f t="shared" si="23"/>
        <v xml:space="preserve"> </v>
      </c>
      <c r="K174" s="13" t="str">
        <f t="shared" si="23"/>
        <v xml:space="preserve"> </v>
      </c>
      <c r="L174" s="13" t="str">
        <f t="shared" si="23"/>
        <v xml:space="preserve"> </v>
      </c>
      <c r="M174" s="13" t="str">
        <f t="shared" si="23"/>
        <v xml:space="preserve"> </v>
      </c>
      <c r="N174" s="3"/>
      <c r="O174" s="3"/>
      <c r="P174" s="3"/>
      <c r="Q174" s="3"/>
      <c r="R174" s="3"/>
      <c r="S174" s="3"/>
      <c r="T174" s="3"/>
      <c r="U174" s="3"/>
      <c r="V174" s="3"/>
    </row>
    <row r="175" spans="1:22">
      <c r="A175" s="3">
        <f t="shared" si="12"/>
        <v>1984</v>
      </c>
      <c r="B175" s="12" t="str">
        <f t="shared" ref="B175:M175" si="24">IF(B126&gt;"A",IF(B79=0,"?","OK"),IF(B79=0," ","Check "))</f>
        <v xml:space="preserve"> </v>
      </c>
      <c r="C175" s="13" t="str">
        <f t="shared" si="24"/>
        <v xml:space="preserve"> </v>
      </c>
      <c r="D175" s="13" t="str">
        <f t="shared" si="24"/>
        <v>OK</v>
      </c>
      <c r="E175" s="13" t="str">
        <f t="shared" si="24"/>
        <v>OK</v>
      </c>
      <c r="F175" s="13" t="str">
        <f t="shared" si="24"/>
        <v xml:space="preserve"> </v>
      </c>
      <c r="G175" s="13" t="str">
        <f t="shared" si="24"/>
        <v>OK</v>
      </c>
      <c r="H175" s="13" t="str">
        <f t="shared" si="24"/>
        <v xml:space="preserve"> </v>
      </c>
      <c r="I175" s="13" t="str">
        <f t="shared" si="24"/>
        <v>OK</v>
      </c>
      <c r="J175" s="13" t="str">
        <f t="shared" si="24"/>
        <v xml:space="preserve"> </v>
      </c>
      <c r="K175" s="13" t="str">
        <f t="shared" si="24"/>
        <v xml:space="preserve"> </v>
      </c>
      <c r="L175" s="13" t="str">
        <f t="shared" si="24"/>
        <v xml:space="preserve"> </v>
      </c>
      <c r="M175" s="13" t="str">
        <f t="shared" si="24"/>
        <v xml:space="preserve"> </v>
      </c>
      <c r="N175" s="3"/>
      <c r="O175" s="3"/>
      <c r="P175" s="3"/>
      <c r="Q175" s="3"/>
      <c r="R175" s="3"/>
      <c r="S175" s="3"/>
      <c r="T175" s="3"/>
      <c r="U175" s="3"/>
      <c r="V175" s="3"/>
    </row>
    <row r="176" spans="1:22">
      <c r="A176" s="3">
        <f t="shared" si="12"/>
        <v>1985</v>
      </c>
      <c r="B176" s="101" t="str">
        <f t="shared" ref="B176:M176" si="25">IF(B127&gt;"A",IF(B80=0,"?","OK"),IF(B80=0," ","Check "))</f>
        <v xml:space="preserve">Check </v>
      </c>
      <c r="C176" s="13" t="str">
        <f t="shared" si="25"/>
        <v xml:space="preserve"> </v>
      </c>
      <c r="D176" s="13" t="str">
        <f t="shared" si="25"/>
        <v xml:space="preserve"> </v>
      </c>
      <c r="E176" s="13" t="str">
        <f t="shared" si="25"/>
        <v>OK</v>
      </c>
      <c r="F176" s="13" t="str">
        <f t="shared" si="25"/>
        <v xml:space="preserve"> </v>
      </c>
      <c r="G176" s="13" t="str">
        <f t="shared" si="25"/>
        <v xml:space="preserve"> </v>
      </c>
      <c r="H176" s="13" t="str">
        <f t="shared" si="25"/>
        <v>?</v>
      </c>
      <c r="I176" s="13" t="str">
        <f t="shared" si="25"/>
        <v>OK</v>
      </c>
      <c r="J176" s="13" t="str">
        <f t="shared" si="25"/>
        <v>OK</v>
      </c>
      <c r="K176" s="13" t="str">
        <f t="shared" si="25"/>
        <v>OK</v>
      </c>
      <c r="L176" s="13" t="str">
        <f t="shared" si="25"/>
        <v xml:space="preserve"> </v>
      </c>
      <c r="M176" s="13" t="str">
        <f t="shared" si="25"/>
        <v xml:space="preserve"> </v>
      </c>
      <c r="N176" s="3"/>
      <c r="O176" s="3"/>
      <c r="P176" s="3"/>
      <c r="Q176" s="3"/>
      <c r="R176" s="3"/>
      <c r="S176" s="3"/>
      <c r="T176" s="3"/>
      <c r="U176" s="3"/>
      <c r="V176" s="3"/>
    </row>
    <row r="177" spans="1:22">
      <c r="A177" s="3">
        <f t="shared" si="12"/>
        <v>1986</v>
      </c>
      <c r="B177" s="12" t="str">
        <f t="shared" ref="B177:M177" si="26">IF(B128&gt;"A",IF(B81=0,"?","OK"),IF(B81=0," ","Check "))</f>
        <v xml:space="preserve"> </v>
      </c>
      <c r="C177" s="13" t="str">
        <f t="shared" si="26"/>
        <v xml:space="preserve"> </v>
      </c>
      <c r="D177" s="13" t="str">
        <f t="shared" si="26"/>
        <v xml:space="preserve"> </v>
      </c>
      <c r="E177" s="13" t="str">
        <f t="shared" si="26"/>
        <v xml:space="preserve"> </v>
      </c>
      <c r="F177" s="13" t="str">
        <f t="shared" si="26"/>
        <v xml:space="preserve"> </v>
      </c>
      <c r="G177" s="13" t="str">
        <f t="shared" si="26"/>
        <v>OK</v>
      </c>
      <c r="H177" s="13" t="str">
        <f t="shared" si="26"/>
        <v xml:space="preserve"> </v>
      </c>
      <c r="I177" s="13" t="str">
        <f t="shared" si="26"/>
        <v xml:space="preserve"> </v>
      </c>
      <c r="J177" s="13" t="str">
        <f t="shared" si="26"/>
        <v>OK</v>
      </c>
      <c r="K177" s="100" t="str">
        <f t="shared" si="26"/>
        <v xml:space="preserve">Check </v>
      </c>
      <c r="L177" s="100" t="str">
        <f t="shared" si="26"/>
        <v xml:space="preserve">Check </v>
      </c>
      <c r="M177" s="100" t="str">
        <f t="shared" si="26"/>
        <v xml:space="preserve">Check </v>
      </c>
      <c r="N177" s="3"/>
      <c r="O177" s="3"/>
      <c r="P177" s="3"/>
      <c r="Q177" s="3"/>
      <c r="R177" s="3"/>
      <c r="S177" s="3"/>
      <c r="T177" s="3"/>
      <c r="U177" s="3"/>
      <c r="V177" s="3"/>
    </row>
    <row r="178" spans="1:22">
      <c r="A178" s="3">
        <f t="shared" si="12"/>
        <v>1987</v>
      </c>
      <c r="B178" s="12" t="str">
        <f t="shared" ref="B178:M178" si="27">IF(B129&gt;"A",IF(B82=0,"?","OK"),IF(B82=0," ","Check "))</f>
        <v>OK</v>
      </c>
      <c r="C178" s="13" t="str">
        <f t="shared" si="27"/>
        <v xml:space="preserve"> </v>
      </c>
      <c r="D178" s="13" t="str">
        <f t="shared" si="27"/>
        <v xml:space="preserve"> </v>
      </c>
      <c r="E178" s="13" t="str">
        <f t="shared" si="27"/>
        <v>OK</v>
      </c>
      <c r="F178" s="13" t="str">
        <f t="shared" si="27"/>
        <v xml:space="preserve"> </v>
      </c>
      <c r="G178" s="13" t="str">
        <f t="shared" si="27"/>
        <v>OK</v>
      </c>
      <c r="H178" s="13" t="str">
        <f t="shared" si="27"/>
        <v xml:space="preserve"> </v>
      </c>
      <c r="I178" s="13" t="str">
        <f t="shared" si="27"/>
        <v>OK</v>
      </c>
      <c r="J178" s="13" t="str">
        <f t="shared" si="27"/>
        <v>OK</v>
      </c>
      <c r="K178" s="13" t="str">
        <f t="shared" si="27"/>
        <v xml:space="preserve"> </v>
      </c>
      <c r="L178" s="13" t="str">
        <f t="shared" si="27"/>
        <v>OK</v>
      </c>
      <c r="M178" s="13" t="str">
        <f t="shared" si="27"/>
        <v xml:space="preserve"> </v>
      </c>
      <c r="N178" s="3"/>
      <c r="O178" s="3"/>
      <c r="P178" s="3"/>
      <c r="Q178" s="3"/>
      <c r="R178" s="3"/>
      <c r="S178" s="3"/>
      <c r="T178" s="3"/>
      <c r="U178" s="3"/>
      <c r="V178" s="3"/>
    </row>
    <row r="179" spans="1:22">
      <c r="A179" s="3">
        <f t="shared" si="12"/>
        <v>1988</v>
      </c>
      <c r="B179" s="12" t="str">
        <f t="shared" ref="B179:M179" si="28">IF(B130&gt;"A",IF(B83=0,"?","OK"),IF(B83=0," ","Check "))</f>
        <v xml:space="preserve"> </v>
      </c>
      <c r="C179" s="13" t="str">
        <f t="shared" si="28"/>
        <v xml:space="preserve"> </v>
      </c>
      <c r="D179" s="13" t="str">
        <f t="shared" si="28"/>
        <v xml:space="preserve"> </v>
      </c>
      <c r="E179" s="13" t="str">
        <f t="shared" si="28"/>
        <v xml:space="preserve"> </v>
      </c>
      <c r="F179" s="13" t="str">
        <f t="shared" si="28"/>
        <v xml:space="preserve"> </v>
      </c>
      <c r="G179" s="13" t="str">
        <f t="shared" si="28"/>
        <v xml:space="preserve"> </v>
      </c>
      <c r="H179" s="13" t="str">
        <f t="shared" si="28"/>
        <v xml:space="preserve"> </v>
      </c>
      <c r="I179" s="13" t="str">
        <f t="shared" si="28"/>
        <v xml:space="preserve"> </v>
      </c>
      <c r="J179" s="13" t="str">
        <f t="shared" si="28"/>
        <v>OK</v>
      </c>
      <c r="K179" s="13" t="str">
        <f t="shared" si="28"/>
        <v>OK</v>
      </c>
      <c r="L179" s="13" t="str">
        <f t="shared" si="28"/>
        <v>OK</v>
      </c>
      <c r="M179" s="13" t="str">
        <f t="shared" si="28"/>
        <v xml:space="preserve"> </v>
      </c>
      <c r="N179" s="3"/>
      <c r="O179" s="3"/>
      <c r="P179" s="3"/>
      <c r="Q179" s="3"/>
      <c r="R179" s="3"/>
      <c r="S179" s="3"/>
      <c r="T179" s="3"/>
      <c r="U179" s="3"/>
      <c r="V179" s="3"/>
    </row>
    <row r="180" spans="1:22">
      <c r="A180" s="3">
        <f t="shared" si="12"/>
        <v>1989</v>
      </c>
      <c r="B180" s="12" t="str">
        <f t="shared" ref="B180:M180" si="29">IF(B131&gt;"A",IF(B84=0,"?","OK"),IF(B84=0," ","Check "))</f>
        <v xml:space="preserve"> </v>
      </c>
      <c r="C180" s="13" t="str">
        <f t="shared" si="29"/>
        <v xml:space="preserve"> </v>
      </c>
      <c r="D180" s="13" t="str">
        <f t="shared" si="29"/>
        <v xml:space="preserve"> </v>
      </c>
      <c r="E180" s="13" t="str">
        <f t="shared" si="29"/>
        <v xml:space="preserve"> </v>
      </c>
      <c r="F180" s="13" t="str">
        <f t="shared" si="29"/>
        <v>OK</v>
      </c>
      <c r="G180" s="13" t="str">
        <f t="shared" si="29"/>
        <v>OK</v>
      </c>
      <c r="H180" s="13" t="str">
        <f t="shared" si="29"/>
        <v xml:space="preserve"> </v>
      </c>
      <c r="I180" s="13" t="str">
        <f t="shared" si="29"/>
        <v>OK</v>
      </c>
      <c r="J180" s="13" t="str">
        <f t="shared" si="29"/>
        <v>OK</v>
      </c>
      <c r="K180" s="13" t="str">
        <f t="shared" si="29"/>
        <v xml:space="preserve"> </v>
      </c>
      <c r="L180" s="13" t="str">
        <f t="shared" si="29"/>
        <v xml:space="preserve"> </v>
      </c>
      <c r="M180" s="13" t="str">
        <f t="shared" si="29"/>
        <v>OK</v>
      </c>
      <c r="N180" s="3"/>
      <c r="O180" s="3"/>
      <c r="P180" s="3"/>
      <c r="Q180" s="3"/>
      <c r="R180" s="3"/>
      <c r="S180" s="3"/>
      <c r="T180" s="3"/>
      <c r="U180" s="3"/>
      <c r="V180" s="3"/>
    </row>
    <row r="181" spans="1:22">
      <c r="A181" s="3">
        <f t="shared" si="12"/>
        <v>1990</v>
      </c>
      <c r="B181" s="12" t="str">
        <f t="shared" ref="B181:M181" si="30">IF(B132&gt;"A",IF(B85=0,"?","OK"),IF(B85=0," ","Check "))</f>
        <v xml:space="preserve"> </v>
      </c>
      <c r="C181" s="13" t="str">
        <f t="shared" si="30"/>
        <v xml:space="preserve"> </v>
      </c>
      <c r="D181" s="13" t="str">
        <f t="shared" si="30"/>
        <v>OK</v>
      </c>
      <c r="E181" s="13" t="str">
        <f t="shared" si="30"/>
        <v xml:space="preserve"> </v>
      </c>
      <c r="F181" s="13" t="str">
        <f t="shared" si="30"/>
        <v xml:space="preserve"> </v>
      </c>
      <c r="G181" s="13" t="str">
        <f t="shared" si="30"/>
        <v>OK</v>
      </c>
      <c r="H181" s="13" t="str">
        <f t="shared" si="30"/>
        <v>OK</v>
      </c>
      <c r="I181" s="13" t="str">
        <f t="shared" si="30"/>
        <v xml:space="preserve"> </v>
      </c>
      <c r="J181" s="13" t="str">
        <f t="shared" si="30"/>
        <v>OK</v>
      </c>
      <c r="K181" s="13" t="str">
        <f t="shared" si="30"/>
        <v xml:space="preserve"> </v>
      </c>
      <c r="L181" s="13" t="str">
        <f t="shared" si="30"/>
        <v xml:space="preserve"> </v>
      </c>
      <c r="M181" s="13" t="str">
        <f t="shared" si="30"/>
        <v xml:space="preserve"> </v>
      </c>
      <c r="N181" s="3"/>
      <c r="O181" s="3"/>
      <c r="P181" s="3"/>
      <c r="Q181" s="3"/>
      <c r="R181" s="3"/>
      <c r="S181" s="3"/>
      <c r="T181" s="3"/>
      <c r="U181" s="3"/>
      <c r="V181" s="3"/>
    </row>
    <row r="182" spans="1:22">
      <c r="A182" s="3">
        <f t="shared" si="12"/>
        <v>1991</v>
      </c>
      <c r="B182" s="12" t="str">
        <f t="shared" ref="B182:M182" si="31">IF(B133&gt;"A",IF(B86=0,"?","OK"),IF(B86=0," ","Check "))</f>
        <v xml:space="preserve"> </v>
      </c>
      <c r="C182" s="13" t="str">
        <f t="shared" si="31"/>
        <v xml:space="preserve"> </v>
      </c>
      <c r="D182" s="100" t="str">
        <f t="shared" si="31"/>
        <v xml:space="preserve"> </v>
      </c>
      <c r="E182" s="13" t="str">
        <f t="shared" si="31"/>
        <v xml:space="preserve"> </v>
      </c>
      <c r="F182" s="13" t="str">
        <f t="shared" si="31"/>
        <v xml:space="preserve"> </v>
      </c>
      <c r="G182" s="13" t="str">
        <f t="shared" si="31"/>
        <v>OK</v>
      </c>
      <c r="H182" s="13" t="str">
        <f t="shared" si="31"/>
        <v xml:space="preserve"> </v>
      </c>
      <c r="I182" s="13" t="str">
        <f t="shared" si="31"/>
        <v xml:space="preserve"> </v>
      </c>
      <c r="J182" s="13" t="str">
        <f t="shared" si="31"/>
        <v xml:space="preserve"> </v>
      </c>
      <c r="K182" s="13" t="str">
        <f t="shared" si="31"/>
        <v>OK</v>
      </c>
      <c r="L182" s="13" t="str">
        <f t="shared" si="31"/>
        <v xml:space="preserve"> </v>
      </c>
      <c r="M182" s="13" t="str">
        <f t="shared" si="31"/>
        <v xml:space="preserve"> </v>
      </c>
      <c r="N182" s="3"/>
      <c r="O182" s="3"/>
      <c r="P182" s="3"/>
      <c r="Q182" s="3"/>
      <c r="R182" s="3"/>
      <c r="S182" s="3"/>
      <c r="T182" s="3"/>
      <c r="U182" s="3"/>
      <c r="V182" s="3"/>
    </row>
    <row r="183" spans="1:22">
      <c r="A183" s="3">
        <f t="shared" si="12"/>
        <v>1992</v>
      </c>
      <c r="B183" s="12" t="str">
        <f t="shared" ref="B183:M183" si="32">IF(B134&gt;"A",IF(B87=0,"?","OK"),IF(B87=0," ","Check "))</f>
        <v xml:space="preserve"> </v>
      </c>
      <c r="C183" s="13" t="str">
        <f t="shared" si="32"/>
        <v xml:space="preserve"> </v>
      </c>
      <c r="D183" s="13" t="str">
        <f t="shared" si="32"/>
        <v xml:space="preserve"> </v>
      </c>
      <c r="E183" s="13" t="str">
        <f t="shared" si="32"/>
        <v>OK</v>
      </c>
      <c r="F183" s="13" t="str">
        <f t="shared" si="32"/>
        <v>OK</v>
      </c>
      <c r="G183" s="13" t="str">
        <f t="shared" si="32"/>
        <v>OK</v>
      </c>
      <c r="H183" s="13" t="str">
        <f t="shared" si="32"/>
        <v>OK</v>
      </c>
      <c r="I183" s="13" t="str">
        <f t="shared" si="32"/>
        <v xml:space="preserve"> </v>
      </c>
      <c r="J183" s="13" t="str">
        <f t="shared" si="32"/>
        <v xml:space="preserve"> </v>
      </c>
      <c r="K183" s="13" t="str">
        <f t="shared" si="32"/>
        <v xml:space="preserve"> </v>
      </c>
      <c r="L183" s="13" t="str">
        <f t="shared" si="32"/>
        <v xml:space="preserve"> </v>
      </c>
      <c r="M183" s="13" t="str">
        <f t="shared" si="32"/>
        <v xml:space="preserve"> </v>
      </c>
      <c r="N183" s="3"/>
      <c r="O183" s="3"/>
      <c r="P183" s="3"/>
      <c r="Q183" s="3"/>
      <c r="R183" s="3"/>
      <c r="S183" s="3"/>
      <c r="T183" s="3"/>
      <c r="U183" s="3"/>
      <c r="V183" s="3"/>
    </row>
    <row r="184" spans="1:22">
      <c r="A184" s="3">
        <f t="shared" si="12"/>
        <v>1993</v>
      </c>
      <c r="B184" s="12" t="str">
        <f t="shared" ref="B184:M184" si="33">IF(B135&gt;"A",IF(B88=0,"?","OK"),IF(B88=0," ","Check "))</f>
        <v xml:space="preserve"> </v>
      </c>
      <c r="C184" s="13" t="str">
        <f t="shared" si="33"/>
        <v xml:space="preserve"> </v>
      </c>
      <c r="D184" s="13" t="str">
        <f t="shared" si="33"/>
        <v xml:space="preserve"> </v>
      </c>
      <c r="E184" s="13" t="str">
        <f t="shared" si="33"/>
        <v xml:space="preserve"> </v>
      </c>
      <c r="F184" s="13" t="str">
        <f t="shared" si="33"/>
        <v xml:space="preserve"> </v>
      </c>
      <c r="G184" s="13" t="str">
        <f t="shared" si="33"/>
        <v xml:space="preserve"> </v>
      </c>
      <c r="H184" s="13" t="str">
        <f t="shared" si="33"/>
        <v xml:space="preserve"> </v>
      </c>
      <c r="I184" s="13" t="str">
        <f t="shared" si="33"/>
        <v>OK</v>
      </c>
      <c r="J184" s="13" t="str">
        <f t="shared" si="33"/>
        <v xml:space="preserve"> </v>
      </c>
      <c r="K184" s="13" t="str">
        <f t="shared" si="33"/>
        <v xml:space="preserve"> </v>
      </c>
      <c r="L184" s="13" t="str">
        <f t="shared" si="33"/>
        <v xml:space="preserve"> </v>
      </c>
      <c r="M184" s="13" t="str">
        <f t="shared" si="33"/>
        <v xml:space="preserve"> </v>
      </c>
      <c r="N184" s="3"/>
      <c r="O184" s="3"/>
      <c r="P184" s="3"/>
      <c r="Q184" s="3"/>
      <c r="R184" s="3"/>
      <c r="S184" s="3"/>
      <c r="T184" s="3"/>
      <c r="U184" s="3"/>
      <c r="V184" s="3"/>
    </row>
    <row r="185" spans="1:22">
      <c r="A185" s="3">
        <f t="shared" si="12"/>
        <v>1994</v>
      </c>
      <c r="B185" s="12" t="str">
        <f t="shared" ref="B185:M185" si="34">IF(B136&gt;"A",IF(B89=0,"?","OK"),IF(B89=0," ","Check "))</f>
        <v xml:space="preserve"> </v>
      </c>
      <c r="C185" s="13" t="str">
        <f t="shared" si="34"/>
        <v xml:space="preserve"> </v>
      </c>
      <c r="D185" s="13" t="str">
        <f t="shared" si="34"/>
        <v xml:space="preserve"> </v>
      </c>
      <c r="E185" s="13" t="str">
        <f t="shared" si="34"/>
        <v>OK</v>
      </c>
      <c r="F185" s="13" t="str">
        <f t="shared" si="34"/>
        <v>OK</v>
      </c>
      <c r="G185" s="13" t="str">
        <f t="shared" si="34"/>
        <v>OK</v>
      </c>
      <c r="H185" s="13" t="str">
        <f t="shared" si="34"/>
        <v xml:space="preserve"> </v>
      </c>
      <c r="I185" s="13" t="str">
        <f t="shared" si="34"/>
        <v xml:space="preserve"> </v>
      </c>
      <c r="J185" s="13" t="str">
        <f t="shared" si="34"/>
        <v xml:space="preserve"> </v>
      </c>
      <c r="K185" s="13" t="str">
        <f t="shared" si="34"/>
        <v xml:space="preserve"> </v>
      </c>
      <c r="L185" s="13" t="str">
        <f t="shared" si="34"/>
        <v>OK</v>
      </c>
      <c r="M185" s="13" t="str">
        <f t="shared" si="34"/>
        <v xml:space="preserve"> </v>
      </c>
      <c r="N185" s="3"/>
      <c r="O185" s="3"/>
      <c r="P185" s="3"/>
      <c r="Q185" s="3"/>
      <c r="R185" s="3"/>
      <c r="S185" s="3"/>
      <c r="T185" s="3"/>
      <c r="U185" s="3"/>
      <c r="V185" s="3"/>
    </row>
    <row r="186" spans="1:22">
      <c r="A186" s="3">
        <f t="shared" si="12"/>
        <v>1995</v>
      </c>
      <c r="B186" s="12" t="str">
        <f t="shared" ref="B186:M186" si="35">IF(B137&gt;"A",IF(B90=0,"?","OK"),IF(B90=0," ","Check "))</f>
        <v xml:space="preserve"> </v>
      </c>
      <c r="C186" s="13" t="str">
        <f t="shared" si="35"/>
        <v xml:space="preserve"> </v>
      </c>
      <c r="D186" s="13" t="str">
        <f t="shared" si="35"/>
        <v>OK</v>
      </c>
      <c r="E186" s="13" t="str">
        <f t="shared" si="35"/>
        <v xml:space="preserve"> </v>
      </c>
      <c r="F186" s="13" t="str">
        <f t="shared" si="35"/>
        <v>OK</v>
      </c>
      <c r="G186" s="13" t="str">
        <f t="shared" si="35"/>
        <v xml:space="preserve"> </v>
      </c>
      <c r="H186" s="13" t="str">
        <f t="shared" si="35"/>
        <v xml:space="preserve"> </v>
      </c>
      <c r="I186" s="13" t="str">
        <f t="shared" si="35"/>
        <v xml:space="preserve"> </v>
      </c>
      <c r="J186" s="13" t="str">
        <f t="shared" si="35"/>
        <v xml:space="preserve"> </v>
      </c>
      <c r="K186" s="13" t="str">
        <f t="shared" si="35"/>
        <v xml:space="preserve"> </v>
      </c>
      <c r="L186" s="13" t="str">
        <f t="shared" si="35"/>
        <v xml:space="preserve"> </v>
      </c>
      <c r="M186" s="13" t="str">
        <f t="shared" si="35"/>
        <v xml:space="preserve"> </v>
      </c>
      <c r="N186" s="3"/>
      <c r="O186" s="3"/>
      <c r="P186" s="3"/>
      <c r="Q186" s="3"/>
      <c r="R186" s="3"/>
      <c r="S186" s="3"/>
      <c r="T186" s="3"/>
      <c r="U186" s="3"/>
      <c r="V186" s="3"/>
    </row>
    <row r="187" spans="1:22">
      <c r="A187" s="3">
        <f t="shared" si="12"/>
        <v>1996</v>
      </c>
      <c r="B187" s="12" t="str">
        <f t="shared" ref="B187:M187" si="36">IF(B138&gt;"A",IF(B91=0,"?","OK"),IF(B91=0," ","Check "))</f>
        <v xml:space="preserve"> </v>
      </c>
      <c r="C187" s="13" t="str">
        <f t="shared" si="36"/>
        <v xml:space="preserve"> </v>
      </c>
      <c r="D187" s="13" t="str">
        <f t="shared" si="36"/>
        <v>OK</v>
      </c>
      <c r="E187" s="13" t="str">
        <f t="shared" si="36"/>
        <v xml:space="preserve"> </v>
      </c>
      <c r="F187" s="100" t="str">
        <f t="shared" si="36"/>
        <v xml:space="preserve"> </v>
      </c>
      <c r="G187" s="13" t="str">
        <f t="shared" si="36"/>
        <v xml:space="preserve"> </v>
      </c>
      <c r="H187" s="13" t="str">
        <f t="shared" si="36"/>
        <v xml:space="preserve"> </v>
      </c>
      <c r="I187" s="100" t="str">
        <f t="shared" si="36"/>
        <v xml:space="preserve"> </v>
      </c>
      <c r="J187" s="13" t="str">
        <f t="shared" si="36"/>
        <v xml:space="preserve"> </v>
      </c>
      <c r="K187" s="13" t="str">
        <f t="shared" si="36"/>
        <v xml:space="preserve"> </v>
      </c>
      <c r="L187" s="13" t="str">
        <f t="shared" si="36"/>
        <v xml:space="preserve"> </v>
      </c>
      <c r="M187" s="13" t="str">
        <f t="shared" si="36"/>
        <v xml:space="preserve"> </v>
      </c>
      <c r="N187" s="3"/>
      <c r="O187" s="3"/>
      <c r="P187" s="3"/>
      <c r="Q187" s="3"/>
      <c r="R187" s="3"/>
      <c r="S187" s="3"/>
      <c r="T187" s="3"/>
      <c r="U187" s="3"/>
      <c r="V187" s="3"/>
    </row>
    <row r="188" spans="1:22">
      <c r="A188" s="3">
        <f t="shared" si="12"/>
        <v>1997</v>
      </c>
      <c r="B188" s="12" t="str">
        <f t="shared" ref="B188:M188" si="37">IF(B139&gt;"A",IF(B92=0,"?","OK"),IF(B92=0," ","Check "))</f>
        <v xml:space="preserve"> </v>
      </c>
      <c r="C188" s="13" t="str">
        <f t="shared" si="37"/>
        <v xml:space="preserve"> </v>
      </c>
      <c r="D188" s="13" t="str">
        <f t="shared" si="37"/>
        <v xml:space="preserve"> </v>
      </c>
      <c r="E188" s="13" t="str">
        <f t="shared" si="37"/>
        <v xml:space="preserve"> </v>
      </c>
      <c r="F188" s="13" t="str">
        <f t="shared" si="37"/>
        <v xml:space="preserve"> </v>
      </c>
      <c r="G188" s="13" t="str">
        <f t="shared" si="37"/>
        <v xml:space="preserve"> </v>
      </c>
      <c r="H188" s="13" t="str">
        <f t="shared" si="37"/>
        <v xml:space="preserve"> </v>
      </c>
      <c r="I188" s="13" t="str">
        <f t="shared" si="37"/>
        <v xml:space="preserve"> </v>
      </c>
      <c r="J188" s="13" t="str">
        <f t="shared" si="37"/>
        <v xml:space="preserve"> </v>
      </c>
      <c r="K188" s="13" t="str">
        <f t="shared" si="37"/>
        <v xml:space="preserve"> </v>
      </c>
      <c r="L188" s="13" t="str">
        <f t="shared" si="37"/>
        <v>?</v>
      </c>
      <c r="M188" s="13" t="str">
        <f t="shared" si="37"/>
        <v xml:space="preserve"> </v>
      </c>
      <c r="N188" s="3"/>
      <c r="O188" s="3"/>
      <c r="P188" s="3"/>
      <c r="Q188" s="3"/>
      <c r="R188" s="3"/>
      <c r="S188" s="3"/>
      <c r="T188" s="3"/>
      <c r="U188" s="3"/>
      <c r="V188" s="3"/>
    </row>
    <row r="189" spans="1:22">
      <c r="A189" s="3">
        <f t="shared" si="12"/>
        <v>1998</v>
      </c>
      <c r="B189" s="12" t="str">
        <f t="shared" ref="B189:M189" si="38">IF(B140&gt;"A",IF(B93=0,"?","OK"),IF(B93=0," ","Check "))</f>
        <v xml:space="preserve"> </v>
      </c>
      <c r="C189" s="13" t="str">
        <f t="shared" si="38"/>
        <v xml:space="preserve"> </v>
      </c>
      <c r="D189" s="13" t="str">
        <f t="shared" si="38"/>
        <v xml:space="preserve"> </v>
      </c>
      <c r="E189" s="13" t="str">
        <f t="shared" si="38"/>
        <v xml:space="preserve"> </v>
      </c>
      <c r="F189" s="13" t="str">
        <f t="shared" si="38"/>
        <v>OK</v>
      </c>
      <c r="G189" s="13" t="str">
        <f t="shared" si="38"/>
        <v>OK</v>
      </c>
      <c r="H189" s="13" t="str">
        <f t="shared" si="38"/>
        <v xml:space="preserve"> </v>
      </c>
      <c r="I189" s="13" t="str">
        <f t="shared" si="38"/>
        <v xml:space="preserve"> </v>
      </c>
      <c r="J189" s="13" t="str">
        <f t="shared" si="38"/>
        <v xml:space="preserve"> </v>
      </c>
      <c r="K189" s="13" t="str">
        <f t="shared" si="38"/>
        <v xml:space="preserve"> </v>
      </c>
      <c r="L189" s="13" t="str">
        <f t="shared" si="38"/>
        <v>OK</v>
      </c>
      <c r="M189" s="13" t="str">
        <f t="shared" si="38"/>
        <v>OK</v>
      </c>
      <c r="N189" s="3"/>
      <c r="O189" s="3"/>
      <c r="P189" s="3"/>
      <c r="Q189" s="3"/>
      <c r="R189" s="3"/>
      <c r="S189" s="3"/>
      <c r="T189" s="3"/>
      <c r="U189" s="3"/>
      <c r="V189" s="3"/>
    </row>
    <row r="190" spans="1:22">
      <c r="A190" s="3">
        <f t="shared" si="12"/>
        <v>1999</v>
      </c>
      <c r="B190" s="12" t="str">
        <f t="shared" ref="B190:M190" si="39">IF(B141&gt;"A",IF(B94=0,"?","OK"),IF(B94=0," ","Check "))</f>
        <v xml:space="preserve"> </v>
      </c>
      <c r="C190" s="13" t="str">
        <f t="shared" si="39"/>
        <v xml:space="preserve"> </v>
      </c>
      <c r="D190" s="13" t="str">
        <f t="shared" si="39"/>
        <v>OK</v>
      </c>
      <c r="E190" s="13" t="str">
        <f t="shared" si="39"/>
        <v xml:space="preserve"> </v>
      </c>
      <c r="F190" s="13" t="str">
        <f t="shared" si="39"/>
        <v>OK</v>
      </c>
      <c r="G190" s="13" t="str">
        <f t="shared" si="39"/>
        <v xml:space="preserve"> </v>
      </c>
      <c r="H190" s="13" t="str">
        <f t="shared" si="39"/>
        <v xml:space="preserve"> </v>
      </c>
      <c r="I190" s="13" t="str">
        <f t="shared" si="39"/>
        <v xml:space="preserve"> </v>
      </c>
      <c r="J190" s="13" t="str">
        <f t="shared" si="39"/>
        <v>OK</v>
      </c>
      <c r="K190" s="13" t="str">
        <f t="shared" si="39"/>
        <v xml:space="preserve"> </v>
      </c>
      <c r="L190" s="13" t="str">
        <f t="shared" si="39"/>
        <v xml:space="preserve"> </v>
      </c>
      <c r="M190" s="13" t="str">
        <f t="shared" si="39"/>
        <v xml:space="preserve"> </v>
      </c>
      <c r="N190" s="3"/>
      <c r="O190" s="3"/>
      <c r="P190" s="3"/>
      <c r="Q190" s="3"/>
      <c r="R190" s="3"/>
      <c r="S190" s="3"/>
      <c r="T190" s="3"/>
      <c r="U190" s="3"/>
      <c r="V190" s="3"/>
    </row>
    <row r="191" spans="1:22">
      <c r="A191" s="3">
        <f t="shared" si="12"/>
        <v>2000</v>
      </c>
      <c r="B191" s="12" t="str">
        <f t="shared" ref="B191:M191" si="40">IF(B142&gt;"A",IF(B95=0,"?","OK"),IF(B95=0," ","Check "))</f>
        <v xml:space="preserve">Check </v>
      </c>
      <c r="C191" s="13" t="str">
        <f t="shared" si="40"/>
        <v xml:space="preserve">Check </v>
      </c>
      <c r="D191" s="13" t="str">
        <f t="shared" si="40"/>
        <v xml:space="preserve"> </v>
      </c>
      <c r="E191" s="13" t="str">
        <f t="shared" si="40"/>
        <v xml:space="preserve"> </v>
      </c>
      <c r="F191" s="13" t="str">
        <f t="shared" si="40"/>
        <v xml:space="preserve"> </v>
      </c>
      <c r="G191" s="13" t="str">
        <f t="shared" si="40"/>
        <v xml:space="preserve"> </v>
      </c>
      <c r="H191" s="13" t="str">
        <f t="shared" si="40"/>
        <v xml:space="preserve"> </v>
      </c>
      <c r="I191" s="13" t="str">
        <f t="shared" si="40"/>
        <v xml:space="preserve"> </v>
      </c>
      <c r="J191" s="13" t="str">
        <f t="shared" si="40"/>
        <v xml:space="preserve"> </v>
      </c>
      <c r="K191" s="13" t="str">
        <f t="shared" si="40"/>
        <v>OK</v>
      </c>
      <c r="L191" s="13" t="str">
        <f t="shared" si="40"/>
        <v xml:space="preserve">Check </v>
      </c>
      <c r="M191" s="13" t="str">
        <f t="shared" si="40"/>
        <v xml:space="preserve">Check </v>
      </c>
      <c r="N191" s="3"/>
      <c r="O191" s="3"/>
      <c r="P191" s="3"/>
      <c r="Q191" s="3"/>
      <c r="R191" s="3"/>
      <c r="S191" s="3"/>
      <c r="T191" s="3"/>
      <c r="U191" s="3"/>
      <c r="V191" s="3"/>
    </row>
    <row r="192" spans="1:22">
      <c r="A192" s="3">
        <f t="shared" si="12"/>
        <v>2001</v>
      </c>
      <c r="B192" s="12" t="str">
        <f t="shared" ref="B192:M192" si="41">IF(B143&gt;"A",IF(B96=0,"?","OK"),IF(B96=0," ","Check "))</f>
        <v xml:space="preserve"> </v>
      </c>
      <c r="C192" s="13" t="str">
        <f t="shared" si="41"/>
        <v xml:space="preserve"> </v>
      </c>
      <c r="D192" s="13" t="str">
        <f t="shared" si="41"/>
        <v xml:space="preserve"> </v>
      </c>
      <c r="E192" s="13" t="str">
        <f t="shared" si="41"/>
        <v xml:space="preserve"> </v>
      </c>
      <c r="F192" s="13" t="str">
        <f t="shared" si="41"/>
        <v xml:space="preserve"> </v>
      </c>
      <c r="G192" s="13" t="str">
        <f t="shared" si="41"/>
        <v xml:space="preserve"> </v>
      </c>
      <c r="H192" s="13" t="str">
        <f t="shared" si="41"/>
        <v xml:space="preserve"> </v>
      </c>
      <c r="I192" s="13" t="str">
        <f t="shared" si="41"/>
        <v xml:space="preserve"> </v>
      </c>
      <c r="J192" s="13" t="str">
        <f t="shared" si="41"/>
        <v xml:space="preserve"> </v>
      </c>
      <c r="K192" s="13" t="str">
        <f t="shared" si="41"/>
        <v xml:space="preserve"> </v>
      </c>
      <c r="L192" s="13" t="str">
        <f t="shared" si="41"/>
        <v>OK</v>
      </c>
      <c r="M192" s="13" t="str">
        <f t="shared" si="41"/>
        <v>OK</v>
      </c>
    </row>
    <row r="193" spans="1:13">
      <c r="A193" s="3">
        <f t="shared" si="12"/>
        <v>2002</v>
      </c>
      <c r="B193" s="12" t="str">
        <f t="shared" ref="B193:M193" si="42">IF(B144&gt;"A",IF(B97=0,"?","OK"),IF(B97=0," ","Check "))</f>
        <v xml:space="preserve"> </v>
      </c>
      <c r="C193" s="13" t="str">
        <f t="shared" si="42"/>
        <v xml:space="preserve">Check </v>
      </c>
      <c r="D193" s="13" t="str">
        <f t="shared" si="42"/>
        <v xml:space="preserve">Check </v>
      </c>
      <c r="E193" s="13" t="str">
        <f t="shared" si="42"/>
        <v xml:space="preserve"> </v>
      </c>
      <c r="F193" s="13" t="str">
        <f t="shared" si="42"/>
        <v xml:space="preserve"> </v>
      </c>
      <c r="G193" s="13" t="str">
        <f t="shared" si="42"/>
        <v xml:space="preserve"> </v>
      </c>
      <c r="H193" s="13" t="str">
        <f t="shared" si="42"/>
        <v>OK</v>
      </c>
      <c r="I193" s="13" t="str">
        <f t="shared" si="42"/>
        <v xml:space="preserve">Check </v>
      </c>
      <c r="J193" s="13" t="str">
        <f t="shared" si="42"/>
        <v xml:space="preserve"> </v>
      </c>
      <c r="K193" s="13" t="str">
        <f t="shared" si="42"/>
        <v>OK</v>
      </c>
      <c r="L193" s="13" t="str">
        <f t="shared" si="42"/>
        <v xml:space="preserve"> </v>
      </c>
      <c r="M193" s="13" t="str">
        <f t="shared" si="42"/>
        <v xml:space="preserve"> </v>
      </c>
    </row>
    <row r="194" spans="1:13">
      <c r="A194" s="3">
        <f t="shared" si="12"/>
        <v>2003</v>
      </c>
      <c r="B194" s="12" t="str">
        <f t="shared" ref="B194:M194" si="43">IF(B145&gt;"A",IF(B98=0,"?","OK"),IF(B98=0," ","Check "))</f>
        <v xml:space="preserve"> </v>
      </c>
      <c r="C194" s="13" t="str">
        <f t="shared" si="43"/>
        <v xml:space="preserve">Check </v>
      </c>
      <c r="D194" s="13" t="str">
        <f t="shared" si="43"/>
        <v xml:space="preserve"> </v>
      </c>
      <c r="E194" s="13" t="str">
        <f t="shared" si="43"/>
        <v xml:space="preserve"> </v>
      </c>
      <c r="F194" s="13" t="str">
        <f t="shared" si="43"/>
        <v xml:space="preserve">Check </v>
      </c>
      <c r="G194" s="13" t="str">
        <f t="shared" si="43"/>
        <v xml:space="preserve"> </v>
      </c>
      <c r="H194" s="13" t="str">
        <f t="shared" si="43"/>
        <v xml:space="preserve"> </v>
      </c>
      <c r="I194" s="13" t="str">
        <f t="shared" si="43"/>
        <v xml:space="preserve"> </v>
      </c>
      <c r="J194" s="13" t="str">
        <f t="shared" si="43"/>
        <v xml:space="preserve">Check </v>
      </c>
      <c r="K194" s="13" t="str">
        <f t="shared" si="43"/>
        <v xml:space="preserve"> </v>
      </c>
      <c r="L194" s="13" t="str">
        <f t="shared" si="43"/>
        <v xml:space="preserve">Check </v>
      </c>
      <c r="M194" s="13" t="str">
        <f t="shared" si="43"/>
        <v xml:space="preserve">Check </v>
      </c>
    </row>
    <row r="195" spans="1:13">
      <c r="A195" s="3">
        <f t="shared" si="12"/>
        <v>2004</v>
      </c>
      <c r="B195" s="12" t="str">
        <f t="shared" ref="B195:M195" si="44">IF(B146&gt;"A",IF(B99=0,"?","OK"),IF(B99=0," ","Check "))</f>
        <v xml:space="preserve"> </v>
      </c>
      <c r="C195" s="13" t="str">
        <f t="shared" si="44"/>
        <v xml:space="preserve"> </v>
      </c>
      <c r="D195" s="13" t="str">
        <f t="shared" si="44"/>
        <v xml:space="preserve"> </v>
      </c>
      <c r="E195" s="13" t="str">
        <f t="shared" si="44"/>
        <v xml:space="preserve"> </v>
      </c>
      <c r="F195" s="13" t="str">
        <f t="shared" si="44"/>
        <v xml:space="preserve"> </v>
      </c>
      <c r="G195" s="13" t="str">
        <f t="shared" si="44"/>
        <v xml:space="preserve"> </v>
      </c>
      <c r="H195" s="13" t="str">
        <f t="shared" si="44"/>
        <v xml:space="preserve"> </v>
      </c>
      <c r="I195" s="13" t="str">
        <f t="shared" si="44"/>
        <v>OK</v>
      </c>
      <c r="J195" s="13" t="str">
        <f t="shared" si="44"/>
        <v>OK</v>
      </c>
      <c r="K195" s="13" t="str">
        <f t="shared" si="44"/>
        <v xml:space="preserve"> </v>
      </c>
      <c r="L195" s="13" t="str">
        <f t="shared" si="44"/>
        <v xml:space="preserve"> </v>
      </c>
      <c r="M195" s="13" t="str">
        <f t="shared" si="44"/>
        <v xml:space="preserve">Check </v>
      </c>
    </row>
    <row r="196" spans="1:13">
      <c r="A196" s="3">
        <f t="shared" si="12"/>
        <v>2005</v>
      </c>
      <c r="B196" s="12" t="str">
        <f t="shared" ref="B196:M196" si="45">IF(B148&gt;"A",IF(B100=0,"?","OK"),IF(B100=0," ","Check "))</f>
        <v xml:space="preserve"> </v>
      </c>
      <c r="C196" s="13" t="str">
        <f t="shared" si="45"/>
        <v xml:space="preserve">Check </v>
      </c>
      <c r="D196" s="13" t="str">
        <f t="shared" si="45"/>
        <v xml:space="preserve">Check </v>
      </c>
      <c r="E196" s="13" t="str">
        <f t="shared" si="45"/>
        <v xml:space="preserve">Check </v>
      </c>
      <c r="F196" s="13" t="str">
        <f t="shared" si="45"/>
        <v xml:space="preserve">Check </v>
      </c>
      <c r="G196" s="13" t="str">
        <f t="shared" si="45"/>
        <v xml:space="preserve"> </v>
      </c>
      <c r="H196" s="13" t="str">
        <f t="shared" si="45"/>
        <v xml:space="preserve">Check </v>
      </c>
      <c r="I196" s="13" t="str">
        <f t="shared" si="45"/>
        <v xml:space="preserve">Check </v>
      </c>
      <c r="J196" s="13" t="str">
        <f t="shared" si="45"/>
        <v xml:space="preserve">Check </v>
      </c>
      <c r="K196" s="13" t="str">
        <f t="shared" si="45"/>
        <v xml:space="preserve"> </v>
      </c>
      <c r="L196" s="13" t="str">
        <f t="shared" si="45"/>
        <v xml:space="preserve"> </v>
      </c>
      <c r="M196" s="13" t="str">
        <f t="shared" si="45"/>
        <v xml:space="preserve">Check </v>
      </c>
    </row>
    <row r="197" spans="1:13">
      <c r="A197" s="3">
        <f t="shared" si="12"/>
        <v>2006</v>
      </c>
      <c r="B197" s="12" t="str">
        <f t="shared" ref="B197:M197" si="46">IF(B149&gt;"A",IF(B101=0,"?","OK"),IF(B101=0," ","Check "))</f>
        <v xml:space="preserve"> </v>
      </c>
      <c r="C197" s="13" t="str">
        <f t="shared" si="46"/>
        <v xml:space="preserve"> </v>
      </c>
      <c r="D197" s="13" t="str">
        <f t="shared" si="46"/>
        <v xml:space="preserve">Check </v>
      </c>
      <c r="E197" s="13" t="str">
        <f t="shared" si="46"/>
        <v>OK</v>
      </c>
      <c r="F197" s="13" t="str">
        <f t="shared" si="46"/>
        <v xml:space="preserve"> </v>
      </c>
      <c r="G197" s="13" t="str">
        <f t="shared" si="46"/>
        <v xml:space="preserve">Check </v>
      </c>
      <c r="H197" s="13" t="str">
        <f t="shared" si="46"/>
        <v xml:space="preserve">Check </v>
      </c>
      <c r="I197" s="13" t="str">
        <f t="shared" si="46"/>
        <v xml:space="preserve"> </v>
      </c>
      <c r="J197" s="13" t="str">
        <f t="shared" si="46"/>
        <v xml:space="preserve"> </v>
      </c>
      <c r="K197" s="13" t="str">
        <f t="shared" si="46"/>
        <v xml:space="preserve">Check </v>
      </c>
      <c r="L197" s="13" t="str">
        <f t="shared" si="46"/>
        <v xml:space="preserve"> </v>
      </c>
      <c r="M197" s="13" t="str">
        <f t="shared" si="46"/>
        <v xml:space="preserve"> </v>
      </c>
    </row>
    <row r="198" spans="1:13">
      <c r="A198" s="3">
        <f t="shared" si="12"/>
        <v>2007</v>
      </c>
      <c r="B198" s="12" t="str">
        <f t="shared" ref="B198:M198" si="47">IF(B150&gt;"A",IF(B102=0,"?","OK"),IF(B102=0," ","Check "))</f>
        <v xml:space="preserve">Check </v>
      </c>
      <c r="C198" s="13" t="str">
        <f t="shared" si="47"/>
        <v xml:space="preserve"> </v>
      </c>
      <c r="D198" s="13" t="str">
        <f t="shared" si="47"/>
        <v xml:space="preserve"> </v>
      </c>
      <c r="E198" s="13" t="str">
        <f t="shared" si="47"/>
        <v xml:space="preserve">Check </v>
      </c>
      <c r="F198" s="13" t="str">
        <f t="shared" si="47"/>
        <v xml:space="preserve"> </v>
      </c>
      <c r="G198" s="13" t="str">
        <f t="shared" si="47"/>
        <v xml:space="preserve">Check </v>
      </c>
      <c r="H198" s="13" t="str">
        <f t="shared" si="47"/>
        <v xml:space="preserve"> </v>
      </c>
      <c r="I198" s="13" t="str">
        <f t="shared" si="47"/>
        <v xml:space="preserve"> </v>
      </c>
      <c r="J198" s="13" t="str">
        <f t="shared" si="47"/>
        <v xml:space="preserve">Check </v>
      </c>
      <c r="K198" s="13" t="str">
        <f t="shared" si="47"/>
        <v xml:space="preserve"> </v>
      </c>
      <c r="L198" s="13" t="str">
        <f t="shared" si="47"/>
        <v xml:space="preserve"> </v>
      </c>
      <c r="M198" s="13" t="str">
        <f t="shared" si="47"/>
        <v xml:space="preserve"> </v>
      </c>
    </row>
    <row r="199" spans="1:13">
      <c r="A199" s="3">
        <f t="shared" si="12"/>
        <v>2008</v>
      </c>
    </row>
    <row r="200" spans="1:13">
      <c r="A200" s="3">
        <f t="shared" si="12"/>
        <v>2009</v>
      </c>
    </row>
    <row r="201" spans="1:13">
      <c r="A201" s="3">
        <f t="shared" ref="A201:A206" si="48">A43</f>
        <v>2010</v>
      </c>
    </row>
    <row r="202" spans="1:13">
      <c r="A202" s="3">
        <f t="shared" si="48"/>
        <v>2011</v>
      </c>
    </row>
    <row r="203" spans="1:13">
      <c r="A203" s="3">
        <f t="shared" si="48"/>
        <v>2012</v>
      </c>
    </row>
    <row r="204" spans="1:13">
      <c r="A204" s="3">
        <f t="shared" si="48"/>
        <v>2013</v>
      </c>
    </row>
    <row r="205" spans="1:13">
      <c r="A205" s="3">
        <f t="shared" si="48"/>
        <v>2014</v>
      </c>
    </row>
    <row r="206" spans="1:13">
      <c r="A206" s="3">
        <f t="shared" si="48"/>
        <v>2015</v>
      </c>
    </row>
  </sheetData>
  <phoneticPr fontId="9" type="noConversion"/>
  <pageMargins left="0.25" right="0.25694444444444442" top="0.25" bottom="0.25" header="0" footer="0"/>
  <pageSetup scale="71" orientation="landscape" r:id="rId1"/>
  <headerFooter alignWithMargins="0"/>
  <customProperties>
    <customPr name="_pios_id" r:id="rId2"/>
    <customPr name="EpmWorksheetKeyString_GUID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T183"/>
  <sheetViews>
    <sheetView showGridLines="0" zoomScale="70" zoomScaleNormal="70" workbookViewId="0">
      <pane xSplit="1" ySplit="5" topLeftCell="B31" activePane="bottomRight" state="frozen"/>
      <selection pane="topRight" activeCell="B1" sqref="B1"/>
      <selection pane="bottomLeft" activeCell="A6" sqref="A6"/>
      <selection pane="bottomRight" activeCell="Q56" sqref="Q56"/>
    </sheetView>
  </sheetViews>
  <sheetFormatPr defaultColWidth="9.6640625" defaultRowHeight="15"/>
  <cols>
    <col min="1" max="1" width="5.6640625" style="1" customWidth="1"/>
    <col min="2" max="13" width="6.6640625" style="1" customWidth="1"/>
    <col min="14" max="23" width="9.6640625" style="1" customWidth="1"/>
    <col min="24" max="51" width="6.6640625" style="1" customWidth="1"/>
    <col min="52" max="54" width="9.6640625" style="1" customWidth="1"/>
    <col min="55" max="66" width="6.6640625" style="1" customWidth="1"/>
    <col min="67" max="16384" width="9.6640625" style="1"/>
  </cols>
  <sheetData>
    <row r="1" spans="1:254" ht="15.75">
      <c r="A1" s="2" t="s">
        <v>59</v>
      </c>
      <c r="B1" s="3"/>
      <c r="C1" s="3"/>
      <c r="D1" s="3"/>
      <c r="E1" s="3"/>
      <c r="F1" s="3"/>
      <c r="G1" s="3"/>
      <c r="H1" s="21" t="s">
        <v>84</v>
      </c>
      <c r="I1" s="3"/>
      <c r="J1" s="3"/>
      <c r="K1" s="4" t="s">
        <v>144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84" t="s">
        <v>155</v>
      </c>
      <c r="BD1" s="3"/>
      <c r="BE1" s="3"/>
      <c r="BF1" s="3"/>
      <c r="BG1" s="3"/>
      <c r="BH1" s="3"/>
      <c r="BI1" s="3"/>
      <c r="BJ1" s="3"/>
      <c r="BK1" s="3"/>
      <c r="BL1" s="4" t="s">
        <v>157</v>
      </c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1:254" ht="15.75">
      <c r="A2" s="2"/>
      <c r="B2" s="102"/>
      <c r="C2" s="3"/>
      <c r="D2" s="3"/>
      <c r="E2" s="3"/>
      <c r="F2" s="3"/>
      <c r="G2" s="3"/>
      <c r="H2" s="22" t="s">
        <v>85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84" t="s">
        <v>156</v>
      </c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</row>
    <row r="3" spans="1:254" ht="15.75">
      <c r="A3" s="3"/>
      <c r="B3" s="5" t="s">
        <v>142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 t="s">
        <v>151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5" t="s">
        <v>154</v>
      </c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ht="15.75">
      <c r="A4" s="3"/>
      <c r="B4" s="13" t="s">
        <v>127</v>
      </c>
      <c r="C4" s="13" t="s">
        <v>127</v>
      </c>
      <c r="D4" s="13" t="s">
        <v>127</v>
      </c>
      <c r="E4" s="13" t="s">
        <v>128</v>
      </c>
      <c r="F4" s="13" t="s">
        <v>128</v>
      </c>
      <c r="G4" s="13" t="s">
        <v>128</v>
      </c>
      <c r="H4" s="13" t="s">
        <v>128</v>
      </c>
      <c r="I4" s="13" t="s">
        <v>128</v>
      </c>
      <c r="J4" s="13" t="s">
        <v>128</v>
      </c>
      <c r="K4" s="13" t="s">
        <v>128</v>
      </c>
      <c r="L4" s="13" t="s">
        <v>127</v>
      </c>
      <c r="M4" s="13" t="s">
        <v>127</v>
      </c>
      <c r="N4" s="3"/>
      <c r="O4" s="3"/>
      <c r="P4" s="6"/>
      <c r="Q4" s="7" t="s">
        <v>48</v>
      </c>
      <c r="R4" s="8" t="s">
        <v>50</v>
      </c>
      <c r="S4" s="7"/>
      <c r="T4" s="8"/>
      <c r="U4" s="12"/>
      <c r="V4" s="13"/>
      <c r="W4" s="3"/>
      <c r="X4" s="3"/>
      <c r="Y4" s="3"/>
      <c r="Z4" s="5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5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13" t="s">
        <v>127</v>
      </c>
      <c r="BD4" s="13" t="s">
        <v>127</v>
      </c>
      <c r="BE4" s="13" t="s">
        <v>127</v>
      </c>
      <c r="BF4" s="13" t="s">
        <v>128</v>
      </c>
      <c r="BG4" s="13" t="s">
        <v>128</v>
      </c>
      <c r="BH4" s="13" t="s">
        <v>128</v>
      </c>
      <c r="BI4" s="13" t="s">
        <v>128</v>
      </c>
      <c r="BJ4" s="13" t="s">
        <v>128</v>
      </c>
      <c r="BK4" s="13" t="s">
        <v>128</v>
      </c>
      <c r="BL4" s="13" t="s">
        <v>128</v>
      </c>
      <c r="BM4" s="13" t="s">
        <v>127</v>
      </c>
      <c r="BN4" s="13" t="s">
        <v>127</v>
      </c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pans="1:254" ht="15.75">
      <c r="A5" s="10"/>
      <c r="B5" s="10" t="s">
        <v>4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3" t="s">
        <v>145</v>
      </c>
      <c r="O5" s="10"/>
      <c r="P5" s="11"/>
      <c r="Q5" s="12" t="s">
        <v>49</v>
      </c>
      <c r="R5" s="13" t="s">
        <v>49</v>
      </c>
      <c r="S5" s="12" t="s">
        <v>96</v>
      </c>
      <c r="T5" s="13" t="s">
        <v>51</v>
      </c>
      <c r="U5" s="11" t="s">
        <v>48</v>
      </c>
      <c r="V5" s="10" t="s">
        <v>50</v>
      </c>
      <c r="W5" s="10"/>
      <c r="X5" s="10"/>
      <c r="Y5" s="10"/>
      <c r="Z5" s="10" t="s">
        <v>4</v>
      </c>
      <c r="AA5" s="10" t="s">
        <v>8</v>
      </c>
      <c r="AB5" s="10" t="s">
        <v>9</v>
      </c>
      <c r="AC5" s="11" t="s">
        <v>10</v>
      </c>
      <c r="AD5" s="10" t="s">
        <v>11</v>
      </c>
      <c r="AE5" s="10" t="s">
        <v>12</v>
      </c>
      <c r="AF5" s="10" t="s">
        <v>13</v>
      </c>
      <c r="AG5" s="10" t="s">
        <v>15</v>
      </c>
      <c r="AH5" s="10" t="s">
        <v>16</v>
      </c>
      <c r="AI5" s="11" t="s">
        <v>17</v>
      </c>
      <c r="AJ5" s="10" t="s">
        <v>18</v>
      </c>
      <c r="AK5" s="10" t="s">
        <v>19</v>
      </c>
      <c r="AL5" s="10"/>
      <c r="AM5" s="10"/>
      <c r="AN5" s="10" t="s">
        <v>4</v>
      </c>
      <c r="AO5" s="10" t="s">
        <v>8</v>
      </c>
      <c r="AP5" s="10" t="s">
        <v>9</v>
      </c>
      <c r="AQ5" s="10" t="s">
        <v>10</v>
      </c>
      <c r="AR5" s="10" t="s">
        <v>11</v>
      </c>
      <c r="AS5" s="10" t="s">
        <v>12</v>
      </c>
      <c r="AT5" s="10" t="s">
        <v>13</v>
      </c>
      <c r="AU5" s="10" t="s">
        <v>15</v>
      </c>
      <c r="AV5" s="10" t="s">
        <v>16</v>
      </c>
      <c r="AW5" s="10" t="s">
        <v>17</v>
      </c>
      <c r="AX5" s="10" t="s">
        <v>18</v>
      </c>
      <c r="AY5" s="10" t="s">
        <v>19</v>
      </c>
      <c r="AZ5" s="10"/>
      <c r="BA5" s="10"/>
      <c r="BB5" s="10"/>
      <c r="BC5" s="10" t="s">
        <v>4</v>
      </c>
      <c r="BD5" s="10" t="s">
        <v>8</v>
      </c>
      <c r="BE5" s="10" t="s">
        <v>9</v>
      </c>
      <c r="BF5" s="10" t="s">
        <v>10</v>
      </c>
      <c r="BG5" s="10" t="s">
        <v>11</v>
      </c>
      <c r="BH5" s="10" t="s">
        <v>12</v>
      </c>
      <c r="BI5" s="10" t="s">
        <v>13</v>
      </c>
      <c r="BJ5" s="10" t="s">
        <v>15</v>
      </c>
      <c r="BK5" s="10" t="s">
        <v>16</v>
      </c>
      <c r="BL5" s="10" t="s">
        <v>17</v>
      </c>
      <c r="BM5" s="10" t="s">
        <v>18</v>
      </c>
      <c r="BN5" s="10" t="s">
        <v>19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>
      <c r="A6" s="3">
        <f>'Instant Old no Delete'!A7</f>
        <v>1973</v>
      </c>
      <c r="B6" s="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3"/>
      <c r="O6" s="3"/>
      <c r="P6" s="6" t="s">
        <v>20</v>
      </c>
      <c r="Q6" s="85">
        <f t="shared" ref="Q6:Q32" si="0">MAX(S6:T6)</f>
        <v>0</v>
      </c>
      <c r="R6" s="86">
        <f t="shared" ref="R6:R32" si="1">MAX(E6:J6)</f>
        <v>0</v>
      </c>
      <c r="S6" s="7">
        <f t="shared" ref="S6:S32" si="2">MAX(L5:M5)</f>
        <v>0</v>
      </c>
      <c r="T6" s="8">
        <f t="shared" ref="T6:T32" si="3">MAX(B6:D6)</f>
        <v>0</v>
      </c>
      <c r="U6" s="46">
        <v>1129</v>
      </c>
      <c r="V6" s="41">
        <v>1302</v>
      </c>
      <c r="W6" s="3"/>
      <c r="X6" s="3"/>
      <c r="Y6" s="3">
        <f t="shared" ref="Y6:Y32" si="4">A6</f>
        <v>1973</v>
      </c>
      <c r="Z6" s="16" t="e">
        <f t="shared" ref="Z6:Z32" si="5">B6/$Q6</f>
        <v>#DIV/0!</v>
      </c>
      <c r="AA6" s="17" t="e">
        <f t="shared" ref="AA6:AA32" si="6">C6/$Q6</f>
        <v>#DIV/0!</v>
      </c>
      <c r="AB6" s="17" t="e">
        <f t="shared" ref="AB6:AB32" si="7">D6/$Q6</f>
        <v>#DIV/0!</v>
      </c>
      <c r="AC6" s="16" t="e">
        <f t="shared" ref="AC6:AC32" si="8">E6/$R6</f>
        <v>#DIV/0!</v>
      </c>
      <c r="AD6" s="17" t="e">
        <f t="shared" ref="AD6:AD32" si="9">F6/$R6</f>
        <v>#DIV/0!</v>
      </c>
      <c r="AE6" s="17" t="e">
        <f t="shared" ref="AE6:AE32" si="10">G6/$R6</f>
        <v>#DIV/0!</v>
      </c>
      <c r="AF6" s="17" t="e">
        <f t="shared" ref="AF6:AF32" si="11">H6/$R6</f>
        <v>#DIV/0!</v>
      </c>
      <c r="AG6" s="17" t="e">
        <f t="shared" ref="AG6:AG32" si="12">I6/$R6</f>
        <v>#DIV/0!</v>
      </c>
      <c r="AH6" s="17" t="e">
        <f t="shared" ref="AH6:AH32" si="13">J6/$R6</f>
        <v>#DIV/0!</v>
      </c>
      <c r="AI6" s="16" t="e">
        <f t="shared" ref="AI6:AI31" si="14">K6/$Q7</f>
        <v>#DIV/0!</v>
      </c>
      <c r="AJ6" s="17" t="e">
        <f t="shared" ref="AJ6:AJ31" si="15">L6/$Q7</f>
        <v>#DIV/0!</v>
      </c>
      <c r="AK6" s="17" t="e">
        <f t="shared" ref="AK6:AK31" si="16">M6/$Q7</f>
        <v>#DIV/0!</v>
      </c>
      <c r="AL6" s="9"/>
      <c r="AM6" s="3">
        <f t="shared" ref="AM6:AM32" si="17">Y6</f>
        <v>1973</v>
      </c>
      <c r="AN6" s="6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3"/>
      <c r="BA6" s="3"/>
      <c r="BB6" s="3">
        <v>73</v>
      </c>
      <c r="BC6" s="6">
        <v>1009</v>
      </c>
      <c r="BD6" s="14">
        <v>1045</v>
      </c>
      <c r="BE6" s="14">
        <v>907</v>
      </c>
      <c r="BF6" s="14">
        <v>832</v>
      </c>
      <c r="BG6" s="14">
        <v>1128</v>
      </c>
      <c r="BH6" s="14">
        <v>1134</v>
      </c>
      <c r="BI6" s="14">
        <v>1154</v>
      </c>
      <c r="BJ6" s="14">
        <v>1184</v>
      </c>
      <c r="BK6" s="14">
        <v>1185</v>
      </c>
      <c r="BL6" s="14">
        <v>1126</v>
      </c>
      <c r="BM6" s="14">
        <v>964</v>
      </c>
      <c r="BN6" s="14">
        <v>1107</v>
      </c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>
      <c r="A7" s="3">
        <f>'Instant Old no Delete'!A8</f>
        <v>1974</v>
      </c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9" t="s">
        <v>21</v>
      </c>
      <c r="Q7" s="87">
        <f t="shared" si="0"/>
        <v>0</v>
      </c>
      <c r="R7" s="88">
        <f t="shared" si="1"/>
        <v>0</v>
      </c>
      <c r="S7" s="12">
        <f t="shared" si="2"/>
        <v>0</v>
      </c>
      <c r="T7" s="13">
        <f t="shared" si="3"/>
        <v>0</v>
      </c>
      <c r="U7" s="46">
        <v>1214</v>
      </c>
      <c r="V7" s="41">
        <v>1381</v>
      </c>
      <c r="W7" s="3"/>
      <c r="X7" s="3"/>
      <c r="Y7" s="3">
        <f t="shared" si="4"/>
        <v>1974</v>
      </c>
      <c r="Z7" s="18" t="e">
        <f t="shared" si="5"/>
        <v>#DIV/0!</v>
      </c>
      <c r="AA7" s="19" t="e">
        <f t="shared" si="6"/>
        <v>#DIV/0!</v>
      </c>
      <c r="AB7" s="19" t="e">
        <f t="shared" si="7"/>
        <v>#DIV/0!</v>
      </c>
      <c r="AC7" s="18" t="e">
        <f t="shared" si="8"/>
        <v>#DIV/0!</v>
      </c>
      <c r="AD7" s="19" t="e">
        <f t="shared" si="9"/>
        <v>#DIV/0!</v>
      </c>
      <c r="AE7" s="19" t="e">
        <f t="shared" si="10"/>
        <v>#DIV/0!</v>
      </c>
      <c r="AF7" s="19" t="e">
        <f t="shared" si="11"/>
        <v>#DIV/0!</v>
      </c>
      <c r="AG7" s="19" t="e">
        <f t="shared" si="12"/>
        <v>#DIV/0!</v>
      </c>
      <c r="AH7" s="19" t="e">
        <f t="shared" si="13"/>
        <v>#DIV/0!</v>
      </c>
      <c r="AI7" s="18" t="e">
        <f t="shared" si="14"/>
        <v>#DIV/0!</v>
      </c>
      <c r="AJ7" s="19" t="e">
        <f t="shared" si="15"/>
        <v>#DIV/0!</v>
      </c>
      <c r="AK7" s="19" t="e">
        <f t="shared" si="16"/>
        <v>#DIV/0!</v>
      </c>
      <c r="AL7" s="9"/>
      <c r="AM7" s="3">
        <f t="shared" si="17"/>
        <v>1974</v>
      </c>
      <c r="AN7" s="9">
        <f t="shared" ref="AN7:AN32" si="18">B7-B6</f>
        <v>0</v>
      </c>
      <c r="AO7" s="3">
        <f t="shared" ref="AO7:AO32" si="19">C7-C6</f>
        <v>0</v>
      </c>
      <c r="AP7" s="3">
        <f t="shared" ref="AP7:AP32" si="20">D7-D6</f>
        <v>0</v>
      </c>
      <c r="AQ7" s="3">
        <f t="shared" ref="AQ7:AQ32" si="21">E7-E6</f>
        <v>0</v>
      </c>
      <c r="AR7" s="3">
        <f t="shared" ref="AR7:AR32" si="22">F7-F6</f>
        <v>0</v>
      </c>
      <c r="AS7" s="3">
        <f t="shared" ref="AS7:AS32" si="23">G7-G6</f>
        <v>0</v>
      </c>
      <c r="AT7" s="3">
        <f t="shared" ref="AT7:AT32" si="24">H7-H6</f>
        <v>0</v>
      </c>
      <c r="AU7" s="3">
        <f t="shared" ref="AU7:AU32" si="25">I7-I6</f>
        <v>0</v>
      </c>
      <c r="AV7" s="3">
        <f t="shared" ref="AV7:AV32" si="26">J7-J6</f>
        <v>0</v>
      </c>
      <c r="AW7" s="3">
        <f t="shared" ref="AW7:AW32" si="27">K7-K6</f>
        <v>0</v>
      </c>
      <c r="AX7" s="3">
        <f t="shared" ref="AX7:AX32" si="28">L7-L6</f>
        <v>0</v>
      </c>
      <c r="AY7" s="3">
        <f t="shared" ref="AY7:AY32" si="29">M7-M6</f>
        <v>0</v>
      </c>
      <c r="AZ7" s="3"/>
      <c r="BA7" s="3"/>
      <c r="BB7" s="3">
        <f t="shared" ref="BB7:BB12" si="30">BB6+1</f>
        <v>74</v>
      </c>
      <c r="BC7" s="9">
        <v>872</v>
      </c>
      <c r="BD7" s="3">
        <v>1196</v>
      </c>
      <c r="BE7" s="3">
        <v>993</v>
      </c>
      <c r="BF7" s="3">
        <v>1049</v>
      </c>
      <c r="BG7" s="3">
        <v>1192</v>
      </c>
      <c r="BH7" s="3">
        <v>1216</v>
      </c>
      <c r="BI7" s="3">
        <v>1183</v>
      </c>
      <c r="BJ7" s="3">
        <v>1220</v>
      </c>
      <c r="BK7" s="3">
        <v>1271</v>
      </c>
      <c r="BL7" s="3">
        <v>1048</v>
      </c>
      <c r="BM7" s="3">
        <v>967</v>
      </c>
      <c r="BN7" s="3">
        <v>1175</v>
      </c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>
      <c r="A8" s="3">
        <f>'Instant Old no Delete'!A9</f>
        <v>1975</v>
      </c>
      <c r="B8" s="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9" t="s">
        <v>22</v>
      </c>
      <c r="Q8" s="87">
        <f t="shared" si="0"/>
        <v>0</v>
      </c>
      <c r="R8" s="88">
        <f t="shared" si="1"/>
        <v>0</v>
      </c>
      <c r="S8" s="12">
        <f t="shared" si="2"/>
        <v>0</v>
      </c>
      <c r="T8" s="13">
        <f t="shared" si="3"/>
        <v>0</v>
      </c>
      <c r="U8" s="46">
        <v>1303</v>
      </c>
      <c r="V8" s="41">
        <v>1418</v>
      </c>
      <c r="W8" s="3"/>
      <c r="X8" s="3"/>
      <c r="Y8" s="3">
        <f t="shared" si="4"/>
        <v>1975</v>
      </c>
      <c r="Z8" s="18" t="e">
        <f t="shared" si="5"/>
        <v>#DIV/0!</v>
      </c>
      <c r="AA8" s="19" t="e">
        <f t="shared" si="6"/>
        <v>#DIV/0!</v>
      </c>
      <c r="AB8" s="19" t="e">
        <f t="shared" si="7"/>
        <v>#DIV/0!</v>
      </c>
      <c r="AC8" s="18" t="e">
        <f t="shared" si="8"/>
        <v>#DIV/0!</v>
      </c>
      <c r="AD8" s="19" t="e">
        <f t="shared" si="9"/>
        <v>#DIV/0!</v>
      </c>
      <c r="AE8" s="19" t="e">
        <f t="shared" si="10"/>
        <v>#DIV/0!</v>
      </c>
      <c r="AF8" s="19" t="e">
        <f t="shared" si="11"/>
        <v>#DIV/0!</v>
      </c>
      <c r="AG8" s="19" t="e">
        <f t="shared" si="12"/>
        <v>#DIV/0!</v>
      </c>
      <c r="AH8" s="19" t="e">
        <f t="shared" si="13"/>
        <v>#DIV/0!</v>
      </c>
      <c r="AI8" s="18" t="e">
        <f t="shared" si="14"/>
        <v>#DIV/0!</v>
      </c>
      <c r="AJ8" s="19" t="e">
        <f t="shared" si="15"/>
        <v>#DIV/0!</v>
      </c>
      <c r="AK8" s="19" t="e">
        <f t="shared" si="16"/>
        <v>#DIV/0!</v>
      </c>
      <c r="AL8" s="9"/>
      <c r="AM8" s="3">
        <f t="shared" si="17"/>
        <v>1975</v>
      </c>
      <c r="AN8" s="9">
        <f t="shared" si="18"/>
        <v>0</v>
      </c>
      <c r="AO8" s="3">
        <f t="shared" si="19"/>
        <v>0</v>
      </c>
      <c r="AP8" s="3">
        <f t="shared" si="20"/>
        <v>0</v>
      </c>
      <c r="AQ8" s="3">
        <f t="shared" si="21"/>
        <v>0</v>
      </c>
      <c r="AR8" s="3">
        <f t="shared" si="22"/>
        <v>0</v>
      </c>
      <c r="AS8" s="3">
        <f t="shared" si="23"/>
        <v>0</v>
      </c>
      <c r="AT8" s="3">
        <f t="shared" si="24"/>
        <v>0</v>
      </c>
      <c r="AU8" s="3">
        <f t="shared" si="25"/>
        <v>0</v>
      </c>
      <c r="AV8" s="3">
        <f t="shared" si="26"/>
        <v>0</v>
      </c>
      <c r="AW8" s="3">
        <f t="shared" si="27"/>
        <v>0</v>
      </c>
      <c r="AX8" s="3">
        <f t="shared" si="28"/>
        <v>0</v>
      </c>
      <c r="AY8" s="3">
        <f t="shared" si="29"/>
        <v>0</v>
      </c>
      <c r="AZ8" s="3"/>
      <c r="BA8" s="3"/>
      <c r="BB8" s="3">
        <f t="shared" si="30"/>
        <v>75</v>
      </c>
      <c r="BC8" s="9">
        <v>1189</v>
      </c>
      <c r="BD8" s="3">
        <v>993</v>
      </c>
      <c r="BE8" s="3">
        <v>1122</v>
      </c>
      <c r="BF8" s="3">
        <v>1176</v>
      </c>
      <c r="BG8" s="3">
        <v>1185</v>
      </c>
      <c r="BH8" s="3">
        <v>1281</v>
      </c>
      <c r="BI8" s="3">
        <v>1196</v>
      </c>
      <c r="BJ8" s="3">
        <v>1235</v>
      </c>
      <c r="BK8" s="3">
        <v>1173</v>
      </c>
      <c r="BL8" s="3">
        <v>1228</v>
      </c>
      <c r="BM8" s="3">
        <v>1068</v>
      </c>
      <c r="BN8" s="3">
        <v>1252</v>
      </c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ht="15.75">
      <c r="A9" s="3">
        <f>'Instant Old no Delete'!A10</f>
        <v>1976</v>
      </c>
      <c r="B9" s="9"/>
      <c r="C9" s="3"/>
      <c r="D9" s="5" t="s">
        <v>143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9" t="s">
        <v>23</v>
      </c>
      <c r="Q9" s="87">
        <f t="shared" si="0"/>
        <v>0</v>
      </c>
      <c r="R9" s="88">
        <f t="shared" si="1"/>
        <v>0</v>
      </c>
      <c r="S9" s="12">
        <f t="shared" si="2"/>
        <v>0</v>
      </c>
      <c r="T9" s="13">
        <f t="shared" si="3"/>
        <v>0</v>
      </c>
      <c r="U9" s="46">
        <v>1538</v>
      </c>
      <c r="V9" s="41">
        <v>1434</v>
      </c>
      <c r="W9" s="3"/>
      <c r="X9" s="3"/>
      <c r="Y9" s="3">
        <f t="shared" si="4"/>
        <v>1976</v>
      </c>
      <c r="Z9" s="18" t="e">
        <f t="shared" si="5"/>
        <v>#DIV/0!</v>
      </c>
      <c r="AA9" s="19" t="e">
        <f t="shared" si="6"/>
        <v>#DIV/0!</v>
      </c>
      <c r="AB9" s="19" t="e">
        <f t="shared" si="7"/>
        <v>#VALUE!</v>
      </c>
      <c r="AC9" s="18" t="e">
        <f t="shared" si="8"/>
        <v>#DIV/0!</v>
      </c>
      <c r="AD9" s="19" t="e">
        <f t="shared" si="9"/>
        <v>#DIV/0!</v>
      </c>
      <c r="AE9" s="19" t="e">
        <f t="shared" si="10"/>
        <v>#DIV/0!</v>
      </c>
      <c r="AF9" s="19" t="e">
        <f t="shared" si="11"/>
        <v>#DIV/0!</v>
      </c>
      <c r="AG9" s="19" t="e">
        <f t="shared" si="12"/>
        <v>#DIV/0!</v>
      </c>
      <c r="AH9" s="19" t="e">
        <f t="shared" si="13"/>
        <v>#DIV/0!</v>
      </c>
      <c r="AI9" s="18" t="e">
        <f t="shared" si="14"/>
        <v>#DIV/0!</v>
      </c>
      <c r="AJ9" s="19" t="e">
        <f t="shared" si="15"/>
        <v>#DIV/0!</v>
      </c>
      <c r="AK9" s="19" t="e">
        <f t="shared" si="16"/>
        <v>#DIV/0!</v>
      </c>
      <c r="AL9" s="9"/>
      <c r="AM9" s="3">
        <f t="shared" si="17"/>
        <v>1976</v>
      </c>
      <c r="AN9" s="9">
        <f t="shared" si="18"/>
        <v>0</v>
      </c>
      <c r="AO9" s="3">
        <f t="shared" si="19"/>
        <v>0</v>
      </c>
      <c r="AP9" s="3" t="e">
        <f t="shared" si="20"/>
        <v>#VALUE!</v>
      </c>
      <c r="AQ9" s="3">
        <f t="shared" si="21"/>
        <v>0</v>
      </c>
      <c r="AR9" s="3">
        <f t="shared" si="22"/>
        <v>0</v>
      </c>
      <c r="AS9" s="3">
        <f t="shared" si="23"/>
        <v>0</v>
      </c>
      <c r="AT9" s="3">
        <f t="shared" si="24"/>
        <v>0</v>
      </c>
      <c r="AU9" s="3">
        <f t="shared" si="25"/>
        <v>0</v>
      </c>
      <c r="AV9" s="3">
        <f t="shared" si="26"/>
        <v>0</v>
      </c>
      <c r="AW9" s="3">
        <f t="shared" si="27"/>
        <v>0</v>
      </c>
      <c r="AX9" s="3">
        <f t="shared" si="28"/>
        <v>0</v>
      </c>
      <c r="AY9" s="3">
        <f t="shared" si="29"/>
        <v>0</v>
      </c>
      <c r="AZ9" s="3"/>
      <c r="BA9" s="3"/>
      <c r="BB9" s="3">
        <f t="shared" si="30"/>
        <v>76</v>
      </c>
      <c r="BC9" s="9">
        <v>1398</v>
      </c>
      <c r="BD9" s="3">
        <v>1169</v>
      </c>
      <c r="BE9" s="3">
        <v>957</v>
      </c>
      <c r="BF9" s="3">
        <v>970</v>
      </c>
      <c r="BG9" s="3">
        <v>1059</v>
      </c>
      <c r="BH9" s="3">
        <v>1170</v>
      </c>
      <c r="BI9" s="3">
        <v>1219</v>
      </c>
      <c r="BJ9" s="3">
        <v>1240</v>
      </c>
      <c r="BK9" s="3">
        <v>1280</v>
      </c>
      <c r="BL9" s="3">
        <v>1141</v>
      </c>
      <c r="BM9" s="3">
        <v>1371</v>
      </c>
      <c r="BN9" s="3">
        <v>1350</v>
      </c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>
      <c r="A10" s="3">
        <f>'Instant Old no Delete'!A11</f>
        <v>1977</v>
      </c>
      <c r="B10" s="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9" t="s">
        <v>24</v>
      </c>
      <c r="Q10" s="87">
        <f t="shared" si="0"/>
        <v>0</v>
      </c>
      <c r="R10" s="88">
        <f t="shared" si="1"/>
        <v>0</v>
      </c>
      <c r="S10" s="12">
        <f t="shared" si="2"/>
        <v>0</v>
      </c>
      <c r="T10" s="13">
        <f t="shared" si="3"/>
        <v>0</v>
      </c>
      <c r="U10" s="46">
        <v>1606</v>
      </c>
      <c r="V10" s="41">
        <v>1527</v>
      </c>
      <c r="W10" s="3"/>
      <c r="X10" s="3"/>
      <c r="Y10" s="3">
        <f t="shared" si="4"/>
        <v>1977</v>
      </c>
      <c r="Z10" s="18" t="e">
        <f t="shared" si="5"/>
        <v>#DIV/0!</v>
      </c>
      <c r="AA10" s="19" t="e">
        <f t="shared" si="6"/>
        <v>#DIV/0!</v>
      </c>
      <c r="AB10" s="19" t="e">
        <f t="shared" si="7"/>
        <v>#DIV/0!</v>
      </c>
      <c r="AC10" s="18" t="e">
        <f t="shared" si="8"/>
        <v>#DIV/0!</v>
      </c>
      <c r="AD10" s="19" t="e">
        <f t="shared" si="9"/>
        <v>#DIV/0!</v>
      </c>
      <c r="AE10" s="19" t="e">
        <f t="shared" si="10"/>
        <v>#DIV/0!</v>
      </c>
      <c r="AF10" s="19" t="e">
        <f t="shared" si="11"/>
        <v>#DIV/0!</v>
      </c>
      <c r="AG10" s="19" t="e">
        <f t="shared" si="12"/>
        <v>#DIV/0!</v>
      </c>
      <c r="AH10" s="19" t="e">
        <f t="shared" si="13"/>
        <v>#DIV/0!</v>
      </c>
      <c r="AI10" s="18" t="e">
        <f t="shared" si="14"/>
        <v>#DIV/0!</v>
      </c>
      <c r="AJ10" s="19" t="e">
        <f t="shared" si="15"/>
        <v>#DIV/0!</v>
      </c>
      <c r="AK10" s="19" t="e">
        <f t="shared" si="16"/>
        <v>#DIV/0!</v>
      </c>
      <c r="AL10" s="9"/>
      <c r="AM10" s="3">
        <f t="shared" si="17"/>
        <v>1977</v>
      </c>
      <c r="AN10" s="9">
        <f t="shared" si="18"/>
        <v>0</v>
      </c>
      <c r="AO10" s="3">
        <f t="shared" si="19"/>
        <v>0</v>
      </c>
      <c r="AP10" s="3" t="e">
        <f t="shared" si="20"/>
        <v>#VALUE!</v>
      </c>
      <c r="AQ10" s="3">
        <f t="shared" si="21"/>
        <v>0</v>
      </c>
      <c r="AR10" s="3">
        <f t="shared" si="22"/>
        <v>0</v>
      </c>
      <c r="AS10" s="3">
        <f t="shared" si="23"/>
        <v>0</v>
      </c>
      <c r="AT10" s="3">
        <f t="shared" si="24"/>
        <v>0</v>
      </c>
      <c r="AU10" s="3">
        <f t="shared" si="25"/>
        <v>0</v>
      </c>
      <c r="AV10" s="3">
        <f t="shared" si="26"/>
        <v>0</v>
      </c>
      <c r="AW10" s="3">
        <f t="shared" si="27"/>
        <v>0</v>
      </c>
      <c r="AX10" s="3">
        <f t="shared" si="28"/>
        <v>0</v>
      </c>
      <c r="AY10" s="3">
        <f t="shared" si="29"/>
        <v>0</v>
      </c>
      <c r="AZ10" s="3"/>
      <c r="BA10" s="3"/>
      <c r="BB10" s="3">
        <f t="shared" si="30"/>
        <v>77</v>
      </c>
      <c r="BC10" s="9">
        <v>1478</v>
      </c>
      <c r="BD10" s="3">
        <v>1352</v>
      </c>
      <c r="BE10" s="3">
        <v>1040</v>
      </c>
      <c r="BF10" s="3">
        <v>980</v>
      </c>
      <c r="BG10" s="3">
        <v>1044</v>
      </c>
      <c r="BH10" s="3">
        <v>1359</v>
      </c>
      <c r="BI10" s="3">
        <v>1306</v>
      </c>
      <c r="BJ10" s="3">
        <v>1265</v>
      </c>
      <c r="BK10" s="3">
        <v>1347</v>
      </c>
      <c r="BL10" s="3">
        <v>1170</v>
      </c>
      <c r="BM10" s="3">
        <v>1003</v>
      </c>
      <c r="BN10" s="3">
        <v>1359</v>
      </c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ht="15.75">
      <c r="A11" s="3">
        <f>'Instant Old no Delete'!A12</f>
        <v>1978</v>
      </c>
      <c r="B11" s="9"/>
      <c r="C11" s="21"/>
      <c r="D11" s="3"/>
      <c r="E11" s="3"/>
      <c r="F11" s="3"/>
      <c r="G11" s="3"/>
      <c r="H11" s="3"/>
      <c r="I11" s="22"/>
      <c r="J11" s="3"/>
      <c r="K11" s="3"/>
      <c r="L11" s="3"/>
      <c r="M11" s="3"/>
      <c r="N11" s="3"/>
      <c r="O11" s="3"/>
      <c r="P11" s="9" t="s">
        <v>25</v>
      </c>
      <c r="Q11" s="87">
        <f t="shared" si="0"/>
        <v>0</v>
      </c>
      <c r="R11" s="88">
        <f t="shared" si="1"/>
        <v>0</v>
      </c>
      <c r="S11" s="12">
        <f t="shared" si="2"/>
        <v>0</v>
      </c>
      <c r="T11" s="13">
        <f t="shared" si="3"/>
        <v>0</v>
      </c>
      <c r="U11" s="46">
        <v>1685</v>
      </c>
      <c r="V11" s="41">
        <v>1611</v>
      </c>
      <c r="W11" s="3"/>
      <c r="X11" s="3"/>
      <c r="Y11" s="3">
        <f t="shared" si="4"/>
        <v>1978</v>
      </c>
      <c r="Z11" s="18" t="e">
        <f t="shared" si="5"/>
        <v>#DIV/0!</v>
      </c>
      <c r="AA11" s="19" t="e">
        <f t="shared" si="6"/>
        <v>#DIV/0!</v>
      </c>
      <c r="AB11" s="19" t="e">
        <f t="shared" si="7"/>
        <v>#DIV/0!</v>
      </c>
      <c r="AC11" s="18" t="e">
        <f t="shared" si="8"/>
        <v>#DIV/0!</v>
      </c>
      <c r="AD11" s="19" t="e">
        <f t="shared" si="9"/>
        <v>#DIV/0!</v>
      </c>
      <c r="AE11" s="19" t="e">
        <f t="shared" si="10"/>
        <v>#DIV/0!</v>
      </c>
      <c r="AF11" s="19" t="e">
        <f t="shared" si="11"/>
        <v>#DIV/0!</v>
      </c>
      <c r="AG11" s="19" t="e">
        <f t="shared" si="12"/>
        <v>#DIV/0!</v>
      </c>
      <c r="AH11" s="19" t="e">
        <f t="shared" si="13"/>
        <v>#DIV/0!</v>
      </c>
      <c r="AI11" s="18" t="e">
        <f t="shared" si="14"/>
        <v>#DIV/0!</v>
      </c>
      <c r="AJ11" s="19" t="e">
        <f t="shared" si="15"/>
        <v>#DIV/0!</v>
      </c>
      <c r="AK11" s="19" t="e">
        <f t="shared" si="16"/>
        <v>#DIV/0!</v>
      </c>
      <c r="AL11" s="9"/>
      <c r="AM11" s="3">
        <f t="shared" si="17"/>
        <v>1978</v>
      </c>
      <c r="AN11" s="9">
        <f t="shared" si="18"/>
        <v>0</v>
      </c>
      <c r="AO11" s="3">
        <f t="shared" si="19"/>
        <v>0</v>
      </c>
      <c r="AP11" s="3">
        <f t="shared" si="20"/>
        <v>0</v>
      </c>
      <c r="AQ11" s="3">
        <f t="shared" si="21"/>
        <v>0</v>
      </c>
      <c r="AR11" s="3">
        <f t="shared" si="22"/>
        <v>0</v>
      </c>
      <c r="AS11" s="3">
        <f t="shared" si="23"/>
        <v>0</v>
      </c>
      <c r="AT11" s="3">
        <f t="shared" si="24"/>
        <v>0</v>
      </c>
      <c r="AU11" s="3">
        <f t="shared" si="25"/>
        <v>0</v>
      </c>
      <c r="AV11" s="3">
        <f t="shared" si="26"/>
        <v>0</v>
      </c>
      <c r="AW11" s="3">
        <f t="shared" si="27"/>
        <v>0</v>
      </c>
      <c r="AX11" s="3">
        <f t="shared" si="28"/>
        <v>0</v>
      </c>
      <c r="AY11" s="3">
        <f t="shared" si="29"/>
        <v>0</v>
      </c>
      <c r="AZ11" s="3"/>
      <c r="BA11" s="3"/>
      <c r="BB11" s="3">
        <f t="shared" si="30"/>
        <v>78</v>
      </c>
      <c r="BC11" s="9">
        <v>1522</v>
      </c>
      <c r="BD11" s="21">
        <v>1546</v>
      </c>
      <c r="BE11" s="3">
        <v>1237</v>
      </c>
      <c r="BF11" s="3">
        <v>1090</v>
      </c>
      <c r="BG11" s="3">
        <v>1362</v>
      </c>
      <c r="BH11" s="3">
        <v>1409</v>
      </c>
      <c r="BI11" s="3">
        <v>1333</v>
      </c>
      <c r="BJ11" s="22">
        <v>1416</v>
      </c>
      <c r="BK11" s="3">
        <v>1337</v>
      </c>
      <c r="BL11" s="3">
        <v>1235</v>
      </c>
      <c r="BM11" s="3">
        <v>1104</v>
      </c>
      <c r="BN11" s="3">
        <v>1253</v>
      </c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ht="15.75">
      <c r="A12" s="3">
        <f>'Instant Old no Delete'!A13</f>
        <v>1979</v>
      </c>
      <c r="B12" s="27"/>
      <c r="C12" s="3"/>
      <c r="D12" s="3"/>
      <c r="E12" s="3"/>
      <c r="F12" s="3"/>
      <c r="G12" s="3"/>
      <c r="H12" s="22"/>
      <c r="I12" s="3"/>
      <c r="J12" s="3"/>
      <c r="K12" s="3"/>
      <c r="L12" s="3"/>
      <c r="M12" s="3"/>
      <c r="N12" s="3"/>
      <c r="O12" s="3"/>
      <c r="P12" s="9" t="s">
        <v>26</v>
      </c>
      <c r="Q12" s="87">
        <f t="shared" si="0"/>
        <v>0</v>
      </c>
      <c r="R12" s="88">
        <f t="shared" si="1"/>
        <v>0</v>
      </c>
      <c r="S12" s="12">
        <f t="shared" si="2"/>
        <v>0</v>
      </c>
      <c r="T12" s="13">
        <f t="shared" si="3"/>
        <v>0</v>
      </c>
      <c r="U12" s="46">
        <v>1813</v>
      </c>
      <c r="V12" s="41">
        <v>1623</v>
      </c>
      <c r="W12" s="3"/>
      <c r="X12" s="3"/>
      <c r="Y12" s="3">
        <f t="shared" si="4"/>
        <v>1979</v>
      </c>
      <c r="Z12" s="18" t="e">
        <f t="shared" si="5"/>
        <v>#DIV/0!</v>
      </c>
      <c r="AA12" s="19" t="e">
        <f t="shared" si="6"/>
        <v>#DIV/0!</v>
      </c>
      <c r="AB12" s="19" t="e">
        <f t="shared" si="7"/>
        <v>#DIV/0!</v>
      </c>
      <c r="AC12" s="18" t="e">
        <f t="shared" si="8"/>
        <v>#DIV/0!</v>
      </c>
      <c r="AD12" s="19" t="e">
        <f t="shared" si="9"/>
        <v>#DIV/0!</v>
      </c>
      <c r="AE12" s="19" t="e">
        <f t="shared" si="10"/>
        <v>#DIV/0!</v>
      </c>
      <c r="AF12" s="19" t="e">
        <f t="shared" si="11"/>
        <v>#DIV/0!</v>
      </c>
      <c r="AG12" s="19" t="e">
        <f t="shared" si="12"/>
        <v>#DIV/0!</v>
      </c>
      <c r="AH12" s="19" t="e">
        <f t="shared" si="13"/>
        <v>#DIV/0!</v>
      </c>
      <c r="AI12" s="18">
        <f t="shared" si="14"/>
        <v>0</v>
      </c>
      <c r="AJ12" s="19">
        <f t="shared" si="15"/>
        <v>0</v>
      </c>
      <c r="AK12" s="19">
        <f t="shared" si="16"/>
        <v>0</v>
      </c>
      <c r="AL12" s="9"/>
      <c r="AM12" s="3">
        <f t="shared" si="17"/>
        <v>1979</v>
      </c>
      <c r="AN12" s="9">
        <f t="shared" si="18"/>
        <v>0</v>
      </c>
      <c r="AO12" s="3">
        <f t="shared" si="19"/>
        <v>0</v>
      </c>
      <c r="AP12" s="3">
        <f t="shared" si="20"/>
        <v>0</v>
      </c>
      <c r="AQ12" s="3">
        <f t="shared" si="21"/>
        <v>0</v>
      </c>
      <c r="AR12" s="3">
        <f t="shared" si="22"/>
        <v>0</v>
      </c>
      <c r="AS12" s="3">
        <f t="shared" si="23"/>
        <v>0</v>
      </c>
      <c r="AT12" s="3">
        <f t="shared" si="24"/>
        <v>0</v>
      </c>
      <c r="AU12" s="3">
        <f t="shared" si="25"/>
        <v>0</v>
      </c>
      <c r="AV12" s="3">
        <f t="shared" si="26"/>
        <v>0</v>
      </c>
      <c r="AW12" s="3">
        <f t="shared" si="27"/>
        <v>0</v>
      </c>
      <c r="AX12" s="3">
        <f t="shared" si="28"/>
        <v>0</v>
      </c>
      <c r="AY12" s="3">
        <f t="shared" si="29"/>
        <v>0</v>
      </c>
      <c r="AZ12" s="3"/>
      <c r="BA12" s="3"/>
      <c r="BB12" s="3">
        <f t="shared" si="30"/>
        <v>79</v>
      </c>
      <c r="BC12" s="27">
        <v>1649</v>
      </c>
      <c r="BD12" s="3">
        <v>1530</v>
      </c>
      <c r="BE12" s="3">
        <v>1120</v>
      </c>
      <c r="BF12" s="3">
        <v>1170</v>
      </c>
      <c r="BG12" s="3">
        <v>1252</v>
      </c>
      <c r="BH12" s="3">
        <v>1413</v>
      </c>
      <c r="BI12" s="22">
        <v>1449</v>
      </c>
      <c r="BJ12" s="3">
        <v>1392</v>
      </c>
      <c r="BK12" s="3">
        <v>1446</v>
      </c>
      <c r="BL12" s="3">
        <v>1326</v>
      </c>
      <c r="BM12" s="3">
        <v>1298</v>
      </c>
      <c r="BN12" s="3">
        <v>1242</v>
      </c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pans="1:254" ht="15.75">
      <c r="A13" s="3">
        <f>'Instant Old no Delete'!A14</f>
        <v>1980</v>
      </c>
      <c r="B13" s="6">
        <v>1654</v>
      </c>
      <c r="C13" s="14">
        <v>1729</v>
      </c>
      <c r="D13" s="24">
        <v>1909</v>
      </c>
      <c r="E13" s="14">
        <v>1273</v>
      </c>
      <c r="F13" s="14">
        <v>1566</v>
      </c>
      <c r="G13" s="14">
        <v>1567</v>
      </c>
      <c r="H13" s="23">
        <v>1742</v>
      </c>
      <c r="I13" s="14">
        <v>1722</v>
      </c>
      <c r="J13" s="14">
        <v>1639</v>
      </c>
      <c r="K13" s="14">
        <v>1428</v>
      </c>
      <c r="L13" s="14">
        <v>1282</v>
      </c>
      <c r="M13" s="14">
        <v>1606</v>
      </c>
      <c r="N13" s="3"/>
      <c r="O13" s="3"/>
      <c r="P13" s="9" t="s">
        <v>27</v>
      </c>
      <c r="Q13" s="87">
        <f t="shared" si="0"/>
        <v>1909</v>
      </c>
      <c r="R13" s="90">
        <f t="shared" si="1"/>
        <v>1742</v>
      </c>
      <c r="S13" s="12">
        <f t="shared" si="2"/>
        <v>0</v>
      </c>
      <c r="T13" s="13">
        <f t="shared" si="3"/>
        <v>1909</v>
      </c>
      <c r="U13" s="91">
        <v>1724</v>
      </c>
      <c r="V13" s="41">
        <v>1722</v>
      </c>
      <c r="W13" s="3"/>
      <c r="X13" s="3"/>
      <c r="Y13" s="3">
        <f t="shared" si="4"/>
        <v>1980</v>
      </c>
      <c r="Z13" s="18">
        <f t="shared" si="5"/>
        <v>0.8664222105814563</v>
      </c>
      <c r="AA13" s="19">
        <f t="shared" si="6"/>
        <v>0.90570979570455734</v>
      </c>
      <c r="AB13" s="19">
        <f t="shared" si="7"/>
        <v>1</v>
      </c>
      <c r="AC13" s="18">
        <f t="shared" si="8"/>
        <v>0.73076923076923073</v>
      </c>
      <c r="AD13" s="19">
        <f t="shared" si="9"/>
        <v>0.89896670493685416</v>
      </c>
      <c r="AE13" s="19">
        <f t="shared" si="10"/>
        <v>0.89954075774971298</v>
      </c>
      <c r="AF13" s="19">
        <f t="shared" si="11"/>
        <v>1</v>
      </c>
      <c r="AG13" s="19">
        <f t="shared" si="12"/>
        <v>0.98851894374282434</v>
      </c>
      <c r="AH13" s="19">
        <f t="shared" si="13"/>
        <v>0.94087256027554533</v>
      </c>
      <c r="AI13" s="18">
        <f t="shared" si="14"/>
        <v>0.65655172413793106</v>
      </c>
      <c r="AJ13" s="19">
        <f t="shared" si="15"/>
        <v>0.58942528735632183</v>
      </c>
      <c r="AK13" s="19">
        <f t="shared" si="16"/>
        <v>0.73839080459770112</v>
      </c>
      <c r="AL13" s="9"/>
      <c r="AM13" s="3">
        <f t="shared" si="17"/>
        <v>1980</v>
      </c>
      <c r="AN13" s="9">
        <f t="shared" si="18"/>
        <v>1654</v>
      </c>
      <c r="AO13" s="3">
        <f t="shared" si="19"/>
        <v>1729</v>
      </c>
      <c r="AP13" s="3">
        <f t="shared" si="20"/>
        <v>1909</v>
      </c>
      <c r="AQ13" s="3">
        <f t="shared" si="21"/>
        <v>1273</v>
      </c>
      <c r="AR13" s="3">
        <f t="shared" si="22"/>
        <v>1566</v>
      </c>
      <c r="AS13" s="3">
        <f t="shared" si="23"/>
        <v>1567</v>
      </c>
      <c r="AT13" s="3">
        <f t="shared" si="24"/>
        <v>1742</v>
      </c>
      <c r="AU13" s="3">
        <f t="shared" si="25"/>
        <v>1722</v>
      </c>
      <c r="AV13" s="3">
        <f t="shared" si="26"/>
        <v>1639</v>
      </c>
      <c r="AW13" s="3">
        <f t="shared" si="27"/>
        <v>1428</v>
      </c>
      <c r="AX13" s="3">
        <f t="shared" si="28"/>
        <v>1282</v>
      </c>
      <c r="AY13" s="3">
        <f t="shared" si="29"/>
        <v>1606</v>
      </c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pans="1:254" ht="15.75">
      <c r="A14" s="3">
        <f>'Instant Old no Delete'!A15</f>
        <v>1981</v>
      </c>
      <c r="B14" s="27">
        <v>2175</v>
      </c>
      <c r="C14" s="3">
        <v>1873</v>
      </c>
      <c r="D14" s="3">
        <v>1314</v>
      </c>
      <c r="E14" s="3">
        <v>1382</v>
      </c>
      <c r="F14" s="3">
        <v>1591</v>
      </c>
      <c r="G14" s="22">
        <v>1868</v>
      </c>
      <c r="H14" s="3">
        <v>1777</v>
      </c>
      <c r="I14" s="3">
        <v>1675</v>
      </c>
      <c r="J14" s="3">
        <v>1693</v>
      </c>
      <c r="K14" s="3">
        <v>1493</v>
      </c>
      <c r="L14" s="3">
        <v>1524</v>
      </c>
      <c r="M14" s="3">
        <v>1836</v>
      </c>
      <c r="N14" s="3"/>
      <c r="O14" s="3"/>
      <c r="P14" s="9" t="s">
        <v>28</v>
      </c>
      <c r="Q14" s="26">
        <f t="shared" si="0"/>
        <v>2175</v>
      </c>
      <c r="R14" s="90">
        <f t="shared" si="1"/>
        <v>1868</v>
      </c>
      <c r="S14" s="12">
        <f t="shared" si="2"/>
        <v>1606</v>
      </c>
      <c r="T14" s="13">
        <f t="shared" si="3"/>
        <v>2175</v>
      </c>
      <c r="U14" s="46"/>
      <c r="V14" s="92">
        <v>1833</v>
      </c>
      <c r="W14" s="3"/>
      <c r="X14" s="3"/>
      <c r="Y14" s="3">
        <f t="shared" si="4"/>
        <v>1981</v>
      </c>
      <c r="Z14" s="18">
        <f t="shared" si="5"/>
        <v>1</v>
      </c>
      <c r="AA14" s="19">
        <f t="shared" si="6"/>
        <v>0.86114942528735627</v>
      </c>
      <c r="AB14" s="19">
        <f t="shared" si="7"/>
        <v>0.60413793103448277</v>
      </c>
      <c r="AC14" s="18">
        <f t="shared" si="8"/>
        <v>0.73982869379014993</v>
      </c>
      <c r="AD14" s="19">
        <f t="shared" si="9"/>
        <v>0.85171306209850106</v>
      </c>
      <c r="AE14" s="19">
        <f t="shared" si="10"/>
        <v>1</v>
      </c>
      <c r="AF14" s="19">
        <f t="shared" si="11"/>
        <v>0.95128479657387577</v>
      </c>
      <c r="AG14" s="19">
        <f t="shared" si="12"/>
        <v>0.89668094218415417</v>
      </c>
      <c r="AH14" s="19">
        <f t="shared" si="13"/>
        <v>0.90631691648822266</v>
      </c>
      <c r="AI14" s="18">
        <f t="shared" si="14"/>
        <v>0.70093896713615023</v>
      </c>
      <c r="AJ14" s="19">
        <f t="shared" si="15"/>
        <v>0.71549295774647892</v>
      </c>
      <c r="AK14" s="19">
        <f t="shared" si="16"/>
        <v>0.86197183098591545</v>
      </c>
      <c r="AL14" s="9"/>
      <c r="AM14" s="3">
        <f t="shared" si="17"/>
        <v>1981</v>
      </c>
      <c r="AN14" s="9">
        <f t="shared" si="18"/>
        <v>521</v>
      </c>
      <c r="AO14" s="3">
        <f t="shared" si="19"/>
        <v>144</v>
      </c>
      <c r="AP14" s="3">
        <f t="shared" si="20"/>
        <v>-595</v>
      </c>
      <c r="AQ14" s="3">
        <f t="shared" si="21"/>
        <v>109</v>
      </c>
      <c r="AR14" s="3">
        <f t="shared" si="22"/>
        <v>25</v>
      </c>
      <c r="AS14" s="3">
        <f t="shared" si="23"/>
        <v>301</v>
      </c>
      <c r="AT14" s="3">
        <f t="shared" si="24"/>
        <v>35</v>
      </c>
      <c r="AU14" s="3">
        <f t="shared" si="25"/>
        <v>-47</v>
      </c>
      <c r="AV14" s="3">
        <f t="shared" si="26"/>
        <v>54</v>
      </c>
      <c r="AW14" s="3">
        <f t="shared" si="27"/>
        <v>65</v>
      </c>
      <c r="AX14" s="3">
        <f t="shared" si="28"/>
        <v>242</v>
      </c>
      <c r="AY14" s="3">
        <f t="shared" si="29"/>
        <v>230</v>
      </c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ht="15.75">
      <c r="A15" s="3">
        <f>'Instant Old no Delete'!A16</f>
        <v>1982</v>
      </c>
      <c r="B15" s="27">
        <v>2130</v>
      </c>
      <c r="C15" s="3">
        <v>1260</v>
      </c>
      <c r="D15" s="3">
        <v>1440</v>
      </c>
      <c r="E15" s="3">
        <v>1466</v>
      </c>
      <c r="F15" s="3">
        <v>1536</v>
      </c>
      <c r="G15" s="3">
        <v>1705</v>
      </c>
      <c r="H15" s="3">
        <v>1635</v>
      </c>
      <c r="I15" s="3">
        <v>1716</v>
      </c>
      <c r="J15" s="22">
        <v>1758</v>
      </c>
      <c r="K15" s="3">
        <v>1556</v>
      </c>
      <c r="L15" s="3">
        <v>1354</v>
      </c>
      <c r="M15" s="3">
        <v>1522</v>
      </c>
      <c r="N15" s="3"/>
      <c r="O15" s="3"/>
      <c r="P15" s="9" t="s">
        <v>29</v>
      </c>
      <c r="Q15" s="26">
        <f t="shared" si="0"/>
        <v>2130</v>
      </c>
      <c r="R15" s="89">
        <f t="shared" si="1"/>
        <v>1758</v>
      </c>
      <c r="S15" s="12">
        <f t="shared" si="2"/>
        <v>1836</v>
      </c>
      <c r="T15" s="13">
        <f t="shared" si="3"/>
        <v>2130</v>
      </c>
      <c r="U15" s="46"/>
      <c r="V15" s="41"/>
      <c r="W15" s="3"/>
      <c r="X15" s="3"/>
      <c r="Y15" s="3">
        <f t="shared" si="4"/>
        <v>1982</v>
      </c>
      <c r="Z15" s="18">
        <f t="shared" si="5"/>
        <v>1</v>
      </c>
      <c r="AA15" s="19">
        <f t="shared" si="6"/>
        <v>0.59154929577464788</v>
      </c>
      <c r="AB15" s="19">
        <f t="shared" si="7"/>
        <v>0.676056338028169</v>
      </c>
      <c r="AC15" s="18">
        <f t="shared" si="8"/>
        <v>0.83390216154721275</v>
      </c>
      <c r="AD15" s="19">
        <f t="shared" si="9"/>
        <v>0.87372013651877134</v>
      </c>
      <c r="AE15" s="19">
        <f t="shared" si="10"/>
        <v>0.96985210466439131</v>
      </c>
      <c r="AF15" s="19">
        <f t="shared" si="11"/>
        <v>0.93003412969283272</v>
      </c>
      <c r="AG15" s="19">
        <f t="shared" si="12"/>
        <v>0.97610921501706482</v>
      </c>
      <c r="AH15" s="19">
        <f t="shared" si="13"/>
        <v>1</v>
      </c>
      <c r="AI15" s="18">
        <f t="shared" si="14"/>
        <v>0.82458929517753043</v>
      </c>
      <c r="AJ15" s="19">
        <f t="shared" si="15"/>
        <v>0.71754107048224691</v>
      </c>
      <c r="AK15" s="19">
        <f t="shared" si="16"/>
        <v>0.80657127715951249</v>
      </c>
      <c r="AL15" s="9"/>
      <c r="AM15" s="3">
        <f t="shared" si="17"/>
        <v>1982</v>
      </c>
      <c r="AN15" s="9">
        <f t="shared" si="18"/>
        <v>-45</v>
      </c>
      <c r="AO15" s="3">
        <f t="shared" si="19"/>
        <v>-613</v>
      </c>
      <c r="AP15" s="3">
        <f t="shared" si="20"/>
        <v>126</v>
      </c>
      <c r="AQ15" s="3">
        <f t="shared" si="21"/>
        <v>84</v>
      </c>
      <c r="AR15" s="3">
        <f t="shared" si="22"/>
        <v>-55</v>
      </c>
      <c r="AS15" s="3">
        <f t="shared" si="23"/>
        <v>-163</v>
      </c>
      <c r="AT15" s="3">
        <f t="shared" si="24"/>
        <v>-142</v>
      </c>
      <c r="AU15" s="3">
        <f t="shared" si="25"/>
        <v>41</v>
      </c>
      <c r="AV15" s="3">
        <f t="shared" si="26"/>
        <v>65</v>
      </c>
      <c r="AW15" s="3">
        <f t="shared" si="27"/>
        <v>63</v>
      </c>
      <c r="AX15" s="3">
        <f t="shared" si="28"/>
        <v>-170</v>
      </c>
      <c r="AY15" s="3">
        <f t="shared" si="29"/>
        <v>-314</v>
      </c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ht="15.75">
      <c r="A16" s="3">
        <f>'Instant Old no Delete'!A17</f>
        <v>1983</v>
      </c>
      <c r="B16" s="27">
        <v>1887</v>
      </c>
      <c r="C16" s="3">
        <v>1812</v>
      </c>
      <c r="D16" s="3">
        <v>1571</v>
      </c>
      <c r="E16" s="3">
        <v>1387</v>
      </c>
      <c r="F16" s="3">
        <v>1584</v>
      </c>
      <c r="G16" s="3">
        <v>1682</v>
      </c>
      <c r="H16" s="3">
        <v>1851</v>
      </c>
      <c r="I16" s="3">
        <v>1833</v>
      </c>
      <c r="J16" s="22">
        <v>1856</v>
      </c>
      <c r="K16" s="3">
        <v>1605</v>
      </c>
      <c r="L16" s="3">
        <v>1511</v>
      </c>
      <c r="M16" s="21">
        <v>2067</v>
      </c>
      <c r="N16" s="104">
        <v>1984</v>
      </c>
      <c r="O16" s="21"/>
      <c r="P16" s="9" t="s">
        <v>30</v>
      </c>
      <c r="Q16" s="26">
        <f t="shared" si="0"/>
        <v>1887</v>
      </c>
      <c r="R16" s="89">
        <f t="shared" si="1"/>
        <v>1856</v>
      </c>
      <c r="S16" s="12">
        <f t="shared" si="2"/>
        <v>1522</v>
      </c>
      <c r="T16" s="13">
        <f t="shared" si="3"/>
        <v>1887</v>
      </c>
      <c r="U16" s="46"/>
      <c r="V16" s="41"/>
      <c r="W16" s="3"/>
      <c r="X16" s="3"/>
      <c r="Y16" s="3">
        <f t="shared" si="4"/>
        <v>1983</v>
      </c>
      <c r="Z16" s="18">
        <f t="shared" si="5"/>
        <v>1</v>
      </c>
      <c r="AA16" s="19">
        <f t="shared" si="6"/>
        <v>0.96025437201907793</v>
      </c>
      <c r="AB16" s="19">
        <f t="shared" si="7"/>
        <v>0.83253842077371487</v>
      </c>
      <c r="AC16" s="18">
        <f t="shared" si="8"/>
        <v>0.74730603448275867</v>
      </c>
      <c r="AD16" s="19">
        <f t="shared" si="9"/>
        <v>0.85344827586206895</v>
      </c>
      <c r="AE16" s="19">
        <f t="shared" si="10"/>
        <v>0.90625</v>
      </c>
      <c r="AF16" s="19">
        <f t="shared" si="11"/>
        <v>0.99730603448275867</v>
      </c>
      <c r="AG16" s="19">
        <f t="shared" si="12"/>
        <v>0.98760775862068961</v>
      </c>
      <c r="AH16" s="19">
        <f t="shared" si="13"/>
        <v>1</v>
      </c>
      <c r="AI16" s="18">
        <f t="shared" si="14"/>
        <v>0.77648766328011609</v>
      </c>
      <c r="AJ16" s="19">
        <f t="shared" si="15"/>
        <v>0.73101112723754236</v>
      </c>
      <c r="AK16" s="19">
        <f t="shared" si="16"/>
        <v>1</v>
      </c>
      <c r="AL16" s="9"/>
      <c r="AM16" s="3">
        <f t="shared" si="17"/>
        <v>1983</v>
      </c>
      <c r="AN16" s="9">
        <f t="shared" si="18"/>
        <v>-243</v>
      </c>
      <c r="AO16" s="3">
        <f t="shared" si="19"/>
        <v>552</v>
      </c>
      <c r="AP16" s="3">
        <f t="shared" si="20"/>
        <v>131</v>
      </c>
      <c r="AQ16" s="3">
        <f t="shared" si="21"/>
        <v>-79</v>
      </c>
      <c r="AR16" s="3">
        <f t="shared" si="22"/>
        <v>48</v>
      </c>
      <c r="AS16" s="3">
        <f t="shared" si="23"/>
        <v>-23</v>
      </c>
      <c r="AT16" s="3">
        <f t="shared" si="24"/>
        <v>216</v>
      </c>
      <c r="AU16" s="3">
        <f t="shared" si="25"/>
        <v>117</v>
      </c>
      <c r="AV16" s="3">
        <f t="shared" si="26"/>
        <v>98</v>
      </c>
      <c r="AW16" s="3">
        <f t="shared" si="27"/>
        <v>49</v>
      </c>
      <c r="AX16" s="3">
        <f t="shared" si="28"/>
        <v>157</v>
      </c>
      <c r="AY16" s="3">
        <f t="shared" si="29"/>
        <v>545</v>
      </c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ht="15.75">
      <c r="A17" s="3">
        <f>'Instant Old no Delete'!A18</f>
        <v>1984</v>
      </c>
      <c r="B17" s="9">
        <v>1907</v>
      </c>
      <c r="C17" s="3">
        <v>1997</v>
      </c>
      <c r="D17" s="3">
        <v>1856</v>
      </c>
      <c r="E17" s="3">
        <v>1497</v>
      </c>
      <c r="F17" s="3">
        <v>1799</v>
      </c>
      <c r="G17" s="3">
        <v>1807</v>
      </c>
      <c r="H17" s="3">
        <v>1850</v>
      </c>
      <c r="I17" s="3">
        <f>1854+11</f>
        <v>1865</v>
      </c>
      <c r="J17" s="22">
        <v>1855</v>
      </c>
      <c r="K17" s="3">
        <v>1683</v>
      </c>
      <c r="L17" s="3">
        <v>1602</v>
      </c>
      <c r="M17" s="3">
        <v>1817</v>
      </c>
      <c r="N17" s="3"/>
      <c r="O17" s="105" t="s">
        <v>146</v>
      </c>
      <c r="P17" s="9" t="s">
        <v>31</v>
      </c>
      <c r="Q17" s="93">
        <f t="shared" si="0"/>
        <v>2067</v>
      </c>
      <c r="R17" s="89">
        <f t="shared" si="1"/>
        <v>1865</v>
      </c>
      <c r="S17" s="12">
        <f t="shared" si="2"/>
        <v>2067</v>
      </c>
      <c r="T17" s="13">
        <f t="shared" si="3"/>
        <v>1997</v>
      </c>
      <c r="U17" s="46"/>
      <c r="V17" s="41"/>
      <c r="W17" s="3"/>
      <c r="X17" s="3"/>
      <c r="Y17" s="3">
        <f t="shared" si="4"/>
        <v>1984</v>
      </c>
      <c r="Z17" s="18">
        <f t="shared" si="5"/>
        <v>0.92259313014029998</v>
      </c>
      <c r="AA17" s="19">
        <f t="shared" si="6"/>
        <v>0.96613449443638122</v>
      </c>
      <c r="AB17" s="19">
        <f t="shared" si="7"/>
        <v>0.89791969037252051</v>
      </c>
      <c r="AC17" s="18">
        <f t="shared" si="8"/>
        <v>0.80268096514745313</v>
      </c>
      <c r="AD17" s="19">
        <f t="shared" si="9"/>
        <v>0.9646112600536193</v>
      </c>
      <c r="AE17" s="19">
        <f t="shared" si="10"/>
        <v>0.96890080428954428</v>
      </c>
      <c r="AF17" s="19">
        <f t="shared" si="11"/>
        <v>0.99195710455764075</v>
      </c>
      <c r="AG17" s="19">
        <f t="shared" si="12"/>
        <v>1</v>
      </c>
      <c r="AH17" s="19">
        <f t="shared" si="13"/>
        <v>0.99463806970509383</v>
      </c>
      <c r="AI17" s="18">
        <f t="shared" si="14"/>
        <v>0.665743670886076</v>
      </c>
      <c r="AJ17" s="19">
        <f t="shared" si="15"/>
        <v>0.63370253164556967</v>
      </c>
      <c r="AK17" s="19">
        <f t="shared" si="16"/>
        <v>0.71875</v>
      </c>
      <c r="AL17" s="9"/>
      <c r="AM17" s="3">
        <f t="shared" si="17"/>
        <v>1984</v>
      </c>
      <c r="AN17" s="9">
        <f t="shared" si="18"/>
        <v>20</v>
      </c>
      <c r="AO17" s="3">
        <f t="shared" si="19"/>
        <v>185</v>
      </c>
      <c r="AP17" s="3">
        <f t="shared" si="20"/>
        <v>285</v>
      </c>
      <c r="AQ17" s="3">
        <f t="shared" si="21"/>
        <v>110</v>
      </c>
      <c r="AR17" s="3">
        <f t="shared" si="22"/>
        <v>215</v>
      </c>
      <c r="AS17" s="3">
        <f t="shared" si="23"/>
        <v>125</v>
      </c>
      <c r="AT17" s="3">
        <f t="shared" si="24"/>
        <v>-1</v>
      </c>
      <c r="AU17" s="3">
        <f t="shared" si="25"/>
        <v>32</v>
      </c>
      <c r="AV17" s="3">
        <f t="shared" si="26"/>
        <v>-1</v>
      </c>
      <c r="AW17" s="3">
        <f t="shared" si="27"/>
        <v>78</v>
      </c>
      <c r="AX17" s="3">
        <f t="shared" si="28"/>
        <v>91</v>
      </c>
      <c r="AY17" s="3">
        <f t="shared" si="29"/>
        <v>-250</v>
      </c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 ht="15.75">
      <c r="A18" s="3">
        <f>'Instant Old no Delete'!A19</f>
        <v>1985</v>
      </c>
      <c r="B18" s="27">
        <v>2528</v>
      </c>
      <c r="C18" s="3">
        <v>1956</v>
      </c>
      <c r="D18" s="3">
        <v>1520</v>
      </c>
      <c r="E18" s="3">
        <v>1508</v>
      </c>
      <c r="F18" s="3">
        <v>1891</v>
      </c>
      <c r="G18" s="22">
        <v>2089</v>
      </c>
      <c r="H18" s="3">
        <v>1916</v>
      </c>
      <c r="I18" s="3">
        <v>1941</v>
      </c>
      <c r="J18" s="3">
        <v>1943</v>
      </c>
      <c r="K18" s="3">
        <v>1810</v>
      </c>
      <c r="L18" s="3">
        <v>1532</v>
      </c>
      <c r="M18" s="3">
        <v>2119</v>
      </c>
      <c r="N18" s="3"/>
      <c r="O18" s="3"/>
      <c r="P18" s="9" t="s">
        <v>32</v>
      </c>
      <c r="Q18" s="26">
        <f t="shared" si="0"/>
        <v>2528</v>
      </c>
      <c r="R18" s="89">
        <f t="shared" si="1"/>
        <v>2089</v>
      </c>
      <c r="S18" s="12">
        <f t="shared" si="2"/>
        <v>1817</v>
      </c>
      <c r="T18" s="13">
        <f t="shared" si="3"/>
        <v>2528</v>
      </c>
      <c r="U18" s="46"/>
      <c r="V18" s="92"/>
      <c r="W18" s="3"/>
      <c r="X18" s="3"/>
      <c r="Y18" s="3">
        <f t="shared" si="4"/>
        <v>1985</v>
      </c>
      <c r="Z18" s="18">
        <f t="shared" si="5"/>
        <v>1</v>
      </c>
      <c r="AA18" s="19">
        <f t="shared" si="6"/>
        <v>0.77373417721518989</v>
      </c>
      <c r="AB18" s="19">
        <f t="shared" si="7"/>
        <v>0.60126582278481011</v>
      </c>
      <c r="AC18" s="18">
        <f t="shared" si="8"/>
        <v>0.72187649593106751</v>
      </c>
      <c r="AD18" s="19">
        <f t="shared" si="9"/>
        <v>0.90521780756342751</v>
      </c>
      <c r="AE18" s="19">
        <f t="shared" si="10"/>
        <v>1</v>
      </c>
      <c r="AF18" s="19">
        <f t="shared" si="11"/>
        <v>0.91718525610339874</v>
      </c>
      <c r="AG18" s="19">
        <f t="shared" si="12"/>
        <v>0.92915270464337008</v>
      </c>
      <c r="AH18" s="19">
        <f t="shared" si="13"/>
        <v>0.93011010052656773</v>
      </c>
      <c r="AI18" s="18">
        <f t="shared" si="14"/>
        <v>0.76759966072943175</v>
      </c>
      <c r="AJ18" s="19">
        <f t="shared" si="15"/>
        <v>0.64970313825275661</v>
      </c>
      <c r="AK18" s="19">
        <f t="shared" si="16"/>
        <v>0.8986429177268872</v>
      </c>
      <c r="AL18" s="9"/>
      <c r="AM18" s="3">
        <f t="shared" si="17"/>
        <v>1985</v>
      </c>
      <c r="AN18" s="9">
        <f t="shared" si="18"/>
        <v>621</v>
      </c>
      <c r="AO18" s="3">
        <f t="shared" si="19"/>
        <v>-41</v>
      </c>
      <c r="AP18" s="3">
        <f t="shared" si="20"/>
        <v>-336</v>
      </c>
      <c r="AQ18" s="3">
        <f t="shared" si="21"/>
        <v>11</v>
      </c>
      <c r="AR18" s="3">
        <f t="shared" si="22"/>
        <v>92</v>
      </c>
      <c r="AS18" s="3">
        <f t="shared" si="23"/>
        <v>282</v>
      </c>
      <c r="AT18" s="3">
        <f t="shared" si="24"/>
        <v>66</v>
      </c>
      <c r="AU18" s="3">
        <f t="shared" si="25"/>
        <v>76</v>
      </c>
      <c r="AV18" s="3">
        <f t="shared" si="26"/>
        <v>88</v>
      </c>
      <c r="AW18" s="3">
        <f t="shared" si="27"/>
        <v>127</v>
      </c>
      <c r="AX18" s="3">
        <f t="shared" si="28"/>
        <v>-70</v>
      </c>
      <c r="AY18" s="3">
        <f t="shared" si="29"/>
        <v>302</v>
      </c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ht="15.75">
      <c r="A19" s="3">
        <f>'Instant Old no Delete'!A20</f>
        <v>1986</v>
      </c>
      <c r="B19" s="27">
        <v>2358</v>
      </c>
      <c r="C19" s="3">
        <v>1870</v>
      </c>
      <c r="D19" s="3">
        <v>1696</v>
      </c>
      <c r="E19" s="3">
        <v>1526</v>
      </c>
      <c r="F19" s="3">
        <v>1867</v>
      </c>
      <c r="G19" s="3">
        <v>1923</v>
      </c>
      <c r="H19" s="3">
        <v>1945</v>
      </c>
      <c r="I19" s="22">
        <v>2012</v>
      </c>
      <c r="J19" s="3">
        <v>1927</v>
      </c>
      <c r="K19" s="3">
        <v>1984</v>
      </c>
      <c r="L19" s="3">
        <v>1635</v>
      </c>
      <c r="M19" s="3">
        <v>1506</v>
      </c>
      <c r="N19" s="3"/>
      <c r="O19" s="106"/>
      <c r="P19" s="9" t="s">
        <v>33</v>
      </c>
      <c r="Q19" s="26">
        <f t="shared" si="0"/>
        <v>2358</v>
      </c>
      <c r="R19" s="89">
        <f t="shared" si="1"/>
        <v>2012</v>
      </c>
      <c r="S19" s="12">
        <f t="shared" si="2"/>
        <v>2119</v>
      </c>
      <c r="T19" s="13">
        <f t="shared" si="3"/>
        <v>2358</v>
      </c>
      <c r="U19" s="46"/>
      <c r="V19" s="13"/>
      <c r="W19" s="3"/>
      <c r="X19" s="3"/>
      <c r="Y19" s="3">
        <f t="shared" si="4"/>
        <v>1986</v>
      </c>
      <c r="Z19" s="18">
        <f t="shared" si="5"/>
        <v>1</v>
      </c>
      <c r="AA19" s="19">
        <f t="shared" si="6"/>
        <v>0.7930449533502969</v>
      </c>
      <c r="AB19" s="19">
        <f t="shared" si="7"/>
        <v>0.71925360474978794</v>
      </c>
      <c r="AC19" s="18">
        <f t="shared" si="8"/>
        <v>0.75844930417495027</v>
      </c>
      <c r="AD19" s="19">
        <f t="shared" si="9"/>
        <v>0.92793240556660039</v>
      </c>
      <c r="AE19" s="19">
        <f t="shared" si="10"/>
        <v>0.95576540755467199</v>
      </c>
      <c r="AF19" s="19">
        <f t="shared" si="11"/>
        <v>0.96669980119284293</v>
      </c>
      <c r="AG19" s="19">
        <f t="shared" si="12"/>
        <v>1</v>
      </c>
      <c r="AH19" s="19">
        <f t="shared" si="13"/>
        <v>0.95775347912524855</v>
      </c>
      <c r="AI19" s="18">
        <f t="shared" si="14"/>
        <v>0.97445972495088407</v>
      </c>
      <c r="AJ19" s="19">
        <f t="shared" si="15"/>
        <v>0.80304518664047153</v>
      </c>
      <c r="AK19" s="19">
        <f t="shared" si="16"/>
        <v>0.73968565815324161</v>
      </c>
      <c r="AL19" s="9"/>
      <c r="AM19" s="3">
        <f t="shared" si="17"/>
        <v>1986</v>
      </c>
      <c r="AN19" s="9">
        <f t="shared" si="18"/>
        <v>-170</v>
      </c>
      <c r="AO19" s="3">
        <f t="shared" si="19"/>
        <v>-86</v>
      </c>
      <c r="AP19" s="3">
        <f t="shared" si="20"/>
        <v>176</v>
      </c>
      <c r="AQ19" s="3">
        <f t="shared" si="21"/>
        <v>18</v>
      </c>
      <c r="AR19" s="3">
        <f t="shared" si="22"/>
        <v>-24</v>
      </c>
      <c r="AS19" s="3">
        <f t="shared" si="23"/>
        <v>-166</v>
      </c>
      <c r="AT19" s="3">
        <f t="shared" si="24"/>
        <v>29</v>
      </c>
      <c r="AU19" s="3">
        <f t="shared" si="25"/>
        <v>71</v>
      </c>
      <c r="AV19" s="3">
        <f t="shared" si="26"/>
        <v>-16</v>
      </c>
      <c r="AW19" s="3">
        <f t="shared" si="27"/>
        <v>174</v>
      </c>
      <c r="AX19" s="3">
        <f t="shared" si="28"/>
        <v>103</v>
      </c>
      <c r="AY19" s="3">
        <f t="shared" si="29"/>
        <v>-613</v>
      </c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ht="15.75">
      <c r="A20" s="3">
        <f>'Instant Old no Delete'!A21</f>
        <v>1987</v>
      </c>
      <c r="B20" s="9">
        <v>1957</v>
      </c>
      <c r="C20" s="21">
        <v>2036</v>
      </c>
      <c r="D20" s="3">
        <v>1515</v>
      </c>
      <c r="E20" s="3">
        <v>1678</v>
      </c>
      <c r="F20" s="3">
        <v>1751</v>
      </c>
      <c r="G20" s="3">
        <v>2039</v>
      </c>
      <c r="H20" s="3">
        <v>2080</v>
      </c>
      <c r="I20" s="22">
        <v>2154</v>
      </c>
      <c r="J20" s="3">
        <v>2080</v>
      </c>
      <c r="K20" s="3">
        <v>1651</v>
      </c>
      <c r="L20" s="3">
        <v>1498</v>
      </c>
      <c r="M20" s="3">
        <v>1936</v>
      </c>
      <c r="N20" s="3"/>
      <c r="O20" s="3"/>
      <c r="P20" s="9" t="s">
        <v>34</v>
      </c>
      <c r="Q20" s="26">
        <f t="shared" si="0"/>
        <v>2036</v>
      </c>
      <c r="R20" s="89">
        <f t="shared" si="1"/>
        <v>2154</v>
      </c>
      <c r="S20" s="12">
        <f t="shared" si="2"/>
        <v>1635</v>
      </c>
      <c r="T20" s="13">
        <f t="shared" si="3"/>
        <v>2036</v>
      </c>
      <c r="U20" s="95"/>
      <c r="V20" s="13"/>
      <c r="W20" s="3"/>
      <c r="X20" s="3"/>
      <c r="Y20" s="3">
        <f t="shared" si="4"/>
        <v>1987</v>
      </c>
      <c r="Z20" s="18">
        <f t="shared" si="5"/>
        <v>0.96119842829076618</v>
      </c>
      <c r="AA20" s="19">
        <f t="shared" si="6"/>
        <v>1</v>
      </c>
      <c r="AB20" s="19">
        <f t="shared" si="7"/>
        <v>0.7441060903732809</v>
      </c>
      <c r="AC20" s="18">
        <f t="shared" si="8"/>
        <v>0.7790157845868152</v>
      </c>
      <c r="AD20" s="19">
        <f t="shared" si="9"/>
        <v>0.81290622098421539</v>
      </c>
      <c r="AE20" s="19">
        <f t="shared" si="10"/>
        <v>0.94661095636025994</v>
      </c>
      <c r="AF20" s="19">
        <f t="shared" si="11"/>
        <v>0.96564531104921081</v>
      </c>
      <c r="AG20" s="19">
        <f t="shared" si="12"/>
        <v>1</v>
      </c>
      <c r="AH20" s="19">
        <f t="shared" si="13"/>
        <v>0.96564531104921081</v>
      </c>
      <c r="AI20" s="18">
        <f t="shared" si="14"/>
        <v>0.71751412429378536</v>
      </c>
      <c r="AJ20" s="19">
        <f t="shared" si="15"/>
        <v>0.65102129508909168</v>
      </c>
      <c r="AK20" s="19">
        <f t="shared" si="16"/>
        <v>0.84137331594958709</v>
      </c>
      <c r="AL20" s="9"/>
      <c r="AM20" s="3">
        <f t="shared" si="17"/>
        <v>1987</v>
      </c>
      <c r="AN20" s="9">
        <f t="shared" si="18"/>
        <v>-401</v>
      </c>
      <c r="AO20" s="3">
        <f t="shared" si="19"/>
        <v>166</v>
      </c>
      <c r="AP20" s="3">
        <f t="shared" si="20"/>
        <v>-181</v>
      </c>
      <c r="AQ20" s="3">
        <f t="shared" si="21"/>
        <v>152</v>
      </c>
      <c r="AR20" s="3">
        <f t="shared" si="22"/>
        <v>-116</v>
      </c>
      <c r="AS20" s="3">
        <f t="shared" si="23"/>
        <v>116</v>
      </c>
      <c r="AT20" s="3">
        <f t="shared" si="24"/>
        <v>135</v>
      </c>
      <c r="AU20" s="3">
        <f t="shared" si="25"/>
        <v>142</v>
      </c>
      <c r="AV20" s="3">
        <f t="shared" si="26"/>
        <v>153</v>
      </c>
      <c r="AW20" s="3">
        <f t="shared" si="27"/>
        <v>-333</v>
      </c>
      <c r="AX20" s="3">
        <f t="shared" si="28"/>
        <v>-137</v>
      </c>
      <c r="AY20" s="3">
        <f t="shared" si="29"/>
        <v>430</v>
      </c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ht="15.75">
      <c r="A21" s="3">
        <f>'Instant Old no Delete'!A22</f>
        <v>1988</v>
      </c>
      <c r="B21" s="27">
        <v>2301</v>
      </c>
      <c r="C21" s="3">
        <v>1948</v>
      </c>
      <c r="D21" s="3">
        <v>1933</v>
      </c>
      <c r="E21" s="3">
        <v>1739</v>
      </c>
      <c r="F21" s="3">
        <v>1992</v>
      </c>
      <c r="G21" s="3">
        <v>2076</v>
      </c>
      <c r="H21" s="22">
        <v>2179</v>
      </c>
      <c r="I21" s="3">
        <v>2135</v>
      </c>
      <c r="J21" s="3">
        <v>2079</v>
      </c>
      <c r="K21" s="3">
        <v>1858</v>
      </c>
      <c r="L21" s="3">
        <v>1687</v>
      </c>
      <c r="M21" s="21">
        <v>2270</v>
      </c>
      <c r="N21" s="104">
        <v>1989</v>
      </c>
      <c r="O21" s="21"/>
      <c r="P21" s="9" t="s">
        <v>35</v>
      </c>
      <c r="Q21" s="26">
        <f t="shared" si="0"/>
        <v>2301</v>
      </c>
      <c r="R21" s="89">
        <f t="shared" si="1"/>
        <v>2179</v>
      </c>
      <c r="S21" s="12">
        <f t="shared" si="2"/>
        <v>1936</v>
      </c>
      <c r="T21" s="13">
        <f t="shared" si="3"/>
        <v>2301</v>
      </c>
      <c r="U21" s="12"/>
      <c r="V21" s="13"/>
      <c r="W21" s="3"/>
      <c r="X21" s="3"/>
      <c r="Y21" s="3">
        <f t="shared" si="4"/>
        <v>1988</v>
      </c>
      <c r="Z21" s="18">
        <f t="shared" si="5"/>
        <v>1</v>
      </c>
      <c r="AA21" s="19">
        <f t="shared" si="6"/>
        <v>0.84658843980877874</v>
      </c>
      <c r="AB21" s="19">
        <f t="shared" si="7"/>
        <v>0.8400695349847892</v>
      </c>
      <c r="AC21" s="18">
        <f t="shared" si="8"/>
        <v>0.79807251032583759</v>
      </c>
      <c r="AD21" s="19">
        <f t="shared" si="9"/>
        <v>0.91418081688848096</v>
      </c>
      <c r="AE21" s="19">
        <f t="shared" si="10"/>
        <v>0.95273061037173012</v>
      </c>
      <c r="AF21" s="19">
        <f t="shared" si="11"/>
        <v>1</v>
      </c>
      <c r="AG21" s="19">
        <f t="shared" si="12"/>
        <v>0.9798072510325837</v>
      </c>
      <c r="AH21" s="19">
        <f t="shared" si="13"/>
        <v>0.95410738871041767</v>
      </c>
      <c r="AI21" s="18">
        <f t="shared" si="14"/>
        <v>0.81850220264317186</v>
      </c>
      <c r="AJ21" s="19">
        <f t="shared" si="15"/>
        <v>0.74317180616740086</v>
      </c>
      <c r="AK21" s="19">
        <f t="shared" si="16"/>
        <v>1</v>
      </c>
      <c r="AL21" s="9"/>
      <c r="AM21" s="3">
        <f t="shared" si="17"/>
        <v>1988</v>
      </c>
      <c r="AN21" s="9">
        <f t="shared" si="18"/>
        <v>344</v>
      </c>
      <c r="AO21" s="3">
        <f t="shared" si="19"/>
        <v>-88</v>
      </c>
      <c r="AP21" s="3">
        <f t="shared" si="20"/>
        <v>418</v>
      </c>
      <c r="AQ21" s="3">
        <f t="shared" si="21"/>
        <v>61</v>
      </c>
      <c r="AR21" s="3">
        <f t="shared" si="22"/>
        <v>241</v>
      </c>
      <c r="AS21" s="3">
        <f t="shared" si="23"/>
        <v>37</v>
      </c>
      <c r="AT21" s="3">
        <f t="shared" si="24"/>
        <v>99</v>
      </c>
      <c r="AU21" s="3">
        <f t="shared" si="25"/>
        <v>-19</v>
      </c>
      <c r="AV21" s="3">
        <f t="shared" si="26"/>
        <v>-1</v>
      </c>
      <c r="AW21" s="3">
        <f t="shared" si="27"/>
        <v>207</v>
      </c>
      <c r="AX21" s="3">
        <f t="shared" si="28"/>
        <v>189</v>
      </c>
      <c r="AY21" s="3">
        <f t="shared" si="29"/>
        <v>334</v>
      </c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 ht="15.75">
      <c r="A22" s="3">
        <f>'Instant Old no Delete'!A23</f>
        <v>1989</v>
      </c>
      <c r="B22" s="9">
        <v>1622</v>
      </c>
      <c r="C22" s="3">
        <v>2214</v>
      </c>
      <c r="D22" s="3">
        <v>1774</v>
      </c>
      <c r="E22" s="3">
        <v>1747</v>
      </c>
      <c r="F22" s="3">
        <v>2088</v>
      </c>
      <c r="G22" s="3">
        <v>2204</v>
      </c>
      <c r="H22" s="3">
        <v>2188</v>
      </c>
      <c r="I22" s="22">
        <v>2233</v>
      </c>
      <c r="J22" s="3">
        <v>2161</v>
      </c>
      <c r="K22" s="3">
        <v>1978</v>
      </c>
      <c r="L22" s="3">
        <v>1700</v>
      </c>
      <c r="M22" s="21">
        <v>2547</v>
      </c>
      <c r="N22" s="104">
        <v>1990</v>
      </c>
      <c r="O22" s="105" t="s">
        <v>147</v>
      </c>
      <c r="P22" s="9" t="s">
        <v>36</v>
      </c>
      <c r="Q22" s="93">
        <f t="shared" si="0"/>
        <v>2270</v>
      </c>
      <c r="R22" s="89">
        <f t="shared" si="1"/>
        <v>2233</v>
      </c>
      <c r="S22" s="12">
        <f t="shared" si="2"/>
        <v>2270</v>
      </c>
      <c r="T22" s="13">
        <f t="shared" si="3"/>
        <v>2214</v>
      </c>
      <c r="U22" s="12"/>
      <c r="V22" s="13"/>
      <c r="W22" s="3"/>
      <c r="X22" s="3"/>
      <c r="Y22" s="3">
        <f t="shared" si="4"/>
        <v>1989</v>
      </c>
      <c r="Z22" s="18">
        <f t="shared" si="5"/>
        <v>0.71453744493392068</v>
      </c>
      <c r="AA22" s="19">
        <f t="shared" si="6"/>
        <v>0.97533039647577091</v>
      </c>
      <c r="AB22" s="19">
        <f t="shared" si="7"/>
        <v>0.78149779735682823</v>
      </c>
      <c r="AC22" s="18">
        <f t="shared" si="8"/>
        <v>0.78235557545902379</v>
      </c>
      <c r="AD22" s="19">
        <f t="shared" si="9"/>
        <v>0.93506493506493504</v>
      </c>
      <c r="AE22" s="19">
        <f t="shared" si="10"/>
        <v>0.98701298701298701</v>
      </c>
      <c r="AF22" s="19">
        <f t="shared" si="11"/>
        <v>0.9798477384684281</v>
      </c>
      <c r="AG22" s="19">
        <f t="shared" si="12"/>
        <v>1</v>
      </c>
      <c r="AH22" s="19">
        <f t="shared" si="13"/>
        <v>0.96775638154948496</v>
      </c>
      <c r="AI22" s="18">
        <f t="shared" si="14"/>
        <v>0.77659992147624657</v>
      </c>
      <c r="AJ22" s="19">
        <f t="shared" si="15"/>
        <v>0.66745190420102085</v>
      </c>
      <c r="AK22" s="19">
        <f t="shared" si="16"/>
        <v>1</v>
      </c>
      <c r="AL22" s="9"/>
      <c r="AM22" s="3">
        <f t="shared" si="17"/>
        <v>1989</v>
      </c>
      <c r="AN22" s="9">
        <f t="shared" si="18"/>
        <v>-679</v>
      </c>
      <c r="AO22" s="3">
        <f t="shared" si="19"/>
        <v>266</v>
      </c>
      <c r="AP22" s="3">
        <f t="shared" si="20"/>
        <v>-159</v>
      </c>
      <c r="AQ22" s="3">
        <f t="shared" si="21"/>
        <v>8</v>
      </c>
      <c r="AR22" s="3">
        <f t="shared" si="22"/>
        <v>96</v>
      </c>
      <c r="AS22" s="3">
        <f t="shared" si="23"/>
        <v>128</v>
      </c>
      <c r="AT22" s="3">
        <f t="shared" si="24"/>
        <v>9</v>
      </c>
      <c r="AU22" s="3">
        <f t="shared" si="25"/>
        <v>98</v>
      </c>
      <c r="AV22" s="3">
        <f t="shared" si="26"/>
        <v>82</v>
      </c>
      <c r="AW22" s="3">
        <f t="shared" si="27"/>
        <v>120</v>
      </c>
      <c r="AX22" s="3">
        <f t="shared" si="28"/>
        <v>13</v>
      </c>
      <c r="AY22" s="3">
        <f t="shared" si="29"/>
        <v>277</v>
      </c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 ht="15.75">
      <c r="A23" s="3">
        <f>'Instant Old no Delete'!A24</f>
        <v>1990</v>
      </c>
      <c r="B23" s="9">
        <v>1772</v>
      </c>
      <c r="C23" s="3">
        <v>1595</v>
      </c>
      <c r="D23" s="3">
        <v>1653</v>
      </c>
      <c r="E23" s="3">
        <v>1930</v>
      </c>
      <c r="F23" s="3">
        <v>2135</v>
      </c>
      <c r="G23" s="3">
        <v>2252</v>
      </c>
      <c r="H23" s="3">
        <v>2214</v>
      </c>
      <c r="I23" s="22">
        <v>2279</v>
      </c>
      <c r="J23" s="3">
        <v>2216</v>
      </c>
      <c r="K23" s="3">
        <v>2187</v>
      </c>
      <c r="L23" s="3">
        <v>1753</v>
      </c>
      <c r="M23" s="3">
        <v>1859</v>
      </c>
      <c r="N23" s="104"/>
      <c r="O23" s="106"/>
      <c r="P23" s="9" t="s">
        <v>37</v>
      </c>
      <c r="Q23" s="26">
        <f t="shared" si="0"/>
        <v>2547</v>
      </c>
      <c r="R23" s="89">
        <f t="shared" si="1"/>
        <v>2279</v>
      </c>
      <c r="S23" s="12">
        <f t="shared" si="2"/>
        <v>2547</v>
      </c>
      <c r="T23" s="13">
        <f t="shared" si="3"/>
        <v>1772</v>
      </c>
      <c r="U23" s="12"/>
      <c r="V23" s="13"/>
      <c r="W23" s="3"/>
      <c r="X23" s="3"/>
      <c r="Y23" s="3">
        <f t="shared" si="4"/>
        <v>1990</v>
      </c>
      <c r="Z23" s="18">
        <f t="shared" si="5"/>
        <v>0.69572045543776995</v>
      </c>
      <c r="AA23" s="19">
        <f t="shared" si="6"/>
        <v>0.62622693364742832</v>
      </c>
      <c r="AB23" s="19">
        <f t="shared" si="7"/>
        <v>0.64899882214369842</v>
      </c>
      <c r="AC23" s="18">
        <f t="shared" si="8"/>
        <v>0.84686265906099167</v>
      </c>
      <c r="AD23" s="19">
        <f t="shared" si="9"/>
        <v>0.93681439227731467</v>
      </c>
      <c r="AE23" s="19">
        <f t="shared" si="10"/>
        <v>0.9881526985519965</v>
      </c>
      <c r="AF23" s="19">
        <f t="shared" si="11"/>
        <v>0.97147871873628788</v>
      </c>
      <c r="AG23" s="19">
        <f t="shared" si="12"/>
        <v>1</v>
      </c>
      <c r="AH23" s="19">
        <f t="shared" si="13"/>
        <v>0.97235629662132517</v>
      </c>
      <c r="AI23" s="18">
        <f t="shared" si="14"/>
        <v>1.063715953307393</v>
      </c>
      <c r="AJ23" s="19">
        <f t="shared" si="15"/>
        <v>0.85262645914396884</v>
      </c>
      <c r="AK23" s="19">
        <f t="shared" si="16"/>
        <v>0.90418287937743191</v>
      </c>
      <c r="AL23" s="9"/>
      <c r="AM23" s="3">
        <f t="shared" si="17"/>
        <v>1990</v>
      </c>
      <c r="AN23" s="9">
        <f t="shared" si="18"/>
        <v>150</v>
      </c>
      <c r="AO23" s="3">
        <f t="shared" si="19"/>
        <v>-619</v>
      </c>
      <c r="AP23" s="3">
        <f t="shared" si="20"/>
        <v>-121</v>
      </c>
      <c r="AQ23" s="3">
        <f t="shared" si="21"/>
        <v>183</v>
      </c>
      <c r="AR23" s="3">
        <f t="shared" si="22"/>
        <v>47</v>
      </c>
      <c r="AS23" s="3">
        <f t="shared" si="23"/>
        <v>48</v>
      </c>
      <c r="AT23" s="3">
        <f t="shared" si="24"/>
        <v>26</v>
      </c>
      <c r="AU23" s="3">
        <f t="shared" si="25"/>
        <v>46</v>
      </c>
      <c r="AV23" s="3">
        <f t="shared" si="26"/>
        <v>55</v>
      </c>
      <c r="AW23" s="3">
        <f t="shared" si="27"/>
        <v>209</v>
      </c>
      <c r="AX23" s="3">
        <f t="shared" si="28"/>
        <v>53</v>
      </c>
      <c r="AY23" s="3">
        <f t="shared" si="29"/>
        <v>-688</v>
      </c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 ht="15.75">
      <c r="A24" s="3">
        <f>'Instant Old no Delete'!A25</f>
        <v>1991</v>
      </c>
      <c r="B24" s="9">
        <v>1933</v>
      </c>
      <c r="C24" s="21">
        <v>2056</v>
      </c>
      <c r="D24" s="3">
        <v>1901</v>
      </c>
      <c r="E24" s="3">
        <v>2165</v>
      </c>
      <c r="F24" s="3">
        <v>2120</v>
      </c>
      <c r="G24" s="3">
        <v>2238</v>
      </c>
      <c r="H24" s="3">
        <v>2317</v>
      </c>
      <c r="I24" s="22">
        <v>2341</v>
      </c>
      <c r="J24" s="3">
        <v>2321</v>
      </c>
      <c r="K24" s="3">
        <v>2059</v>
      </c>
      <c r="L24" s="3">
        <v>2005</v>
      </c>
      <c r="M24" s="3">
        <v>2007</v>
      </c>
      <c r="N24" s="3"/>
      <c r="O24" s="3"/>
      <c r="P24" s="9" t="s">
        <v>38</v>
      </c>
      <c r="Q24" s="26">
        <f t="shared" si="0"/>
        <v>2056</v>
      </c>
      <c r="R24" s="89">
        <f t="shared" si="1"/>
        <v>2341</v>
      </c>
      <c r="S24" s="12">
        <f t="shared" si="2"/>
        <v>1859</v>
      </c>
      <c r="T24" s="13">
        <f t="shared" si="3"/>
        <v>2056</v>
      </c>
      <c r="U24" s="12"/>
      <c r="V24" s="13"/>
      <c r="W24" s="3"/>
      <c r="X24" s="3"/>
      <c r="Y24" s="3">
        <f t="shared" si="4"/>
        <v>1991</v>
      </c>
      <c r="Z24" s="18">
        <f t="shared" si="5"/>
        <v>0.94017509727626458</v>
      </c>
      <c r="AA24" s="19">
        <f t="shared" si="6"/>
        <v>1</v>
      </c>
      <c r="AB24" s="19">
        <f t="shared" si="7"/>
        <v>0.92461089494163429</v>
      </c>
      <c r="AC24" s="18">
        <f t="shared" si="8"/>
        <v>0.92481845365228532</v>
      </c>
      <c r="AD24" s="19">
        <f t="shared" si="9"/>
        <v>0.90559589918838101</v>
      </c>
      <c r="AE24" s="19">
        <f t="shared" si="10"/>
        <v>0.95600170867150791</v>
      </c>
      <c r="AF24" s="19">
        <f t="shared" si="11"/>
        <v>0.98974797095258438</v>
      </c>
      <c r="AG24" s="19">
        <f t="shared" si="12"/>
        <v>1</v>
      </c>
      <c r="AH24" s="19">
        <f t="shared" si="13"/>
        <v>0.99145664246048693</v>
      </c>
      <c r="AI24" s="18">
        <f t="shared" si="14"/>
        <v>0.88903281519861832</v>
      </c>
      <c r="AJ24" s="19">
        <f t="shared" si="15"/>
        <v>0.86571675302245255</v>
      </c>
      <c r="AK24" s="19">
        <f t="shared" si="16"/>
        <v>0.86658031088082899</v>
      </c>
      <c r="AL24" s="9"/>
      <c r="AM24" s="3">
        <f t="shared" si="17"/>
        <v>1991</v>
      </c>
      <c r="AN24" s="9">
        <f t="shared" si="18"/>
        <v>161</v>
      </c>
      <c r="AO24" s="3">
        <f t="shared" si="19"/>
        <v>461</v>
      </c>
      <c r="AP24" s="3">
        <f t="shared" si="20"/>
        <v>248</v>
      </c>
      <c r="AQ24" s="3">
        <f t="shared" si="21"/>
        <v>235</v>
      </c>
      <c r="AR24" s="3">
        <f t="shared" si="22"/>
        <v>-15</v>
      </c>
      <c r="AS24" s="3">
        <f t="shared" si="23"/>
        <v>-14</v>
      </c>
      <c r="AT24" s="3">
        <f t="shared" si="24"/>
        <v>103</v>
      </c>
      <c r="AU24" s="3">
        <f t="shared" si="25"/>
        <v>62</v>
      </c>
      <c r="AV24" s="3">
        <f t="shared" si="26"/>
        <v>105</v>
      </c>
      <c r="AW24" s="3">
        <f t="shared" si="27"/>
        <v>-128</v>
      </c>
      <c r="AX24" s="3">
        <f t="shared" si="28"/>
        <v>252</v>
      </c>
      <c r="AY24" s="3">
        <f t="shared" si="29"/>
        <v>148</v>
      </c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ht="15.75">
      <c r="A25" s="3">
        <f>'Instant Old no Delete'!A26</f>
        <v>1992</v>
      </c>
      <c r="B25" s="376">
        <v>2316</v>
      </c>
      <c r="C25" s="377">
        <v>1733</v>
      </c>
      <c r="D25" s="377">
        <v>1730</v>
      </c>
      <c r="E25" s="377">
        <v>1813</v>
      </c>
      <c r="F25" s="377">
        <v>2015</v>
      </c>
      <c r="G25" s="377">
        <v>2328</v>
      </c>
      <c r="H25" s="378">
        <v>2401</v>
      </c>
      <c r="I25" s="377">
        <v>2349</v>
      </c>
      <c r="J25" s="377">
        <v>2259</v>
      </c>
      <c r="K25" s="377">
        <v>1925</v>
      </c>
      <c r="L25" s="377">
        <v>1947</v>
      </c>
      <c r="M25" s="377">
        <v>1831</v>
      </c>
      <c r="N25" s="3"/>
      <c r="O25" s="3"/>
      <c r="P25" s="9" t="s">
        <v>39</v>
      </c>
      <c r="Q25" s="26">
        <f t="shared" si="0"/>
        <v>2316</v>
      </c>
      <c r="R25" s="89">
        <f t="shared" si="1"/>
        <v>2401</v>
      </c>
      <c r="S25" s="12">
        <f t="shared" si="2"/>
        <v>2007</v>
      </c>
      <c r="T25" s="13">
        <f t="shared" si="3"/>
        <v>2316</v>
      </c>
      <c r="U25" s="12"/>
      <c r="V25" s="13"/>
      <c r="W25" s="3"/>
      <c r="X25" s="3"/>
      <c r="Y25" s="3">
        <f t="shared" si="4"/>
        <v>1992</v>
      </c>
      <c r="Z25" s="18">
        <f t="shared" si="5"/>
        <v>1</v>
      </c>
      <c r="AA25" s="19">
        <f t="shared" si="6"/>
        <v>0.74827288428324701</v>
      </c>
      <c r="AB25" s="19">
        <f t="shared" si="7"/>
        <v>0.74697754749568224</v>
      </c>
      <c r="AC25" s="18">
        <f t="shared" si="8"/>
        <v>0.75510204081632648</v>
      </c>
      <c r="AD25" s="19">
        <f t="shared" si="9"/>
        <v>0.83923365264473138</v>
      </c>
      <c r="AE25" s="19">
        <f t="shared" si="10"/>
        <v>0.96959600166597248</v>
      </c>
      <c r="AF25" s="19">
        <f t="shared" si="11"/>
        <v>1</v>
      </c>
      <c r="AG25" s="19">
        <f t="shared" si="12"/>
        <v>0.97834235735110375</v>
      </c>
      <c r="AH25" s="19">
        <f t="shared" si="13"/>
        <v>0.94085797584339859</v>
      </c>
      <c r="AI25" s="18">
        <f t="shared" si="14"/>
        <v>0.81223628691983119</v>
      </c>
      <c r="AJ25" s="19">
        <f t="shared" si="15"/>
        <v>0.8215189873417722</v>
      </c>
      <c r="AK25" s="19">
        <f t="shared" si="16"/>
        <v>0.7725738396624473</v>
      </c>
      <c r="AL25" s="9"/>
      <c r="AM25" s="3">
        <f t="shared" si="17"/>
        <v>1992</v>
      </c>
      <c r="AN25" s="9">
        <f t="shared" si="18"/>
        <v>383</v>
      </c>
      <c r="AO25" s="3">
        <f t="shared" si="19"/>
        <v>-323</v>
      </c>
      <c r="AP25" s="3">
        <f t="shared" si="20"/>
        <v>-171</v>
      </c>
      <c r="AQ25" s="3">
        <f t="shared" si="21"/>
        <v>-352</v>
      </c>
      <c r="AR25" s="3">
        <f t="shared" si="22"/>
        <v>-105</v>
      </c>
      <c r="AS25" s="3">
        <f t="shared" si="23"/>
        <v>90</v>
      </c>
      <c r="AT25" s="3">
        <f t="shared" si="24"/>
        <v>84</v>
      </c>
      <c r="AU25" s="3">
        <f t="shared" si="25"/>
        <v>8</v>
      </c>
      <c r="AV25" s="3">
        <f t="shared" si="26"/>
        <v>-62</v>
      </c>
      <c r="AW25" s="3">
        <f t="shared" si="27"/>
        <v>-134</v>
      </c>
      <c r="AX25" s="3">
        <f t="shared" si="28"/>
        <v>-58</v>
      </c>
      <c r="AY25" s="3">
        <f t="shared" si="29"/>
        <v>-176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ht="15.75">
      <c r="A26" s="3">
        <f>'Instant Old no Delete'!A27</f>
        <v>1993</v>
      </c>
      <c r="B26" s="379">
        <v>1949</v>
      </c>
      <c r="C26" s="377">
        <v>2050</v>
      </c>
      <c r="D26" s="380">
        <v>2370</v>
      </c>
      <c r="E26" s="377">
        <v>1674</v>
      </c>
      <c r="F26" s="377">
        <v>2024</v>
      </c>
      <c r="G26" s="377">
        <v>2411</v>
      </c>
      <c r="H26" s="377">
        <v>2458</v>
      </c>
      <c r="I26" s="378">
        <v>2492</v>
      </c>
      <c r="J26" s="377">
        <v>2359</v>
      </c>
      <c r="K26" s="377">
        <v>2154</v>
      </c>
      <c r="L26" s="377">
        <v>1945</v>
      </c>
      <c r="M26" s="377">
        <v>2207</v>
      </c>
      <c r="N26" s="3"/>
      <c r="O26" s="3"/>
      <c r="P26" s="9" t="s">
        <v>40</v>
      </c>
      <c r="Q26" s="26">
        <f t="shared" si="0"/>
        <v>2370</v>
      </c>
      <c r="R26" s="89">
        <f t="shared" si="1"/>
        <v>2492</v>
      </c>
      <c r="S26" s="12">
        <f t="shared" si="2"/>
        <v>1947</v>
      </c>
      <c r="T26" s="13">
        <f t="shared" si="3"/>
        <v>2370</v>
      </c>
      <c r="U26" s="12"/>
      <c r="V26" s="13"/>
      <c r="W26" s="3"/>
      <c r="X26" s="3"/>
      <c r="Y26" s="3">
        <f t="shared" si="4"/>
        <v>1993</v>
      </c>
      <c r="Z26" s="18">
        <f t="shared" si="5"/>
        <v>0.82236286919831225</v>
      </c>
      <c r="AA26" s="19">
        <f t="shared" si="6"/>
        <v>0.86497890295358648</v>
      </c>
      <c r="AB26" s="19">
        <f t="shared" si="7"/>
        <v>1</v>
      </c>
      <c r="AC26" s="18">
        <f t="shared" si="8"/>
        <v>0.67174959871589091</v>
      </c>
      <c r="AD26" s="19">
        <f t="shared" si="9"/>
        <v>0.812199036918138</v>
      </c>
      <c r="AE26" s="19">
        <f t="shared" si="10"/>
        <v>0.9674959871589085</v>
      </c>
      <c r="AF26" s="19">
        <f t="shared" si="11"/>
        <v>0.9863563402889246</v>
      </c>
      <c r="AG26" s="19">
        <f t="shared" si="12"/>
        <v>1</v>
      </c>
      <c r="AH26" s="19">
        <f t="shared" si="13"/>
        <v>0.9466292134831461</v>
      </c>
      <c r="AI26" s="18">
        <f t="shared" si="14"/>
        <v>0.93530178028658273</v>
      </c>
      <c r="AJ26" s="19">
        <f t="shared" si="15"/>
        <v>0.84455058619192358</v>
      </c>
      <c r="AK26" s="19">
        <f t="shared" si="16"/>
        <v>0.95831524099001297</v>
      </c>
      <c r="AL26" s="9"/>
      <c r="AM26" s="3">
        <f t="shared" si="17"/>
        <v>1993</v>
      </c>
      <c r="AN26" s="9">
        <f t="shared" si="18"/>
        <v>-367</v>
      </c>
      <c r="AO26" s="3">
        <f t="shared" si="19"/>
        <v>317</v>
      </c>
      <c r="AP26" s="3">
        <f t="shared" si="20"/>
        <v>640</v>
      </c>
      <c r="AQ26" s="3">
        <f t="shared" si="21"/>
        <v>-139</v>
      </c>
      <c r="AR26" s="3">
        <f t="shared" si="22"/>
        <v>9</v>
      </c>
      <c r="AS26" s="3">
        <f t="shared" si="23"/>
        <v>83</v>
      </c>
      <c r="AT26" s="3">
        <f t="shared" si="24"/>
        <v>57</v>
      </c>
      <c r="AU26" s="3">
        <f t="shared" si="25"/>
        <v>143</v>
      </c>
      <c r="AV26" s="3">
        <f t="shared" si="26"/>
        <v>100</v>
      </c>
      <c r="AW26" s="3">
        <f t="shared" si="27"/>
        <v>229</v>
      </c>
      <c r="AX26" s="3">
        <f t="shared" si="28"/>
        <v>-2</v>
      </c>
      <c r="AY26" s="3">
        <f t="shared" si="29"/>
        <v>376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ht="15.75">
      <c r="A27" s="3">
        <f>'Instant Old no Delete'!A28</f>
        <v>1994</v>
      </c>
      <c r="B27" s="379">
        <v>2238</v>
      </c>
      <c r="C27" s="380">
        <v>2303</v>
      </c>
      <c r="D27" s="377">
        <v>2058</v>
      </c>
      <c r="E27" s="377">
        <v>2094</v>
      </c>
      <c r="F27" s="377">
        <v>2290</v>
      </c>
      <c r="G27" s="378">
        <v>2451</v>
      </c>
      <c r="H27" s="377">
        <v>2369</v>
      </c>
      <c r="I27" s="377">
        <v>2342</v>
      </c>
      <c r="J27" s="377">
        <v>2341</v>
      </c>
      <c r="K27" s="377">
        <v>2126</v>
      </c>
      <c r="L27" s="377">
        <v>1993</v>
      </c>
      <c r="M27" s="377">
        <v>1777</v>
      </c>
      <c r="N27" s="3"/>
      <c r="O27" s="3"/>
      <c r="P27" s="9" t="s">
        <v>41</v>
      </c>
      <c r="Q27" s="26">
        <f t="shared" si="0"/>
        <v>2303</v>
      </c>
      <c r="R27" s="89">
        <f t="shared" si="1"/>
        <v>2451</v>
      </c>
      <c r="S27" s="12">
        <f t="shared" si="2"/>
        <v>2207</v>
      </c>
      <c r="T27" s="13">
        <f t="shared" si="3"/>
        <v>2303</v>
      </c>
      <c r="U27" s="12"/>
      <c r="V27" s="13"/>
      <c r="W27" s="3"/>
      <c r="X27" s="3"/>
      <c r="Y27" s="3">
        <f t="shared" si="4"/>
        <v>1994</v>
      </c>
      <c r="Z27" s="18">
        <f t="shared" si="5"/>
        <v>0.97177594442032134</v>
      </c>
      <c r="AA27" s="19">
        <f t="shared" si="6"/>
        <v>1</v>
      </c>
      <c r="AB27" s="19">
        <f t="shared" si="7"/>
        <v>0.8936170212765957</v>
      </c>
      <c r="AC27" s="18">
        <f t="shared" si="8"/>
        <v>0.85434516523867809</v>
      </c>
      <c r="AD27" s="19">
        <f t="shared" si="9"/>
        <v>0.93431252549979604</v>
      </c>
      <c r="AE27" s="19">
        <f t="shared" si="10"/>
        <v>1</v>
      </c>
      <c r="AF27" s="19">
        <f t="shared" si="11"/>
        <v>0.96654426764585888</v>
      </c>
      <c r="AG27" s="19">
        <f t="shared" si="12"/>
        <v>0.95552835577315387</v>
      </c>
      <c r="AH27" s="19">
        <f t="shared" si="13"/>
        <v>0.95512035903712766</v>
      </c>
      <c r="AI27" s="18">
        <f t="shared" si="14"/>
        <v>0.78886827458256026</v>
      </c>
      <c r="AJ27" s="19">
        <f t="shared" si="15"/>
        <v>0.73951762523191089</v>
      </c>
      <c r="AK27" s="19">
        <f t="shared" si="16"/>
        <v>0.6593692022263451</v>
      </c>
      <c r="AL27" s="9"/>
      <c r="AM27" s="3">
        <f t="shared" si="17"/>
        <v>1994</v>
      </c>
      <c r="AN27" s="9">
        <f t="shared" si="18"/>
        <v>289</v>
      </c>
      <c r="AO27" s="3">
        <f t="shared" si="19"/>
        <v>253</v>
      </c>
      <c r="AP27" s="3">
        <f t="shared" si="20"/>
        <v>-312</v>
      </c>
      <c r="AQ27" s="3">
        <f t="shared" si="21"/>
        <v>420</v>
      </c>
      <c r="AR27" s="3">
        <f t="shared" si="22"/>
        <v>266</v>
      </c>
      <c r="AS27" s="3">
        <f t="shared" si="23"/>
        <v>40</v>
      </c>
      <c r="AT27" s="3">
        <f t="shared" si="24"/>
        <v>-89</v>
      </c>
      <c r="AU27" s="3">
        <f t="shared" si="25"/>
        <v>-150</v>
      </c>
      <c r="AV27" s="3">
        <f t="shared" si="26"/>
        <v>-18</v>
      </c>
      <c r="AW27" s="3">
        <f t="shared" si="27"/>
        <v>-28</v>
      </c>
      <c r="AX27" s="3">
        <f t="shared" si="28"/>
        <v>48</v>
      </c>
      <c r="AY27" s="3">
        <f t="shared" si="29"/>
        <v>-430</v>
      </c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ht="15.75">
      <c r="A28" s="3">
        <f>'Instant Old no Delete'!A29</f>
        <v>1995</v>
      </c>
      <c r="B28" s="379">
        <v>2369</v>
      </c>
      <c r="C28" s="380">
        <v>2695</v>
      </c>
      <c r="D28" s="377">
        <v>1801</v>
      </c>
      <c r="E28" s="377">
        <v>2202</v>
      </c>
      <c r="F28" s="377">
        <v>2594</v>
      </c>
      <c r="G28" s="377">
        <v>2532</v>
      </c>
      <c r="H28" s="377">
        <v>2595</v>
      </c>
      <c r="I28" s="378">
        <v>2624</v>
      </c>
      <c r="J28" s="377">
        <v>2507</v>
      </c>
      <c r="K28" s="377">
        <v>2338</v>
      </c>
      <c r="L28" s="377">
        <v>2137</v>
      </c>
      <c r="M28" s="377">
        <v>2255</v>
      </c>
      <c r="N28" s="3"/>
      <c r="O28" s="3"/>
      <c r="P28" s="9" t="s">
        <v>42</v>
      </c>
      <c r="Q28" s="26">
        <f t="shared" si="0"/>
        <v>2695</v>
      </c>
      <c r="R28" s="89">
        <f t="shared" si="1"/>
        <v>2624</v>
      </c>
      <c r="S28" s="12">
        <f t="shared" si="2"/>
        <v>1993</v>
      </c>
      <c r="T28" s="13">
        <f t="shared" si="3"/>
        <v>2695</v>
      </c>
      <c r="U28" s="12"/>
      <c r="V28" s="13"/>
      <c r="W28" s="3"/>
      <c r="X28" s="3"/>
      <c r="Y28" s="3">
        <f t="shared" si="4"/>
        <v>1995</v>
      </c>
      <c r="Z28" s="18">
        <f t="shared" si="5"/>
        <v>0.87903525046382192</v>
      </c>
      <c r="AA28" s="19">
        <f t="shared" si="6"/>
        <v>1</v>
      </c>
      <c r="AB28" s="19">
        <f t="shared" si="7"/>
        <v>0.66827458256029681</v>
      </c>
      <c r="AC28" s="18">
        <f t="shared" si="8"/>
        <v>0.83917682926829273</v>
      </c>
      <c r="AD28" s="19">
        <f t="shared" si="9"/>
        <v>0.98856707317073167</v>
      </c>
      <c r="AE28" s="19">
        <f t="shared" si="10"/>
        <v>0.96493902439024393</v>
      </c>
      <c r="AF28" s="19">
        <f t="shared" si="11"/>
        <v>0.98894817073170727</v>
      </c>
      <c r="AG28" s="19">
        <f t="shared" si="12"/>
        <v>1</v>
      </c>
      <c r="AH28" s="19">
        <f t="shared" si="13"/>
        <v>0.95541158536585369</v>
      </c>
      <c r="AI28" s="18">
        <f t="shared" si="14"/>
        <v>0.79361846571622541</v>
      </c>
      <c r="AJ28" s="19">
        <f t="shared" si="15"/>
        <v>0.72539035980991173</v>
      </c>
      <c r="AK28" s="19">
        <f t="shared" si="16"/>
        <v>0.76544467073998645</v>
      </c>
      <c r="AL28" s="9"/>
      <c r="AM28" s="3">
        <f t="shared" si="17"/>
        <v>1995</v>
      </c>
      <c r="AN28" s="9">
        <f t="shared" si="18"/>
        <v>131</v>
      </c>
      <c r="AO28" s="3">
        <f t="shared" si="19"/>
        <v>392</v>
      </c>
      <c r="AP28" s="3">
        <f t="shared" si="20"/>
        <v>-257</v>
      </c>
      <c r="AQ28" s="3">
        <f t="shared" si="21"/>
        <v>108</v>
      </c>
      <c r="AR28" s="3">
        <f t="shared" si="22"/>
        <v>304</v>
      </c>
      <c r="AS28" s="3">
        <f t="shared" si="23"/>
        <v>81</v>
      </c>
      <c r="AT28" s="3">
        <f t="shared" si="24"/>
        <v>226</v>
      </c>
      <c r="AU28" s="3">
        <f t="shared" si="25"/>
        <v>282</v>
      </c>
      <c r="AV28" s="3">
        <f t="shared" si="26"/>
        <v>166</v>
      </c>
      <c r="AW28" s="3">
        <f t="shared" si="27"/>
        <v>212</v>
      </c>
      <c r="AX28" s="3">
        <f t="shared" si="28"/>
        <v>144</v>
      </c>
      <c r="AY28" s="3">
        <f t="shared" si="29"/>
        <v>478</v>
      </c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ht="15.75">
      <c r="A29" s="3">
        <f>'Instant Old no Delete'!A30</f>
        <v>1996</v>
      </c>
      <c r="B29" s="379">
        <v>2870</v>
      </c>
      <c r="C29" s="380">
        <v>2946</v>
      </c>
      <c r="D29" s="377">
        <v>2278</v>
      </c>
      <c r="E29" s="377">
        <v>2210</v>
      </c>
      <c r="F29" s="377">
        <v>2406</v>
      </c>
      <c r="G29" s="377">
        <v>2515</v>
      </c>
      <c r="H29" s="378">
        <v>2647</v>
      </c>
      <c r="I29" s="377">
        <v>2579</v>
      </c>
      <c r="J29" s="377">
        <v>2638</v>
      </c>
      <c r="K29" s="377">
        <v>2369</v>
      </c>
      <c r="L29" s="377">
        <v>2151</v>
      </c>
      <c r="M29" s="377">
        <v>2541</v>
      </c>
      <c r="N29" s="3"/>
      <c r="O29" s="3"/>
      <c r="P29" s="9" t="s">
        <v>43</v>
      </c>
      <c r="Q29" s="26">
        <f t="shared" si="0"/>
        <v>2946</v>
      </c>
      <c r="R29" s="89">
        <f t="shared" si="1"/>
        <v>2647</v>
      </c>
      <c r="S29" s="12">
        <f t="shared" si="2"/>
        <v>2255</v>
      </c>
      <c r="T29" s="13">
        <f t="shared" si="3"/>
        <v>2946</v>
      </c>
      <c r="U29" s="9"/>
      <c r="V29" s="13"/>
      <c r="W29" s="3"/>
      <c r="X29" s="3"/>
      <c r="Y29" s="3">
        <f t="shared" si="4"/>
        <v>1996</v>
      </c>
      <c r="Z29" s="18">
        <f t="shared" si="5"/>
        <v>0.97420230821452813</v>
      </c>
      <c r="AA29" s="19">
        <f t="shared" si="6"/>
        <v>1</v>
      </c>
      <c r="AB29" s="19">
        <f t="shared" si="7"/>
        <v>0.77325186693822134</v>
      </c>
      <c r="AC29" s="18">
        <f t="shared" si="8"/>
        <v>0.83490744238760861</v>
      </c>
      <c r="AD29" s="19">
        <f t="shared" si="9"/>
        <v>0.90895353230071785</v>
      </c>
      <c r="AE29" s="19">
        <f t="shared" si="10"/>
        <v>0.95013222516055917</v>
      </c>
      <c r="AF29" s="19">
        <f t="shared" si="11"/>
        <v>1</v>
      </c>
      <c r="AG29" s="19">
        <f t="shared" si="12"/>
        <v>0.97431054023422747</v>
      </c>
      <c r="AH29" s="19">
        <f t="shared" si="13"/>
        <v>0.99659992444276535</v>
      </c>
      <c r="AI29" s="18">
        <f t="shared" si="14"/>
        <v>0.87127620448694376</v>
      </c>
      <c r="AJ29" s="19">
        <f t="shared" si="15"/>
        <v>0.79109966899595441</v>
      </c>
      <c r="AK29" s="19">
        <f t="shared" si="16"/>
        <v>0.93453475542478848</v>
      </c>
      <c r="AL29" s="9"/>
      <c r="AM29" s="3">
        <f t="shared" si="17"/>
        <v>1996</v>
      </c>
      <c r="AN29" s="9">
        <f t="shared" si="18"/>
        <v>501</v>
      </c>
      <c r="AO29" s="3">
        <f t="shared" si="19"/>
        <v>251</v>
      </c>
      <c r="AP29" s="3">
        <f t="shared" si="20"/>
        <v>477</v>
      </c>
      <c r="AQ29" s="3">
        <f t="shared" si="21"/>
        <v>8</v>
      </c>
      <c r="AR29" s="3">
        <f t="shared" si="22"/>
        <v>-188</v>
      </c>
      <c r="AS29" s="3">
        <f t="shared" si="23"/>
        <v>-17</v>
      </c>
      <c r="AT29" s="3">
        <f t="shared" si="24"/>
        <v>52</v>
      </c>
      <c r="AU29" s="3">
        <f t="shared" si="25"/>
        <v>-45</v>
      </c>
      <c r="AV29" s="3">
        <f t="shared" si="26"/>
        <v>131</v>
      </c>
      <c r="AW29" s="3">
        <f t="shared" si="27"/>
        <v>31</v>
      </c>
      <c r="AX29" s="3">
        <f t="shared" si="28"/>
        <v>14</v>
      </c>
      <c r="AY29" s="3">
        <f t="shared" si="29"/>
        <v>286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ht="15.75">
      <c r="A30" s="3">
        <f>'Instant Old no Delete'!A31</f>
        <v>1997</v>
      </c>
      <c r="B30" s="376">
        <v>2719</v>
      </c>
      <c r="C30" s="377">
        <v>1989</v>
      </c>
      <c r="D30" s="377">
        <v>2054</v>
      </c>
      <c r="E30" s="377">
        <v>2109</v>
      </c>
      <c r="F30" s="377">
        <v>2670</v>
      </c>
      <c r="G30" s="377">
        <v>2669</v>
      </c>
      <c r="H30" s="378">
        <v>2677</v>
      </c>
      <c r="I30" s="377">
        <v>2649</v>
      </c>
      <c r="J30" s="377">
        <v>2607</v>
      </c>
      <c r="K30" s="377">
        <v>2452</v>
      </c>
      <c r="L30" s="377">
        <v>1808</v>
      </c>
      <c r="M30" s="377">
        <v>2175</v>
      </c>
      <c r="N30" s="3"/>
      <c r="O30" s="3"/>
      <c r="P30" s="9" t="s">
        <v>44</v>
      </c>
      <c r="Q30" s="26">
        <f t="shared" si="0"/>
        <v>2719</v>
      </c>
      <c r="R30" s="89">
        <f t="shared" si="1"/>
        <v>2677</v>
      </c>
      <c r="S30" s="12">
        <f t="shared" si="2"/>
        <v>2541</v>
      </c>
      <c r="T30" s="13">
        <f t="shared" si="3"/>
        <v>2719</v>
      </c>
      <c r="U30" s="12"/>
      <c r="V30" s="13"/>
      <c r="W30" s="3"/>
      <c r="X30" s="3"/>
      <c r="Y30" s="3">
        <f t="shared" si="4"/>
        <v>1997</v>
      </c>
      <c r="Z30" s="18">
        <f t="shared" si="5"/>
        <v>1</v>
      </c>
      <c r="AA30" s="19">
        <f t="shared" si="6"/>
        <v>0.73151894078705404</v>
      </c>
      <c r="AB30" s="19">
        <f t="shared" si="7"/>
        <v>0.75542478852519312</v>
      </c>
      <c r="AC30" s="18">
        <f t="shared" si="8"/>
        <v>0.78782218901755696</v>
      </c>
      <c r="AD30" s="19">
        <f t="shared" si="9"/>
        <v>0.99738513261113182</v>
      </c>
      <c r="AE30" s="19">
        <f t="shared" si="10"/>
        <v>0.99701158012700786</v>
      </c>
      <c r="AF30" s="19">
        <f t="shared" si="11"/>
        <v>1</v>
      </c>
      <c r="AG30" s="19">
        <f t="shared" si="12"/>
        <v>0.9895405304445275</v>
      </c>
      <c r="AH30" s="19">
        <f t="shared" si="13"/>
        <v>0.97385132611131864</v>
      </c>
      <c r="AI30" s="18">
        <f t="shared" si="14"/>
        <v>1.0514579759862779</v>
      </c>
      <c r="AJ30" s="19">
        <f t="shared" si="15"/>
        <v>0.77530017152658659</v>
      </c>
      <c r="AK30" s="19">
        <f t="shared" si="16"/>
        <v>0.93267581475128647</v>
      </c>
      <c r="AL30" s="9"/>
      <c r="AM30" s="3">
        <f t="shared" si="17"/>
        <v>1997</v>
      </c>
      <c r="AN30" s="9">
        <f t="shared" si="18"/>
        <v>-151</v>
      </c>
      <c r="AO30" s="3">
        <f t="shared" si="19"/>
        <v>-957</v>
      </c>
      <c r="AP30" s="3">
        <f t="shared" si="20"/>
        <v>-224</v>
      </c>
      <c r="AQ30" s="3">
        <f t="shared" si="21"/>
        <v>-101</v>
      </c>
      <c r="AR30" s="3">
        <f t="shared" si="22"/>
        <v>264</v>
      </c>
      <c r="AS30" s="3">
        <f t="shared" si="23"/>
        <v>154</v>
      </c>
      <c r="AT30" s="3">
        <f t="shared" si="24"/>
        <v>30</v>
      </c>
      <c r="AU30" s="3">
        <f t="shared" si="25"/>
        <v>70</v>
      </c>
      <c r="AV30" s="3">
        <f t="shared" si="26"/>
        <v>-31</v>
      </c>
      <c r="AW30" s="3">
        <f t="shared" si="27"/>
        <v>83</v>
      </c>
      <c r="AX30" s="3">
        <f t="shared" si="28"/>
        <v>-343</v>
      </c>
      <c r="AY30" s="3">
        <f t="shared" si="29"/>
        <v>-366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ht="15.75">
      <c r="A31" s="3">
        <f>'Instant Old no Delete'!A32</f>
        <v>1998</v>
      </c>
      <c r="B31" s="379">
        <v>2001</v>
      </c>
      <c r="C31" s="377">
        <v>2184</v>
      </c>
      <c r="D31" s="380">
        <v>2332</v>
      </c>
      <c r="E31" s="377">
        <v>2210</v>
      </c>
      <c r="F31" s="377">
        <v>2601</v>
      </c>
      <c r="G31" s="377">
        <v>2921</v>
      </c>
      <c r="H31" s="377">
        <v>2891</v>
      </c>
      <c r="I31" s="378">
        <v>2945</v>
      </c>
      <c r="J31" s="377">
        <v>2688</v>
      </c>
      <c r="K31" s="377">
        <v>2665</v>
      </c>
      <c r="L31" s="377">
        <v>2189</v>
      </c>
      <c r="M31" s="377">
        <v>2064</v>
      </c>
      <c r="N31" s="3"/>
      <c r="O31" s="3"/>
      <c r="P31" s="9" t="s">
        <v>45</v>
      </c>
      <c r="Q31" s="26">
        <f t="shared" si="0"/>
        <v>2332</v>
      </c>
      <c r="R31" s="89">
        <f t="shared" si="1"/>
        <v>2945</v>
      </c>
      <c r="S31" s="12">
        <f t="shared" si="2"/>
        <v>2175</v>
      </c>
      <c r="T31" s="13">
        <f t="shared" si="3"/>
        <v>2332</v>
      </c>
      <c r="U31" s="9"/>
      <c r="V31" s="3"/>
      <c r="W31" s="3"/>
      <c r="X31" s="3"/>
      <c r="Y31" s="3">
        <f t="shared" si="4"/>
        <v>1998</v>
      </c>
      <c r="Z31" s="18">
        <f t="shared" si="5"/>
        <v>0.85806174957118353</v>
      </c>
      <c r="AA31" s="19">
        <f t="shared" si="6"/>
        <v>0.93653516295025729</v>
      </c>
      <c r="AB31" s="19">
        <f t="shared" si="7"/>
        <v>1</v>
      </c>
      <c r="AC31" s="18">
        <f t="shared" si="8"/>
        <v>0.75042444821731746</v>
      </c>
      <c r="AD31" s="19">
        <f t="shared" si="9"/>
        <v>0.88319185059422756</v>
      </c>
      <c r="AE31" s="19">
        <f t="shared" si="10"/>
        <v>0.99185059422750421</v>
      </c>
      <c r="AF31" s="19">
        <f t="shared" si="11"/>
        <v>0.98166383701188453</v>
      </c>
      <c r="AG31" s="19">
        <f t="shared" si="12"/>
        <v>1</v>
      </c>
      <c r="AH31" s="19">
        <f t="shared" si="13"/>
        <v>0.91273344651952459</v>
      </c>
      <c r="AI31" s="18">
        <f t="shared" si="14"/>
        <v>0.89130434782608692</v>
      </c>
      <c r="AJ31" s="19">
        <f t="shared" si="15"/>
        <v>0.73210702341137124</v>
      </c>
      <c r="AK31" s="19">
        <f t="shared" si="16"/>
        <v>0.69030100334448163</v>
      </c>
      <c r="AL31" s="9"/>
      <c r="AM31" s="3">
        <f t="shared" si="17"/>
        <v>1998</v>
      </c>
      <c r="AN31" s="9">
        <f t="shared" si="18"/>
        <v>-718</v>
      </c>
      <c r="AO31" s="3">
        <f t="shared" si="19"/>
        <v>195</v>
      </c>
      <c r="AP31" s="3">
        <f t="shared" si="20"/>
        <v>278</v>
      </c>
      <c r="AQ31" s="3">
        <f t="shared" si="21"/>
        <v>101</v>
      </c>
      <c r="AR31" s="3">
        <f t="shared" si="22"/>
        <v>-69</v>
      </c>
      <c r="AS31" s="3">
        <f t="shared" si="23"/>
        <v>252</v>
      </c>
      <c r="AT31" s="3">
        <f t="shared" si="24"/>
        <v>214</v>
      </c>
      <c r="AU31" s="3">
        <f t="shared" si="25"/>
        <v>296</v>
      </c>
      <c r="AV31" s="3">
        <f t="shared" si="26"/>
        <v>81</v>
      </c>
      <c r="AW31" s="3">
        <f t="shared" si="27"/>
        <v>213</v>
      </c>
      <c r="AX31" s="3">
        <f t="shared" si="28"/>
        <v>381</v>
      </c>
      <c r="AY31" s="3">
        <f t="shared" si="29"/>
        <v>-111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 ht="15.75">
      <c r="A32" s="3">
        <f>'Instant Old no Delete'!A33</f>
        <v>1999</v>
      </c>
      <c r="B32" s="376">
        <v>2990</v>
      </c>
      <c r="C32" s="377">
        <v>2386</v>
      </c>
      <c r="D32" s="377">
        <v>2084</v>
      </c>
      <c r="E32" s="377">
        <v>2661</v>
      </c>
      <c r="F32" s="377">
        <v>2644</v>
      </c>
      <c r="G32" s="377">
        <v>2712</v>
      </c>
      <c r="H32" s="377">
        <v>2984</v>
      </c>
      <c r="I32" s="381">
        <v>3069</v>
      </c>
      <c r="J32" s="377">
        <v>2802</v>
      </c>
      <c r="K32" s="377">
        <v>2550</v>
      </c>
      <c r="L32" s="377">
        <v>2086</v>
      </c>
      <c r="M32" s="377">
        <v>2250</v>
      </c>
      <c r="N32" s="3"/>
      <c r="O32" s="3"/>
      <c r="P32" s="9" t="s">
        <v>46</v>
      </c>
      <c r="Q32" s="26">
        <f t="shared" si="0"/>
        <v>2990</v>
      </c>
      <c r="R32" s="89">
        <f t="shared" si="1"/>
        <v>3069</v>
      </c>
      <c r="S32" s="12">
        <f t="shared" si="2"/>
        <v>2189</v>
      </c>
      <c r="T32" s="13">
        <f t="shared" si="3"/>
        <v>2990</v>
      </c>
      <c r="U32" s="9"/>
      <c r="V32" s="3"/>
      <c r="W32" s="3"/>
      <c r="X32" s="3"/>
      <c r="Y32" s="3">
        <f t="shared" si="4"/>
        <v>1999</v>
      </c>
      <c r="Z32" s="18">
        <f t="shared" si="5"/>
        <v>1</v>
      </c>
      <c r="AA32" s="19">
        <f t="shared" si="6"/>
        <v>0.79799331103678928</v>
      </c>
      <c r="AB32" s="19">
        <f t="shared" si="7"/>
        <v>0.69698996655518397</v>
      </c>
      <c r="AC32" s="18">
        <f t="shared" si="8"/>
        <v>0.86705767350928642</v>
      </c>
      <c r="AD32" s="19">
        <f t="shared" si="9"/>
        <v>0.86151840990550665</v>
      </c>
      <c r="AE32" s="19">
        <f t="shared" si="10"/>
        <v>0.8836754643206256</v>
      </c>
      <c r="AF32" s="19">
        <f t="shared" si="11"/>
        <v>0.97230368198110129</v>
      </c>
      <c r="AG32" s="19">
        <f t="shared" si="12"/>
        <v>1</v>
      </c>
      <c r="AH32" s="19">
        <f t="shared" si="13"/>
        <v>0.91300097751710652</v>
      </c>
      <c r="AI32" s="18"/>
      <c r="AJ32" s="19"/>
      <c r="AK32" s="19"/>
      <c r="AL32" s="9"/>
      <c r="AM32" s="3">
        <f t="shared" si="17"/>
        <v>1999</v>
      </c>
      <c r="AN32" s="9">
        <f t="shared" si="18"/>
        <v>989</v>
      </c>
      <c r="AO32" s="3">
        <f t="shared" si="19"/>
        <v>202</v>
      </c>
      <c r="AP32" s="3">
        <f t="shared" si="20"/>
        <v>-248</v>
      </c>
      <c r="AQ32" s="3">
        <f t="shared" si="21"/>
        <v>451</v>
      </c>
      <c r="AR32" s="3">
        <f t="shared" si="22"/>
        <v>43</v>
      </c>
      <c r="AS32" s="3">
        <f t="shared" si="23"/>
        <v>-209</v>
      </c>
      <c r="AT32" s="3">
        <f t="shared" si="24"/>
        <v>93</v>
      </c>
      <c r="AU32" s="3">
        <f t="shared" si="25"/>
        <v>124</v>
      </c>
      <c r="AV32" s="3">
        <f t="shared" si="26"/>
        <v>114</v>
      </c>
      <c r="AW32" s="3">
        <f t="shared" si="27"/>
        <v>-115</v>
      </c>
      <c r="AX32" s="3">
        <f t="shared" si="28"/>
        <v>-103</v>
      </c>
      <c r="AY32" s="3">
        <f t="shared" si="29"/>
        <v>186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 ht="15.75">
      <c r="A33" s="3">
        <f>'Instant Old no Delete'!A34</f>
        <v>2000</v>
      </c>
      <c r="B33" s="376">
        <v>3009</v>
      </c>
      <c r="C33" s="377">
        <v>2536</v>
      </c>
      <c r="D33" s="377">
        <v>2392</v>
      </c>
      <c r="E33" s="377">
        <v>2280</v>
      </c>
      <c r="F33" s="377">
        <v>2847</v>
      </c>
      <c r="G33" s="377">
        <v>2914</v>
      </c>
      <c r="H33" s="381">
        <v>3067</v>
      </c>
      <c r="I33" s="377">
        <v>3028</v>
      </c>
      <c r="J33" s="377">
        <v>2875</v>
      </c>
      <c r="K33" s="377">
        <v>2849</v>
      </c>
      <c r="L33" s="377">
        <v>2297.63</v>
      </c>
      <c r="M33" s="377">
        <v>2972.8168999999998</v>
      </c>
      <c r="N33" s="3"/>
      <c r="O33" s="3"/>
      <c r="P33" s="9" t="s">
        <v>47</v>
      </c>
      <c r="Q33" s="271">
        <f>MAX(S33:T33)</f>
        <v>3009</v>
      </c>
      <c r="R33" s="272">
        <f>MAX(E33:J33)</f>
        <v>3067</v>
      </c>
      <c r="S33" s="273">
        <f>MAX(L32:M32)</f>
        <v>2250</v>
      </c>
      <c r="T33" s="274">
        <f>MAX(B33:D33)</f>
        <v>3009</v>
      </c>
      <c r="U33" s="9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1:254" ht="15.75">
      <c r="A34" s="3">
        <f>'Instant Old no Delete'!A35</f>
        <v>2001</v>
      </c>
      <c r="B34" s="376">
        <v>3407</v>
      </c>
      <c r="C34" s="377">
        <v>2512</v>
      </c>
      <c r="D34" s="377">
        <v>2236</v>
      </c>
      <c r="E34" s="382">
        <v>2581</v>
      </c>
      <c r="F34" s="377">
        <v>2943</v>
      </c>
      <c r="G34" s="377">
        <v>3093</v>
      </c>
      <c r="H34" s="377">
        <v>3105</v>
      </c>
      <c r="I34" s="381">
        <v>3165</v>
      </c>
      <c r="J34" s="377">
        <v>2989</v>
      </c>
      <c r="K34" s="377">
        <v>2755</v>
      </c>
      <c r="L34" s="377">
        <v>2202</v>
      </c>
      <c r="M34" s="377">
        <v>2387</v>
      </c>
      <c r="N34" s="3"/>
      <c r="O34" s="3"/>
      <c r="P34" s="14">
        <v>2001</v>
      </c>
      <c r="Q34" s="271">
        <f>MAX(S34:T34)</f>
        <v>3407</v>
      </c>
      <c r="R34" s="272">
        <f>MAX(E34:J34)</f>
        <v>3165</v>
      </c>
      <c r="S34" s="273">
        <f>MAX(L33:M33)</f>
        <v>2972.8168999999998</v>
      </c>
      <c r="T34" s="274">
        <f>MAX(B34:D34)</f>
        <v>3407</v>
      </c>
      <c r="U34" s="3"/>
      <c r="V34" s="3"/>
      <c r="W34" s="3"/>
      <c r="X34" s="3"/>
      <c r="Y34" s="10" t="s">
        <v>52</v>
      </c>
      <c r="Z34" s="19" t="e">
        <f t="shared" ref="Z34:AK34" si="31">MAX(Z6:Z32)</f>
        <v>#DIV/0!</v>
      </c>
      <c r="AA34" s="19" t="e">
        <f t="shared" si="31"/>
        <v>#DIV/0!</v>
      </c>
      <c r="AB34" s="19" t="e">
        <f t="shared" si="31"/>
        <v>#DIV/0!</v>
      </c>
      <c r="AC34" s="19" t="e">
        <f t="shared" si="31"/>
        <v>#DIV/0!</v>
      </c>
      <c r="AD34" s="19" t="e">
        <f t="shared" si="31"/>
        <v>#DIV/0!</v>
      </c>
      <c r="AE34" s="19" t="e">
        <f t="shared" si="31"/>
        <v>#DIV/0!</v>
      </c>
      <c r="AF34" s="19" t="e">
        <f t="shared" si="31"/>
        <v>#DIV/0!</v>
      </c>
      <c r="AG34" s="19" t="e">
        <f t="shared" si="31"/>
        <v>#DIV/0!</v>
      </c>
      <c r="AH34" s="19" t="e">
        <f t="shared" si="31"/>
        <v>#DIV/0!</v>
      </c>
      <c r="AI34" s="19" t="e">
        <f t="shared" si="31"/>
        <v>#DIV/0!</v>
      </c>
      <c r="AJ34" s="19" t="e">
        <f t="shared" si="31"/>
        <v>#DIV/0!</v>
      </c>
      <c r="AK34" s="19" t="e">
        <f t="shared" si="31"/>
        <v>#DIV/0!</v>
      </c>
      <c r="AL34" s="3"/>
      <c r="AM34" s="10" t="s">
        <v>52</v>
      </c>
      <c r="AN34" s="3">
        <f t="shared" ref="AN34:AY34" si="32">MAX(AN7:AN32)</f>
        <v>1654</v>
      </c>
      <c r="AO34" s="3">
        <f t="shared" si="32"/>
        <v>1729</v>
      </c>
      <c r="AP34" s="3" t="e">
        <f t="shared" si="32"/>
        <v>#VALUE!</v>
      </c>
      <c r="AQ34" s="3">
        <f t="shared" si="32"/>
        <v>1273</v>
      </c>
      <c r="AR34" s="3">
        <f t="shared" si="32"/>
        <v>1566</v>
      </c>
      <c r="AS34" s="3">
        <f t="shared" si="32"/>
        <v>1567</v>
      </c>
      <c r="AT34" s="3">
        <f t="shared" si="32"/>
        <v>1742</v>
      </c>
      <c r="AU34" s="3">
        <f t="shared" si="32"/>
        <v>1722</v>
      </c>
      <c r="AV34" s="3">
        <f t="shared" si="32"/>
        <v>1639</v>
      </c>
      <c r="AW34" s="3">
        <f t="shared" si="32"/>
        <v>1428</v>
      </c>
      <c r="AX34" s="3">
        <f t="shared" si="32"/>
        <v>1282</v>
      </c>
      <c r="AY34" s="3">
        <f t="shared" si="32"/>
        <v>1606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1:254" ht="15.75">
      <c r="A35" s="3">
        <f>'Instant Old no Delete'!A36</f>
        <v>2002</v>
      </c>
      <c r="B35" s="376">
        <v>3259</v>
      </c>
      <c r="C35" s="377">
        <v>2877</v>
      </c>
      <c r="D35" s="377">
        <v>2693</v>
      </c>
      <c r="E35" s="377">
        <v>2959</v>
      </c>
      <c r="F35" s="377">
        <v>3143</v>
      </c>
      <c r="G35" s="377">
        <v>3216</v>
      </c>
      <c r="H35" s="381">
        <v>3318</v>
      </c>
      <c r="I35" s="377">
        <v>3183</v>
      </c>
      <c r="J35" s="377">
        <v>3197</v>
      </c>
      <c r="K35" s="377">
        <v>3039</v>
      </c>
      <c r="L35" s="377">
        <v>2728</v>
      </c>
      <c r="M35" s="377">
        <v>2677</v>
      </c>
      <c r="N35" s="3"/>
      <c r="O35" s="3"/>
      <c r="P35" s="14">
        <f>+P34+1</f>
        <v>2002</v>
      </c>
      <c r="Q35" s="271">
        <f t="shared" ref="Q35:Q52" si="33">MAX(S35:T35)</f>
        <v>3259</v>
      </c>
      <c r="R35" s="272">
        <f t="shared" ref="R35:R52" si="34">MAX(E35:J35)</f>
        <v>3318</v>
      </c>
      <c r="S35" s="273">
        <f t="shared" ref="S35:S52" si="35">MAX(L34:M34)</f>
        <v>2387</v>
      </c>
      <c r="T35" s="274">
        <f t="shared" ref="T35:T52" si="36">MAX(B35:D35)</f>
        <v>3259</v>
      </c>
      <c r="U35" s="3"/>
      <c r="V35" s="3"/>
      <c r="W35" s="3"/>
      <c r="X35" s="3"/>
      <c r="Y35" s="10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3"/>
      <c r="AM35" s="10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</row>
    <row r="36" spans="1:254" ht="15.75">
      <c r="A36" s="3">
        <f>'Instant Old no Delete'!A37</f>
        <v>2003</v>
      </c>
      <c r="B36" s="376">
        <v>3455</v>
      </c>
      <c r="C36" s="377">
        <v>2305</v>
      </c>
      <c r="D36" s="377">
        <v>2828</v>
      </c>
      <c r="E36" s="377">
        <v>2815</v>
      </c>
      <c r="F36" s="383">
        <v>3164</v>
      </c>
      <c r="G36" s="383">
        <v>3183</v>
      </c>
      <c r="H36" s="381">
        <v>3351</v>
      </c>
      <c r="I36" s="383">
        <v>3203</v>
      </c>
      <c r="J36" s="383">
        <v>3153</v>
      </c>
      <c r="K36" s="383">
        <v>3033</v>
      </c>
      <c r="L36" s="383">
        <v>2843</v>
      </c>
      <c r="M36" s="383">
        <v>2776</v>
      </c>
      <c r="N36" s="3"/>
      <c r="O36" s="3"/>
      <c r="P36" s="14">
        <f t="shared" ref="P36:P56" si="37">+P35+1</f>
        <v>2003</v>
      </c>
      <c r="Q36" s="271">
        <f t="shared" si="33"/>
        <v>3455</v>
      </c>
      <c r="R36" s="272">
        <f t="shared" si="34"/>
        <v>3351</v>
      </c>
      <c r="S36" s="273">
        <f t="shared" si="35"/>
        <v>2728</v>
      </c>
      <c r="T36" s="274">
        <f t="shared" si="36"/>
        <v>3455</v>
      </c>
      <c r="U36" s="3"/>
      <c r="V36" s="3"/>
      <c r="W36" s="3"/>
      <c r="X36" s="3"/>
      <c r="Y36" s="10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3"/>
      <c r="AM36" s="10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54" ht="15.75">
      <c r="A37" s="3">
        <f>'Instant Old no Delete'!A38</f>
        <v>2004</v>
      </c>
      <c r="B37" s="376">
        <v>2936</v>
      </c>
      <c r="C37" s="377">
        <v>2723</v>
      </c>
      <c r="D37" s="377">
        <v>2285</v>
      </c>
      <c r="E37" s="377">
        <v>2844</v>
      </c>
      <c r="F37" s="377">
        <v>3261</v>
      </c>
      <c r="G37" s="381">
        <v>3445</v>
      </c>
      <c r="H37" s="383">
        <v>3357</v>
      </c>
      <c r="I37" s="383">
        <v>3397</v>
      </c>
      <c r="J37" s="383">
        <v>3324</v>
      </c>
      <c r="K37" s="383">
        <v>3114</v>
      </c>
      <c r="L37" s="383">
        <v>2805</v>
      </c>
      <c r="M37" s="383">
        <v>2916</v>
      </c>
      <c r="N37" s="3"/>
      <c r="O37" s="3"/>
      <c r="P37" s="14">
        <f t="shared" si="37"/>
        <v>2004</v>
      </c>
      <c r="Q37" s="271">
        <f t="shared" si="33"/>
        <v>2936</v>
      </c>
      <c r="R37" s="272">
        <f t="shared" si="34"/>
        <v>3445</v>
      </c>
      <c r="S37" s="273">
        <f t="shared" si="35"/>
        <v>2843</v>
      </c>
      <c r="T37" s="274">
        <f t="shared" si="36"/>
        <v>2936</v>
      </c>
      <c r="U37" s="3"/>
      <c r="V37" s="3"/>
      <c r="W37" s="3"/>
      <c r="X37" s="3"/>
      <c r="Y37" s="3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54" ht="15.75">
      <c r="A38" s="3">
        <f>'Instant Old no Delete'!A39</f>
        <v>2005</v>
      </c>
      <c r="B38" s="384">
        <v>3287</v>
      </c>
      <c r="C38" s="377">
        <v>2495</v>
      </c>
      <c r="D38" s="377">
        <v>2675</v>
      </c>
      <c r="E38" s="377">
        <v>2726</v>
      </c>
      <c r="F38" s="377">
        <v>3205</v>
      </c>
      <c r="G38" s="383">
        <v>3474</v>
      </c>
      <c r="H38" s="383">
        <v>3640</v>
      </c>
      <c r="I38" s="381">
        <v>3725</v>
      </c>
      <c r="J38" s="383">
        <v>3433</v>
      </c>
      <c r="K38" s="383">
        <v>3242</v>
      </c>
      <c r="L38" s="383">
        <v>2602</v>
      </c>
      <c r="M38" s="383">
        <v>2717</v>
      </c>
      <c r="N38" s="3"/>
      <c r="O38" s="3"/>
      <c r="P38" s="14">
        <f t="shared" si="37"/>
        <v>2005</v>
      </c>
      <c r="Q38" s="271">
        <f t="shared" si="33"/>
        <v>3287</v>
      </c>
      <c r="R38" s="272">
        <f t="shared" si="34"/>
        <v>3725</v>
      </c>
      <c r="S38" s="273">
        <f t="shared" si="35"/>
        <v>2916</v>
      </c>
      <c r="T38" s="274">
        <f t="shared" si="36"/>
        <v>3287</v>
      </c>
      <c r="U38" s="3"/>
      <c r="V38" s="3"/>
      <c r="W38" s="3"/>
      <c r="X38" s="3"/>
      <c r="Y38" s="3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54" ht="15.75">
      <c r="A39" s="184">
        <f>'Instant Old no Delete'!A40</f>
        <v>2006</v>
      </c>
      <c r="B39" s="377">
        <v>2748</v>
      </c>
      <c r="C39" s="380">
        <v>3523</v>
      </c>
      <c r="D39" s="377">
        <v>2545</v>
      </c>
      <c r="E39" s="377">
        <v>3215</v>
      </c>
      <c r="F39" s="377">
        <v>3389</v>
      </c>
      <c r="G39" s="383">
        <v>3584</v>
      </c>
      <c r="H39" s="383">
        <v>3693</v>
      </c>
      <c r="I39" s="381">
        <v>3769</v>
      </c>
      <c r="J39" s="383">
        <v>3468</v>
      </c>
      <c r="K39" s="383">
        <v>3312</v>
      </c>
      <c r="L39" s="383">
        <v>2737</v>
      </c>
      <c r="M39" s="383">
        <v>2452</v>
      </c>
      <c r="N39" s="3"/>
      <c r="O39" s="3"/>
      <c r="P39" s="14">
        <f t="shared" si="37"/>
        <v>2006</v>
      </c>
      <c r="Q39" s="271">
        <f t="shared" si="33"/>
        <v>3523</v>
      </c>
      <c r="R39" s="272">
        <f t="shared" si="34"/>
        <v>3769</v>
      </c>
      <c r="S39" s="273">
        <f t="shared" si="35"/>
        <v>2717</v>
      </c>
      <c r="T39" s="274">
        <f t="shared" si="36"/>
        <v>3523</v>
      </c>
      <c r="U39" s="3"/>
      <c r="V39" s="3"/>
      <c r="W39" s="3"/>
      <c r="X39" s="3"/>
      <c r="Y39" s="3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</row>
    <row r="40" spans="1:254" ht="15.75">
      <c r="A40" s="184">
        <f>'Instant Old no Delete'!A41</f>
        <v>2007</v>
      </c>
      <c r="B40" s="385">
        <v>2980.3658364188682</v>
      </c>
      <c r="C40" s="386">
        <v>3126.8318480246066</v>
      </c>
      <c r="D40" s="385">
        <v>2745.3826337947949</v>
      </c>
      <c r="E40" s="377">
        <v>3055</v>
      </c>
      <c r="F40" s="377">
        <v>3265.2413082725193</v>
      </c>
      <c r="G40" s="383">
        <v>3614</v>
      </c>
      <c r="H40" s="387">
        <v>3772.4114190034975</v>
      </c>
      <c r="I40" s="381">
        <v>3876.4669031326162</v>
      </c>
      <c r="J40" s="383">
        <v>3685</v>
      </c>
      <c r="K40" s="383">
        <v>3530.1643178142754</v>
      </c>
      <c r="L40" s="383">
        <v>2746.457648201153</v>
      </c>
      <c r="M40" s="383">
        <v>2643.5401307799816</v>
      </c>
      <c r="N40" s="3"/>
      <c r="O40" s="3"/>
      <c r="P40" s="14">
        <f t="shared" si="37"/>
        <v>2007</v>
      </c>
      <c r="Q40" s="271">
        <f t="shared" si="33"/>
        <v>3126.8318480246066</v>
      </c>
      <c r="R40" s="272">
        <f t="shared" si="34"/>
        <v>3876.4669031326162</v>
      </c>
      <c r="S40" s="273">
        <f t="shared" si="35"/>
        <v>2737</v>
      </c>
      <c r="T40" s="274">
        <f t="shared" si="36"/>
        <v>3126.8318480246066</v>
      </c>
      <c r="U40" s="3"/>
      <c r="V40" s="3"/>
      <c r="W40" s="3"/>
      <c r="X40" s="3"/>
      <c r="Y40" s="3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</row>
    <row r="41" spans="1:254" ht="15.75">
      <c r="A41" s="184">
        <f>'Instant Old no Delete'!A42</f>
        <v>2008</v>
      </c>
      <c r="B41" s="380">
        <v>3442.6210366761084</v>
      </c>
      <c r="C41" s="377">
        <v>2716.337214486678</v>
      </c>
      <c r="D41" s="377">
        <v>2637.5203276982493</v>
      </c>
      <c r="E41" s="377">
        <v>2956.6265747708667</v>
      </c>
      <c r="F41" s="377">
        <v>3435</v>
      </c>
      <c r="G41" s="388">
        <v>3722.8302993563457</v>
      </c>
      <c r="H41" s="377">
        <v>3685.7308520058773</v>
      </c>
      <c r="I41" s="377">
        <v>3718.6977248671565</v>
      </c>
      <c r="J41" s="377">
        <v>3596.1752662087838</v>
      </c>
      <c r="K41" s="377">
        <v>3225</v>
      </c>
      <c r="L41" s="377">
        <v>2767.9377902353781</v>
      </c>
      <c r="M41" s="377">
        <v>2897.5064023405339</v>
      </c>
      <c r="N41" s="3"/>
      <c r="O41" s="3"/>
      <c r="P41" s="14">
        <f t="shared" si="37"/>
        <v>2008</v>
      </c>
      <c r="Q41" s="271">
        <f t="shared" si="33"/>
        <v>3442.6210366761084</v>
      </c>
      <c r="R41" s="272">
        <f t="shared" si="34"/>
        <v>3722.8302993563457</v>
      </c>
      <c r="S41" s="273">
        <f t="shared" si="35"/>
        <v>2746.457648201153</v>
      </c>
      <c r="T41" s="274">
        <f t="shared" si="36"/>
        <v>3442.6210366761084</v>
      </c>
      <c r="U41" s="3"/>
      <c r="V41" s="3"/>
      <c r="W41" s="3"/>
      <c r="X41" s="3"/>
      <c r="Y41" s="3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</row>
    <row r="42" spans="1:254" ht="15.75">
      <c r="A42" s="184">
        <f>'Instant Old no Delete'!A43</f>
        <v>2009</v>
      </c>
      <c r="B42" s="389">
        <v>3753.8897423428657</v>
      </c>
      <c r="C42" s="374">
        <v>3642.890649957566</v>
      </c>
      <c r="D42" s="374">
        <v>2817.5970037223897</v>
      </c>
      <c r="E42" s="374">
        <v>2921.5901955356867</v>
      </c>
      <c r="F42" s="374">
        <v>3326.7854659078444</v>
      </c>
      <c r="G42" s="388">
        <v>3799.0843508985245</v>
      </c>
      <c r="H42" s="374">
        <v>3583</v>
      </c>
      <c r="I42" s="374">
        <v>3593.7574566411263</v>
      </c>
      <c r="J42" s="374">
        <v>3493.1408190968318</v>
      </c>
      <c r="K42" s="374">
        <v>3501.1500884504935</v>
      </c>
      <c r="L42" s="374">
        <v>2663</v>
      </c>
      <c r="M42" s="374">
        <v>2592</v>
      </c>
      <c r="N42" s="3"/>
      <c r="O42" s="3"/>
      <c r="P42" s="14">
        <f t="shared" si="37"/>
        <v>2009</v>
      </c>
      <c r="Q42" s="271">
        <f t="shared" si="33"/>
        <v>3753.8897423428657</v>
      </c>
      <c r="R42" s="272">
        <f t="shared" si="34"/>
        <v>3799.0843508985245</v>
      </c>
      <c r="S42" s="273">
        <f t="shared" si="35"/>
        <v>2897.5064023405339</v>
      </c>
      <c r="T42" s="274">
        <f t="shared" si="36"/>
        <v>3753.8897423428657</v>
      </c>
      <c r="U42" s="3"/>
      <c r="V42" s="3"/>
      <c r="W42" s="3"/>
      <c r="X42" s="3"/>
      <c r="Y42" s="3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</row>
    <row r="43" spans="1:254" ht="15.75">
      <c r="A43" s="184">
        <f>'Instant Old no Delete'!A44</f>
        <v>2010</v>
      </c>
      <c r="B43" s="389">
        <v>4245.8733449373285</v>
      </c>
      <c r="C43" s="374">
        <v>3177.7567787946577</v>
      </c>
      <c r="D43" s="374">
        <v>3058.8829419826875</v>
      </c>
      <c r="E43" s="374">
        <v>2689.4478843996567</v>
      </c>
      <c r="F43" s="374">
        <v>3405</v>
      </c>
      <c r="G43" s="374">
        <v>3674.7073213553185</v>
      </c>
      <c r="H43" s="374">
        <v>3654</v>
      </c>
      <c r="I43" s="388">
        <v>3710.0040445054492</v>
      </c>
      <c r="J43" s="374">
        <v>3515.9736333139572</v>
      </c>
      <c r="K43" s="374">
        <v>3161.6203091616626</v>
      </c>
      <c r="L43" s="374">
        <v>2668</v>
      </c>
      <c r="M43" s="389">
        <v>3734.8574484194451</v>
      </c>
      <c r="N43" s="3"/>
      <c r="O43" s="3"/>
      <c r="P43" s="14">
        <f t="shared" si="37"/>
        <v>2010</v>
      </c>
      <c r="Q43" s="271">
        <f t="shared" si="33"/>
        <v>4245.8733449373285</v>
      </c>
      <c r="R43" s="272">
        <f t="shared" si="34"/>
        <v>3710.0040445054492</v>
      </c>
      <c r="S43" s="273">
        <f t="shared" si="35"/>
        <v>2663</v>
      </c>
      <c r="T43" s="274">
        <f t="shared" si="36"/>
        <v>4245.8733449373285</v>
      </c>
      <c r="U43" s="3"/>
      <c r="V43" s="3"/>
      <c r="W43" s="3"/>
      <c r="X43" s="3"/>
      <c r="Y43" s="3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</row>
    <row r="44" spans="1:254" ht="15.75">
      <c r="A44" s="184">
        <f>'Instant Old no Delete'!A45</f>
        <v>2011</v>
      </c>
      <c r="B44" s="374">
        <v>3499.2723925726395</v>
      </c>
      <c r="C44" s="374">
        <v>2695.8602575525056</v>
      </c>
      <c r="D44" s="374">
        <v>2498.5887531557082</v>
      </c>
      <c r="E44" s="374">
        <v>3180</v>
      </c>
      <c r="F44" s="374">
        <v>3338</v>
      </c>
      <c r="G44" s="374">
        <v>3648</v>
      </c>
      <c r="H44" s="374">
        <v>3512.3462431219737</v>
      </c>
      <c r="I44" s="388">
        <v>3698.9615628757679</v>
      </c>
      <c r="J44" s="374">
        <v>3380.9011075894136</v>
      </c>
      <c r="K44" s="374">
        <v>2857</v>
      </c>
      <c r="L44" s="374">
        <v>2590.2179433615815</v>
      </c>
      <c r="M44" s="374">
        <v>2234</v>
      </c>
      <c r="N44" s="3"/>
      <c r="O44" s="3"/>
      <c r="P44" s="14">
        <f t="shared" si="37"/>
        <v>2011</v>
      </c>
      <c r="Q44" s="271">
        <f t="shared" si="33"/>
        <v>3734.8574484194451</v>
      </c>
      <c r="R44" s="272">
        <f t="shared" si="34"/>
        <v>3698.9615628757679</v>
      </c>
      <c r="S44" s="273">
        <f t="shared" si="35"/>
        <v>3734.8574484194451</v>
      </c>
      <c r="T44" s="274">
        <f t="shared" si="36"/>
        <v>3499.2723925726395</v>
      </c>
      <c r="U44" s="3"/>
      <c r="V44" s="3"/>
      <c r="W44" s="3"/>
      <c r="X44" s="3"/>
      <c r="Y44" s="3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54" ht="15.75">
      <c r="A45" s="184">
        <f>'Instant Old no Delete'!A46</f>
        <v>2012</v>
      </c>
      <c r="B45" s="389">
        <v>3267</v>
      </c>
      <c r="C45" s="374">
        <v>3092.197402312504</v>
      </c>
      <c r="D45" s="374">
        <v>2715</v>
      </c>
      <c r="E45" s="374">
        <v>2912.3778325326443</v>
      </c>
      <c r="F45" s="374">
        <v>3376.1377182731339</v>
      </c>
      <c r="G45" s="374">
        <v>3497.2203094162846</v>
      </c>
      <c r="H45" s="374">
        <v>3497.8361838957885</v>
      </c>
      <c r="I45" s="388">
        <v>3627.1748580194662</v>
      </c>
      <c r="J45" s="374">
        <v>3385.9639987574483</v>
      </c>
      <c r="K45" s="374">
        <v>3245.0971104249952</v>
      </c>
      <c r="L45" s="374">
        <v>2245.6472932508086</v>
      </c>
      <c r="M45" s="374">
        <v>2391</v>
      </c>
      <c r="N45" s="3"/>
      <c r="O45" s="3"/>
      <c r="P45" s="14">
        <f t="shared" si="37"/>
        <v>2012</v>
      </c>
      <c r="Q45" s="271">
        <f t="shared" si="33"/>
        <v>3267</v>
      </c>
      <c r="R45" s="272">
        <f t="shared" si="34"/>
        <v>3627.1748580194662</v>
      </c>
      <c r="S45" s="273">
        <f t="shared" si="35"/>
        <v>2590.2179433615815</v>
      </c>
      <c r="T45" s="274">
        <f t="shared" si="36"/>
        <v>3267</v>
      </c>
      <c r="U45" s="3"/>
      <c r="V45" s="3"/>
      <c r="W45" s="3"/>
      <c r="X45" s="3"/>
      <c r="Y45" s="3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</row>
    <row r="46" spans="1:254" ht="15.75">
      <c r="A46" s="184">
        <f>'Instant Old no Delete'!A47</f>
        <v>2013</v>
      </c>
      <c r="B46" s="374">
        <v>2333.7860569345189</v>
      </c>
      <c r="C46" s="389">
        <v>2918.0391265819349</v>
      </c>
      <c r="D46" s="374">
        <v>2785.2461598520713</v>
      </c>
      <c r="E46" s="374">
        <v>3141.882515640259</v>
      </c>
      <c r="F46" s="374">
        <v>3244</v>
      </c>
      <c r="G46" s="374">
        <v>3538.1700815506356</v>
      </c>
      <c r="H46" s="374">
        <v>3516</v>
      </c>
      <c r="I46" s="388">
        <v>3614.2466019981289</v>
      </c>
      <c r="J46" s="374">
        <v>3480</v>
      </c>
      <c r="K46" s="374">
        <v>3190.2899269812297</v>
      </c>
      <c r="L46" s="374">
        <v>2749.834193110094</v>
      </c>
      <c r="M46" s="374">
        <v>2455</v>
      </c>
      <c r="N46" s="3"/>
      <c r="O46" s="3"/>
      <c r="P46" s="14">
        <f t="shared" si="37"/>
        <v>2013</v>
      </c>
      <c r="Q46" s="271">
        <f t="shared" si="33"/>
        <v>2918.0391265819349</v>
      </c>
      <c r="R46" s="272">
        <f t="shared" si="34"/>
        <v>3614.2466019981289</v>
      </c>
      <c r="S46" s="273">
        <f t="shared" si="35"/>
        <v>2391</v>
      </c>
      <c r="T46" s="274">
        <f t="shared" si="36"/>
        <v>2918.0391265819349</v>
      </c>
      <c r="U46" s="3"/>
      <c r="V46" s="3"/>
      <c r="W46" s="3"/>
      <c r="X46" s="3"/>
      <c r="Y46" s="3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</row>
    <row r="47" spans="1:254" ht="15.75">
      <c r="A47" s="184">
        <f>'Instant Old no Delete'!A48</f>
        <v>2014</v>
      </c>
      <c r="B47" s="389">
        <v>3079.1624935030936</v>
      </c>
      <c r="C47" s="374">
        <v>2457.2163913989066</v>
      </c>
      <c r="D47" s="374">
        <v>2277.696380342245</v>
      </c>
      <c r="E47" s="374">
        <v>3201.0815971038951</v>
      </c>
      <c r="F47" s="374">
        <v>3285</v>
      </c>
      <c r="G47" s="374">
        <v>3647.5589999999997</v>
      </c>
      <c r="H47" s="374">
        <v>3520</v>
      </c>
      <c r="I47" s="388">
        <v>3756.982</v>
      </c>
      <c r="J47" s="374">
        <v>3490</v>
      </c>
      <c r="K47" s="374">
        <v>3300.0790000000002</v>
      </c>
      <c r="L47" s="374">
        <v>2532.8130000000001</v>
      </c>
      <c r="M47" s="374">
        <v>2709.0920000000001</v>
      </c>
      <c r="N47" s="1" t="s">
        <v>331</v>
      </c>
      <c r="O47" s="3"/>
      <c r="P47" s="14">
        <f t="shared" si="37"/>
        <v>2014</v>
      </c>
      <c r="Q47" s="271">
        <f t="shared" si="33"/>
        <v>3079.1624935030936</v>
      </c>
      <c r="R47" s="272">
        <f t="shared" si="34"/>
        <v>3756.982</v>
      </c>
      <c r="S47" s="273">
        <f t="shared" si="35"/>
        <v>2749.834193110094</v>
      </c>
      <c r="T47" s="274">
        <f t="shared" si="36"/>
        <v>3079.1624935030936</v>
      </c>
      <c r="U47" s="3"/>
      <c r="V47" s="3"/>
      <c r="W47" s="3"/>
      <c r="X47" s="3"/>
      <c r="Y47" s="3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</row>
    <row r="48" spans="1:254" ht="15.75">
      <c r="A48" s="184">
        <f>'Instant Old no Delete'!A49</f>
        <v>2015</v>
      </c>
      <c r="B48" s="374">
        <v>2531.9117724087241</v>
      </c>
      <c r="C48" s="389">
        <v>3390.4117164034842</v>
      </c>
      <c r="D48" s="374">
        <v>2795.8840749722895</v>
      </c>
      <c r="E48" s="374">
        <v>3073.8941902602801</v>
      </c>
      <c r="F48" s="374">
        <v>3532.0068813686648</v>
      </c>
      <c r="G48" s="374">
        <v>3691.4385082180656</v>
      </c>
      <c r="H48" s="374">
        <v>3630</v>
      </c>
      <c r="I48" s="388">
        <v>3784.4282553436128</v>
      </c>
      <c r="J48" s="374">
        <v>3689</v>
      </c>
      <c r="K48" s="374">
        <v>3169</v>
      </c>
      <c r="L48" s="374">
        <v>3170.5040903561116</v>
      </c>
      <c r="M48" s="374">
        <v>2776</v>
      </c>
      <c r="N48" s="1" t="s">
        <v>331</v>
      </c>
      <c r="O48" s="3"/>
      <c r="P48" s="14">
        <f t="shared" si="37"/>
        <v>2015</v>
      </c>
      <c r="Q48" s="271">
        <f t="shared" si="33"/>
        <v>3390.4117164034842</v>
      </c>
      <c r="R48" s="272">
        <f t="shared" si="34"/>
        <v>3784.4282553436128</v>
      </c>
      <c r="S48" s="273">
        <f t="shared" si="35"/>
        <v>2709.0920000000001</v>
      </c>
      <c r="T48" s="274">
        <f t="shared" si="36"/>
        <v>3390.4117164034842</v>
      </c>
      <c r="U48" s="3"/>
      <c r="V48" s="3"/>
      <c r="W48" s="3"/>
      <c r="X48" s="3"/>
      <c r="Y48" s="3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</row>
    <row r="49" spans="1:254" ht="15.75">
      <c r="A49" s="184">
        <f>'Instant Old no Delete'!A50</f>
        <v>2016</v>
      </c>
      <c r="B49" s="389">
        <v>3171.2320668115899</v>
      </c>
      <c r="C49" s="374">
        <v>2899.4253636918606</v>
      </c>
      <c r="D49" s="374">
        <v>2934.4474428509493</v>
      </c>
      <c r="E49" s="374">
        <v>3373.2794068451894</v>
      </c>
      <c r="F49" s="374">
        <v>3389</v>
      </c>
      <c r="G49" s="374">
        <v>3737.6686134357192</v>
      </c>
      <c r="H49" s="374">
        <v>3896.5031221788768</v>
      </c>
      <c r="I49" s="388">
        <v>3907.4168846555449</v>
      </c>
      <c r="J49" s="374">
        <v>3623.9363586753502</v>
      </c>
      <c r="K49" s="374">
        <v>3349.4311031330167</v>
      </c>
      <c r="L49" s="374">
        <v>2658.1728740755398</v>
      </c>
      <c r="M49" s="374">
        <v>2768.3563390875142</v>
      </c>
      <c r="N49" s="3"/>
      <c r="O49" s="3"/>
      <c r="P49" s="14">
        <f t="shared" si="37"/>
        <v>2016</v>
      </c>
      <c r="Q49" s="271">
        <f t="shared" si="33"/>
        <v>3171.2320668115899</v>
      </c>
      <c r="R49" s="272">
        <f t="shared" si="34"/>
        <v>3907.4168846555449</v>
      </c>
      <c r="S49" s="273">
        <f t="shared" si="35"/>
        <v>3170.5040903561116</v>
      </c>
      <c r="T49" s="274">
        <f t="shared" si="36"/>
        <v>3171.2320668115899</v>
      </c>
      <c r="U49" s="3"/>
      <c r="V49" s="3"/>
      <c r="W49" s="3"/>
      <c r="X49" s="3"/>
      <c r="Y49" s="3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</row>
    <row r="50" spans="1:254" ht="15.75">
      <c r="A50" s="184">
        <f>'Instant Old no Delete'!A51</f>
        <v>2017</v>
      </c>
      <c r="B50" s="389">
        <v>2904.9962880735143</v>
      </c>
      <c r="C50" s="374">
        <v>2745</v>
      </c>
      <c r="D50" s="374">
        <v>2865.0709559752181</v>
      </c>
      <c r="E50" s="374">
        <v>3606.8950844983915</v>
      </c>
      <c r="F50" s="374">
        <v>3690.5855510699721</v>
      </c>
      <c r="G50" s="374">
        <v>3765.4641840771483</v>
      </c>
      <c r="H50" s="388">
        <v>3905.0134541989773</v>
      </c>
      <c r="I50" s="374">
        <v>3879.13122967041</v>
      </c>
      <c r="J50" s="374">
        <v>3718.9085279108131</v>
      </c>
      <c r="K50" s="374">
        <v>3603.4823763992717</v>
      </c>
      <c r="L50" s="374">
        <v>2750.3426406053386</v>
      </c>
      <c r="M50" s="374">
        <v>2727.9683396577293</v>
      </c>
      <c r="N50" s="3"/>
      <c r="O50" s="3"/>
      <c r="P50" s="14">
        <f t="shared" si="37"/>
        <v>2017</v>
      </c>
      <c r="Q50" s="271">
        <f t="shared" si="33"/>
        <v>2904.9962880735143</v>
      </c>
      <c r="R50" s="272">
        <f t="shared" si="34"/>
        <v>3905.0134541989773</v>
      </c>
      <c r="S50" s="273">
        <f t="shared" si="35"/>
        <v>2768.3563390875142</v>
      </c>
      <c r="T50" s="274">
        <f t="shared" si="36"/>
        <v>2904.9962880735143</v>
      </c>
      <c r="U50" s="3"/>
      <c r="V50" s="3"/>
      <c r="W50" s="3"/>
      <c r="X50" s="3"/>
      <c r="Y50" s="3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</row>
    <row r="51" spans="1:254" ht="15.75">
      <c r="A51" s="184">
        <f>'Instant Old no Delete'!A52</f>
        <v>2018</v>
      </c>
      <c r="B51" s="389">
        <v>3882.9256574116857</v>
      </c>
      <c r="C51" s="374">
        <v>2884.2295407428755</v>
      </c>
      <c r="D51" s="374">
        <v>2689.9826131735781</v>
      </c>
      <c r="E51" s="374">
        <v>3039.8891184643553</v>
      </c>
      <c r="F51" s="374">
        <v>3423.6926805304906</v>
      </c>
      <c r="G51" s="374">
        <v>3691</v>
      </c>
      <c r="H51" s="374">
        <v>3705</v>
      </c>
      <c r="I51" s="374">
        <v>3731.5689596276111</v>
      </c>
      <c r="J51" s="388">
        <v>3798.2074256714468</v>
      </c>
      <c r="K51" s="374">
        <v>3638.8671435199112</v>
      </c>
      <c r="L51" s="389">
        <v>3070.8778558115787</v>
      </c>
      <c r="M51" s="374">
        <v>2676.3830890477925</v>
      </c>
      <c r="N51" s="3"/>
      <c r="O51" s="3"/>
      <c r="P51" s="14">
        <f t="shared" si="37"/>
        <v>2018</v>
      </c>
      <c r="Q51" s="271">
        <f t="shared" si="33"/>
        <v>3882.9256574116857</v>
      </c>
      <c r="R51" s="272">
        <f t="shared" si="34"/>
        <v>3798.2074256714468</v>
      </c>
      <c r="S51" s="273">
        <f t="shared" si="35"/>
        <v>2750.3426406053386</v>
      </c>
      <c r="T51" s="274">
        <f t="shared" si="36"/>
        <v>3882.9256574116857</v>
      </c>
      <c r="U51" s="3"/>
      <c r="V51" s="3"/>
      <c r="W51" s="3"/>
      <c r="X51" s="3"/>
      <c r="Y51" s="3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</row>
    <row r="52" spans="1:254" ht="15.75">
      <c r="A52" s="184">
        <f>'Instant Old no Delete'!A53</f>
        <v>2019</v>
      </c>
      <c r="B52" s="374">
        <v>2908.2510944405039</v>
      </c>
      <c r="C52" s="374">
        <v>2858.198516413187</v>
      </c>
      <c r="D52" s="374">
        <v>2898.1504844255546</v>
      </c>
      <c r="E52" s="374">
        <v>3241.0748147551349</v>
      </c>
      <c r="F52" s="374">
        <v>3909.7115481180654</v>
      </c>
      <c r="G52" s="388">
        <v>4078.5692652508696</v>
      </c>
      <c r="H52" s="374">
        <v>3864.4877267884676</v>
      </c>
      <c r="I52" s="374">
        <v>3869</v>
      </c>
      <c r="J52" s="374">
        <v>3880</v>
      </c>
      <c r="K52" s="374">
        <v>3479.9923183161395</v>
      </c>
      <c r="L52" s="374">
        <v>3100.6769927188329</v>
      </c>
      <c r="M52" s="374">
        <v>2549.1902606070043</v>
      </c>
      <c r="N52" s="3"/>
      <c r="O52" s="3"/>
      <c r="P52" s="14">
        <f t="shared" si="37"/>
        <v>2019</v>
      </c>
      <c r="Q52" s="271">
        <f t="shared" si="33"/>
        <v>3070.8778558115787</v>
      </c>
      <c r="R52" s="272">
        <f t="shared" si="34"/>
        <v>4078.5692652508696</v>
      </c>
      <c r="S52" s="273">
        <f t="shared" si="35"/>
        <v>3070.8778558115787</v>
      </c>
      <c r="T52" s="274">
        <f t="shared" si="36"/>
        <v>2908.2510944405039</v>
      </c>
      <c r="U52" s="3"/>
      <c r="V52" s="3"/>
      <c r="W52" s="3"/>
      <c r="X52" s="3"/>
      <c r="Y52" s="3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</row>
    <row r="53" spans="1:254" ht="15.75">
      <c r="A53" s="184">
        <f>'Instant Old no Delete'!A54</f>
        <v>2020</v>
      </c>
      <c r="B53" s="374">
        <v>3290.1677041178887</v>
      </c>
      <c r="C53" s="374">
        <v>2772.0663056365906</v>
      </c>
      <c r="D53" s="389">
        <v>3336.4103589144675</v>
      </c>
      <c r="E53" s="374">
        <v>3412</v>
      </c>
      <c r="F53" s="374">
        <v>3709.721821439332</v>
      </c>
      <c r="G53" s="388">
        <v>4053.1136826465599</v>
      </c>
      <c r="H53" s="374">
        <v>3950.6391237332077</v>
      </c>
      <c r="I53" s="374">
        <v>4003.0259457233128</v>
      </c>
      <c r="J53" s="374">
        <v>4043.7538868046663</v>
      </c>
      <c r="K53" s="374">
        <v>3635</v>
      </c>
      <c r="L53" s="374">
        <v>3079.6523839207016</v>
      </c>
      <c r="M53" s="374">
        <v>2831.5292939231854</v>
      </c>
      <c r="N53" s="3"/>
      <c r="O53" s="3"/>
      <c r="P53" s="14">
        <f t="shared" si="37"/>
        <v>2020</v>
      </c>
      <c r="Q53" s="271">
        <f>MAX(S53:T53)</f>
        <v>3336.4103589144675</v>
      </c>
      <c r="R53" s="272">
        <f>MAX(E53:J53)</f>
        <v>4053.1136826465599</v>
      </c>
      <c r="S53" s="273">
        <f>MAX(L52:M52)</f>
        <v>3100.6769927188329</v>
      </c>
      <c r="T53" s="274">
        <f>MAX(B53:D53)</f>
        <v>3336.4103589144675</v>
      </c>
      <c r="U53" s="3"/>
      <c r="V53" s="3"/>
      <c r="W53" s="3"/>
      <c r="X53" s="3"/>
      <c r="Y53" s="3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</row>
    <row r="54" spans="1:254" ht="15.75">
      <c r="A54" s="3">
        <f>'Instant Old no Delete'!A55</f>
        <v>2021</v>
      </c>
      <c r="B54" s="374">
        <v>2709</v>
      </c>
      <c r="C54" s="387">
        <v>3163</v>
      </c>
      <c r="D54" s="389">
        <v>3247</v>
      </c>
      <c r="E54" s="374">
        <v>3390</v>
      </c>
      <c r="F54" s="374">
        <v>3833</v>
      </c>
      <c r="G54" s="374">
        <v>3801</v>
      </c>
      <c r="H54" s="374">
        <v>3907</v>
      </c>
      <c r="I54" s="388">
        <v>4108</v>
      </c>
      <c r="J54" s="374">
        <v>3708</v>
      </c>
      <c r="K54" s="374">
        <v>3724</v>
      </c>
      <c r="L54" s="374">
        <v>2687</v>
      </c>
      <c r="M54" s="374">
        <v>2708</v>
      </c>
      <c r="N54" s="1" t="s">
        <v>331</v>
      </c>
      <c r="O54" s="3"/>
      <c r="P54" s="14">
        <f t="shared" si="37"/>
        <v>2021</v>
      </c>
      <c r="Q54" s="271">
        <f t="shared" ref="Q54:Q55" si="38">MAX(S54:T54)</f>
        <v>3247</v>
      </c>
      <c r="R54" s="272">
        <f t="shared" ref="R54:R55" si="39">MAX(E54:J54)</f>
        <v>4108</v>
      </c>
      <c r="S54" s="273">
        <f t="shared" ref="S54:S55" si="40">MAX(L53:M53)</f>
        <v>3079.6523839207016</v>
      </c>
      <c r="T54" s="274">
        <f t="shared" ref="T54:T55" si="41">MAX(B54:D54)</f>
        <v>3247</v>
      </c>
      <c r="U54" s="3"/>
      <c r="V54" s="3"/>
      <c r="W54" s="3"/>
      <c r="X54" s="3"/>
      <c r="Y54" s="3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</row>
    <row r="55" spans="1:254" ht="15.75">
      <c r="A55" s="184">
        <f>'Instant Old no Delete'!A56</f>
        <v>2022</v>
      </c>
      <c r="B55" s="402">
        <v>3472.9766807863539</v>
      </c>
      <c r="C55" s="374">
        <v>2829.3132090624872</v>
      </c>
      <c r="D55" s="374">
        <v>3016.4733661534337</v>
      </c>
      <c r="E55" s="374">
        <v>3318.4095086001607</v>
      </c>
      <c r="F55" s="374">
        <v>3760.5510678612322</v>
      </c>
      <c r="G55" s="374">
        <v>4077.1223696839306</v>
      </c>
      <c r="H55" s="374">
        <v>4083.9931238965901</v>
      </c>
      <c r="I55" s="388">
        <v>4130.9239179834613</v>
      </c>
      <c r="J55" s="374">
        <v>3935.9810904467563</v>
      </c>
      <c r="K55" s="374">
        <v>3351.7972556343398</v>
      </c>
      <c r="L55" s="374">
        <v>3359.3700301105723</v>
      </c>
      <c r="M55" s="402">
        <v>3379.640379105987</v>
      </c>
      <c r="N55" s="1" t="s">
        <v>331</v>
      </c>
      <c r="O55" s="3"/>
      <c r="P55" s="14">
        <f t="shared" si="37"/>
        <v>2022</v>
      </c>
      <c r="Q55" s="271">
        <f t="shared" si="38"/>
        <v>3472.9766807863539</v>
      </c>
      <c r="R55" s="272">
        <f t="shared" si="39"/>
        <v>4130.9239179834613</v>
      </c>
      <c r="S55" s="273">
        <f t="shared" si="40"/>
        <v>2708</v>
      </c>
      <c r="T55" s="274">
        <f t="shared" si="41"/>
        <v>3472.9766807863539</v>
      </c>
      <c r="U55" s="3"/>
      <c r="V55" s="3"/>
      <c r="W55" s="3"/>
      <c r="X55" s="3"/>
      <c r="Y55" s="3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</row>
    <row r="56" spans="1:254" ht="15.75">
      <c r="A56" s="184">
        <f>'Instant Old no Delete'!A57</f>
        <v>2023</v>
      </c>
      <c r="B56" s="374">
        <v>3109</v>
      </c>
      <c r="C56" s="387">
        <v>2989</v>
      </c>
      <c r="D56" s="387">
        <v>3333</v>
      </c>
      <c r="E56" s="374">
        <v>3435</v>
      </c>
      <c r="F56" s="374">
        <v>3666</v>
      </c>
      <c r="G56" s="374">
        <v>4043</v>
      </c>
      <c r="H56" s="374">
        <v>4035</v>
      </c>
      <c r="I56" s="388">
        <v>4385</v>
      </c>
      <c r="J56" s="374">
        <v>3926</v>
      </c>
      <c r="K56" s="374">
        <v>3533</v>
      </c>
      <c r="L56" s="374">
        <v>3213</v>
      </c>
      <c r="M56" s="374">
        <v>2763</v>
      </c>
      <c r="N56" s="3"/>
      <c r="O56" s="3"/>
      <c r="P56" s="14">
        <f t="shared" si="37"/>
        <v>2023</v>
      </c>
      <c r="Q56" s="271">
        <f>MAX(S56:T56)</f>
        <v>3379.640379105987</v>
      </c>
      <c r="R56" s="272">
        <f>MAX(E56:J56)</f>
        <v>4385</v>
      </c>
      <c r="S56" s="273">
        <f>MAX(L55:M55)</f>
        <v>3379.640379105987</v>
      </c>
      <c r="T56" s="274">
        <f>MAX(B56:D56)</f>
        <v>3333</v>
      </c>
      <c r="U56" s="3"/>
      <c r="V56" s="3"/>
      <c r="W56" s="3"/>
      <c r="X56" s="3"/>
      <c r="Y56" s="3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</row>
    <row r="57" spans="1:254" ht="15.75">
      <c r="A57" s="184">
        <v>2024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</row>
    <row r="58" spans="1:254" ht="15.75">
      <c r="A58" s="3"/>
      <c r="B58" s="2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</row>
    <row r="59" spans="1:254" ht="15.75">
      <c r="A59" s="3"/>
      <c r="B59" s="5" t="s">
        <v>5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107" t="s">
        <v>148</v>
      </c>
      <c r="Q59" s="3"/>
      <c r="R59" s="3"/>
      <c r="S59" s="3"/>
      <c r="T59" s="3"/>
      <c r="U59" s="3"/>
      <c r="V59" s="3"/>
      <c r="W59" s="3"/>
      <c r="X59" s="3"/>
      <c r="Y59" s="10" t="s">
        <v>53</v>
      </c>
      <c r="Z59" s="19" t="e">
        <f t="shared" ref="Z59:AK59" si="42">MIN(Z6:Z32)</f>
        <v>#DIV/0!</v>
      </c>
      <c r="AA59" s="19" t="e">
        <f t="shared" si="42"/>
        <v>#DIV/0!</v>
      </c>
      <c r="AB59" s="19" t="e">
        <f t="shared" si="42"/>
        <v>#DIV/0!</v>
      </c>
      <c r="AC59" s="19" t="e">
        <f t="shared" si="42"/>
        <v>#DIV/0!</v>
      </c>
      <c r="AD59" s="19" t="e">
        <f t="shared" si="42"/>
        <v>#DIV/0!</v>
      </c>
      <c r="AE59" s="19" t="e">
        <f t="shared" si="42"/>
        <v>#DIV/0!</v>
      </c>
      <c r="AF59" s="19" t="e">
        <f t="shared" si="42"/>
        <v>#DIV/0!</v>
      </c>
      <c r="AG59" s="19" t="e">
        <f t="shared" si="42"/>
        <v>#DIV/0!</v>
      </c>
      <c r="AH59" s="19" t="e">
        <f t="shared" si="42"/>
        <v>#DIV/0!</v>
      </c>
      <c r="AI59" s="19" t="e">
        <f t="shared" si="42"/>
        <v>#DIV/0!</v>
      </c>
      <c r="AJ59" s="19" t="e">
        <f t="shared" si="42"/>
        <v>#DIV/0!</v>
      </c>
      <c r="AK59" s="19" t="e">
        <f t="shared" si="42"/>
        <v>#DIV/0!</v>
      </c>
      <c r="AL59" s="3"/>
      <c r="AM59" s="10" t="s">
        <v>53</v>
      </c>
      <c r="AN59" s="3">
        <f t="shared" ref="AN59:AY59" si="43">MIN(AN7:AN32)</f>
        <v>-718</v>
      </c>
      <c r="AO59" s="3">
        <f t="shared" si="43"/>
        <v>-957</v>
      </c>
      <c r="AP59" s="3" t="e">
        <f t="shared" si="43"/>
        <v>#VALUE!</v>
      </c>
      <c r="AQ59" s="3">
        <f t="shared" si="43"/>
        <v>-352</v>
      </c>
      <c r="AR59" s="3">
        <f t="shared" si="43"/>
        <v>-188</v>
      </c>
      <c r="AS59" s="3">
        <f t="shared" si="43"/>
        <v>-209</v>
      </c>
      <c r="AT59" s="3">
        <f t="shared" si="43"/>
        <v>-142</v>
      </c>
      <c r="AU59" s="3">
        <f t="shared" si="43"/>
        <v>-150</v>
      </c>
      <c r="AV59" s="3">
        <f t="shared" si="43"/>
        <v>-62</v>
      </c>
      <c r="AW59" s="3">
        <f t="shared" si="43"/>
        <v>-333</v>
      </c>
      <c r="AX59" s="3">
        <f t="shared" si="43"/>
        <v>-343</v>
      </c>
      <c r="AY59" s="3">
        <f t="shared" si="43"/>
        <v>-688</v>
      </c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</row>
    <row r="60" spans="1:254" ht="15.75">
      <c r="A60" s="3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107"/>
      <c r="Q60" s="3"/>
      <c r="R60" s="3"/>
      <c r="S60" s="3"/>
      <c r="T60" s="3"/>
      <c r="U60" s="3"/>
      <c r="V60" s="3"/>
      <c r="W60" s="3"/>
      <c r="X60" s="3"/>
      <c r="Y60" s="10" t="s">
        <v>54</v>
      </c>
      <c r="Z60" s="19" t="e">
        <f t="shared" ref="Z60:AK60" si="44">AVERAGE(Z6:Z32)</f>
        <v>#DIV/0!</v>
      </c>
      <c r="AA60" s="19" t="e">
        <f t="shared" si="44"/>
        <v>#DIV/0!</v>
      </c>
      <c r="AB60" s="19" t="e">
        <f t="shared" si="44"/>
        <v>#DIV/0!</v>
      </c>
      <c r="AC60" s="19" t="e">
        <f t="shared" si="44"/>
        <v>#DIV/0!</v>
      </c>
      <c r="AD60" s="19" t="e">
        <f t="shared" si="44"/>
        <v>#DIV/0!</v>
      </c>
      <c r="AE60" s="19" t="e">
        <f t="shared" si="44"/>
        <v>#DIV/0!</v>
      </c>
      <c r="AF60" s="19" t="e">
        <f t="shared" si="44"/>
        <v>#DIV/0!</v>
      </c>
      <c r="AG60" s="19" t="e">
        <f t="shared" si="44"/>
        <v>#DIV/0!</v>
      </c>
      <c r="AH60" s="19" t="e">
        <f t="shared" si="44"/>
        <v>#DIV/0!</v>
      </c>
      <c r="AI60" s="19" t="e">
        <f t="shared" si="44"/>
        <v>#DIV/0!</v>
      </c>
      <c r="AJ60" s="19" t="e">
        <f t="shared" si="44"/>
        <v>#DIV/0!</v>
      </c>
      <c r="AK60" s="19" t="e">
        <f t="shared" si="44"/>
        <v>#DIV/0!</v>
      </c>
      <c r="AL60" s="3"/>
      <c r="AM60" s="10" t="s">
        <v>54</v>
      </c>
      <c r="AN60" s="28">
        <f t="shared" ref="AN60:AY60" si="45">AVERAGE(AN7:AN32)</f>
        <v>115</v>
      </c>
      <c r="AO60" s="28">
        <f t="shared" si="45"/>
        <v>91.769230769230774</v>
      </c>
      <c r="AP60" s="28" t="e">
        <f t="shared" si="45"/>
        <v>#VALUE!</v>
      </c>
      <c r="AQ60" s="28">
        <f t="shared" si="45"/>
        <v>102.34615384615384</v>
      </c>
      <c r="AR60" s="28">
        <f t="shared" si="45"/>
        <v>101.69230769230769</v>
      </c>
      <c r="AS60" s="28">
        <f t="shared" si="45"/>
        <v>104.30769230769231</v>
      </c>
      <c r="AT60" s="28">
        <f t="shared" si="45"/>
        <v>114.76923076923077</v>
      </c>
      <c r="AU60" s="28">
        <f t="shared" si="45"/>
        <v>118.03846153846153</v>
      </c>
      <c r="AV60" s="28">
        <f t="shared" si="45"/>
        <v>107.76923076923077</v>
      </c>
      <c r="AW60" s="28">
        <f t="shared" si="45"/>
        <v>98.07692307692308</v>
      </c>
      <c r="AX60" s="28">
        <f t="shared" si="45"/>
        <v>80.230769230769226</v>
      </c>
      <c r="AY60" s="28">
        <f t="shared" si="45"/>
        <v>86.538461538461533</v>
      </c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</row>
    <row r="61" spans="1:254">
      <c r="A61" s="10"/>
      <c r="B61" s="10" t="s">
        <v>4</v>
      </c>
      <c r="C61" s="10" t="s">
        <v>8</v>
      </c>
      <c r="D61" s="10" t="s">
        <v>9</v>
      </c>
      <c r="E61" s="10" t="s">
        <v>10</v>
      </c>
      <c r="F61" s="10" t="s">
        <v>11</v>
      </c>
      <c r="G61" s="10" t="s">
        <v>12</v>
      </c>
      <c r="H61" s="10" t="s">
        <v>13</v>
      </c>
      <c r="I61" s="10" t="s">
        <v>15</v>
      </c>
      <c r="J61" s="10" t="s">
        <v>16</v>
      </c>
      <c r="K61" s="10" t="s">
        <v>17</v>
      </c>
      <c r="L61" s="10" t="s">
        <v>18</v>
      </c>
      <c r="M61" s="10" t="s">
        <v>19</v>
      </c>
      <c r="N61" s="10"/>
      <c r="O61" s="10"/>
      <c r="P61" s="107" t="s">
        <v>149</v>
      </c>
      <c r="Q61" s="3"/>
      <c r="R61" s="3"/>
      <c r="S61" s="3"/>
      <c r="T61" s="3"/>
      <c r="U61" s="3"/>
      <c r="V61" s="3"/>
      <c r="W61" s="3"/>
      <c r="X61" s="3"/>
      <c r="Y61" s="3" t="s">
        <v>150</v>
      </c>
      <c r="Z61" s="19" t="e">
        <f t="shared" ref="Z61:AK61" si="46">MEDIAN(Z6:Z32)</f>
        <v>#DIV/0!</v>
      </c>
      <c r="AA61" s="19" t="e">
        <f t="shared" si="46"/>
        <v>#DIV/0!</v>
      </c>
      <c r="AB61" s="19" t="e">
        <f t="shared" si="46"/>
        <v>#DIV/0!</v>
      </c>
      <c r="AC61" s="19" t="e">
        <f t="shared" si="46"/>
        <v>#DIV/0!</v>
      </c>
      <c r="AD61" s="19" t="e">
        <f t="shared" si="46"/>
        <v>#DIV/0!</v>
      </c>
      <c r="AE61" s="19" t="e">
        <f t="shared" si="46"/>
        <v>#DIV/0!</v>
      </c>
      <c r="AF61" s="19" t="e">
        <f t="shared" si="46"/>
        <v>#DIV/0!</v>
      </c>
      <c r="AG61" s="19" t="e">
        <f t="shared" si="46"/>
        <v>#DIV/0!</v>
      </c>
      <c r="AH61" s="19" t="e">
        <f t="shared" si="46"/>
        <v>#DIV/0!</v>
      </c>
      <c r="AI61" s="19" t="e">
        <f t="shared" si="46"/>
        <v>#DIV/0!</v>
      </c>
      <c r="AJ61" s="19" t="e">
        <f t="shared" si="46"/>
        <v>#DIV/0!</v>
      </c>
      <c r="AK61" s="19" t="e">
        <f t="shared" si="46"/>
        <v>#DIV/0!</v>
      </c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</row>
    <row r="62" spans="1:254">
      <c r="A62" s="3">
        <f t="shared" ref="A62:A93" si="47">A6</f>
        <v>1973</v>
      </c>
      <c r="B62" s="6">
        <v>30</v>
      </c>
      <c r="C62" s="14">
        <v>10</v>
      </c>
      <c r="D62" s="14">
        <v>15</v>
      </c>
      <c r="E62" s="14">
        <v>25</v>
      </c>
      <c r="F62" s="14">
        <v>29</v>
      </c>
      <c r="G62" s="14">
        <v>6</v>
      </c>
      <c r="H62" s="14">
        <v>25</v>
      </c>
      <c r="I62" s="14">
        <v>27</v>
      </c>
      <c r="J62" s="14">
        <v>14</v>
      </c>
      <c r="K62" s="14">
        <v>3</v>
      </c>
      <c r="L62" s="14">
        <v>5</v>
      </c>
      <c r="M62" s="14">
        <v>17</v>
      </c>
      <c r="N62" s="3"/>
      <c r="O62" s="3"/>
      <c r="P62" s="107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</row>
    <row r="63" spans="1:254">
      <c r="A63" s="3">
        <f t="shared" si="47"/>
        <v>1974</v>
      </c>
      <c r="B63" s="9">
        <v>30</v>
      </c>
      <c r="C63" s="3">
        <v>27</v>
      </c>
      <c r="D63" s="3">
        <v>27</v>
      </c>
      <c r="E63" s="3">
        <v>3</v>
      </c>
      <c r="F63" s="3">
        <v>28</v>
      </c>
      <c r="G63" s="3">
        <v>20</v>
      </c>
      <c r="H63" s="3">
        <v>11</v>
      </c>
      <c r="I63" s="3">
        <v>29</v>
      </c>
      <c r="J63" s="3">
        <v>17</v>
      </c>
      <c r="K63" s="3">
        <v>15</v>
      </c>
      <c r="L63" s="3">
        <v>19</v>
      </c>
      <c r="M63" s="3">
        <v>10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</row>
    <row r="64" spans="1:254">
      <c r="A64" s="3">
        <f t="shared" si="47"/>
        <v>1975</v>
      </c>
      <c r="B64" s="9">
        <v>15</v>
      </c>
      <c r="C64" s="3">
        <v>26</v>
      </c>
      <c r="D64" s="3">
        <v>4</v>
      </c>
      <c r="E64" s="3">
        <v>30</v>
      </c>
      <c r="F64" s="3">
        <v>26</v>
      </c>
      <c r="G64" s="3">
        <v>16</v>
      </c>
      <c r="H64" s="3">
        <v>8</v>
      </c>
      <c r="I64" s="3">
        <v>25</v>
      </c>
      <c r="J64" s="3">
        <v>5</v>
      </c>
      <c r="K64" s="3">
        <v>8</v>
      </c>
      <c r="L64" s="3">
        <v>24</v>
      </c>
      <c r="M64" s="3">
        <v>22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</row>
    <row r="65" spans="1:254">
      <c r="A65" s="3">
        <f t="shared" si="47"/>
        <v>1976</v>
      </c>
      <c r="B65" s="9">
        <v>19</v>
      </c>
      <c r="C65" s="3">
        <v>3</v>
      </c>
      <c r="D65" s="3">
        <v>29</v>
      </c>
      <c r="E65" s="3">
        <v>28</v>
      </c>
      <c r="F65" s="3">
        <v>13</v>
      </c>
      <c r="G65" s="3">
        <v>17</v>
      </c>
      <c r="H65" s="3">
        <v>14</v>
      </c>
      <c r="I65" s="3">
        <v>23</v>
      </c>
      <c r="J65" s="3">
        <v>28</v>
      </c>
      <c r="K65" s="3">
        <v>7</v>
      </c>
      <c r="L65" s="3">
        <v>30</v>
      </c>
      <c r="M65" s="3">
        <v>22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</row>
    <row r="66" spans="1:254">
      <c r="A66" s="3">
        <f t="shared" si="47"/>
        <v>1977</v>
      </c>
      <c r="B66" s="9">
        <v>18</v>
      </c>
      <c r="C66" s="3">
        <v>17</v>
      </c>
      <c r="D66" s="3">
        <v>21</v>
      </c>
      <c r="E66" s="3">
        <v>4</v>
      </c>
      <c r="F66" s="3">
        <v>26</v>
      </c>
      <c r="G66" s="3">
        <v>27</v>
      </c>
      <c r="H66" s="3">
        <v>27</v>
      </c>
      <c r="I66" s="3">
        <v>18</v>
      </c>
      <c r="J66" s="3">
        <v>7</v>
      </c>
      <c r="K66" s="3">
        <v>10</v>
      </c>
      <c r="L66" s="3">
        <v>30</v>
      </c>
      <c r="M66" s="3">
        <v>28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</row>
    <row r="67" spans="1:254">
      <c r="A67" s="3">
        <f t="shared" si="47"/>
        <v>1978</v>
      </c>
      <c r="B67" s="9">
        <v>16</v>
      </c>
      <c r="C67" s="3">
        <v>7</v>
      </c>
      <c r="D67" s="3">
        <v>6</v>
      </c>
      <c r="E67" s="3">
        <v>12</v>
      </c>
      <c r="F67" s="3">
        <v>31</v>
      </c>
      <c r="G67" s="3">
        <v>26</v>
      </c>
      <c r="H67" s="3">
        <v>24</v>
      </c>
      <c r="I67" s="3">
        <v>29</v>
      </c>
      <c r="J67" s="3">
        <v>14</v>
      </c>
      <c r="K67" s="3">
        <v>2</v>
      </c>
      <c r="L67" s="3">
        <v>30</v>
      </c>
      <c r="M67" s="3">
        <v>27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</row>
    <row r="68" spans="1:254" ht="15.75">
      <c r="A68" s="3">
        <f t="shared" si="47"/>
        <v>1979</v>
      </c>
      <c r="B68" s="9">
        <v>4</v>
      </c>
      <c r="C68" s="3">
        <v>2</v>
      </c>
      <c r="D68" s="3">
        <v>12</v>
      </c>
      <c r="E68" s="3">
        <v>12</v>
      </c>
      <c r="F68" s="3">
        <v>10</v>
      </c>
      <c r="G68" s="3">
        <v>19</v>
      </c>
      <c r="H68" s="22">
        <v>31</v>
      </c>
      <c r="I68" s="3">
        <v>20</v>
      </c>
      <c r="J68" s="3">
        <v>5</v>
      </c>
      <c r="K68" s="3">
        <v>3</v>
      </c>
      <c r="L68" s="3">
        <v>30</v>
      </c>
      <c r="M68" s="3">
        <v>18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</row>
    <row r="69" spans="1:254" ht="15.75">
      <c r="A69" s="3">
        <f t="shared" si="47"/>
        <v>1980</v>
      </c>
      <c r="B69" s="9">
        <v>7</v>
      </c>
      <c r="C69" s="3">
        <v>2</v>
      </c>
      <c r="D69" s="21">
        <v>3</v>
      </c>
      <c r="E69" s="3">
        <v>3</v>
      </c>
      <c r="F69" s="3">
        <v>19</v>
      </c>
      <c r="G69" s="3">
        <v>25</v>
      </c>
      <c r="H69" s="22">
        <v>14</v>
      </c>
      <c r="I69" s="3">
        <v>21</v>
      </c>
      <c r="J69" s="3">
        <v>25</v>
      </c>
      <c r="K69" s="3">
        <v>2</v>
      </c>
      <c r="L69" s="3">
        <v>28</v>
      </c>
      <c r="M69" s="3">
        <v>29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</row>
    <row r="70" spans="1:254" ht="15.75">
      <c r="A70" s="3">
        <f t="shared" si="47"/>
        <v>1981</v>
      </c>
      <c r="B70" s="27">
        <v>13</v>
      </c>
      <c r="C70" s="3">
        <v>4</v>
      </c>
      <c r="D70" s="3">
        <v>31</v>
      </c>
      <c r="E70" s="3">
        <v>29</v>
      </c>
      <c r="F70" s="3">
        <v>18</v>
      </c>
      <c r="G70" s="22">
        <v>17</v>
      </c>
      <c r="H70" s="3">
        <v>15</v>
      </c>
      <c r="I70" s="3">
        <v>6</v>
      </c>
      <c r="J70" s="3">
        <v>1</v>
      </c>
      <c r="K70" s="3">
        <v>7</v>
      </c>
      <c r="L70" s="3">
        <v>23</v>
      </c>
      <c r="M70" s="3">
        <v>11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</row>
    <row r="71" spans="1:254" ht="15.75">
      <c r="A71" s="3">
        <f t="shared" si="47"/>
        <v>1982</v>
      </c>
      <c r="B71" s="27">
        <v>12</v>
      </c>
      <c r="C71" s="3">
        <v>2</v>
      </c>
      <c r="D71" s="3">
        <v>19</v>
      </c>
      <c r="E71" s="3">
        <v>21</v>
      </c>
      <c r="F71" s="3">
        <v>28</v>
      </c>
      <c r="G71" s="3">
        <v>7</v>
      </c>
      <c r="H71" s="3">
        <v>23</v>
      </c>
      <c r="I71" s="3">
        <v>24</v>
      </c>
      <c r="J71" s="22">
        <v>13</v>
      </c>
      <c r="K71" s="3">
        <v>11</v>
      </c>
      <c r="L71" s="3">
        <v>1</v>
      </c>
      <c r="M71" s="3">
        <v>18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</row>
    <row r="72" spans="1:254" ht="15.75">
      <c r="A72" s="3">
        <f t="shared" si="47"/>
        <v>1983</v>
      </c>
      <c r="B72" s="27">
        <v>13</v>
      </c>
      <c r="C72" s="3">
        <v>9</v>
      </c>
      <c r="D72" s="3">
        <v>11</v>
      </c>
      <c r="E72" s="3">
        <v>7</v>
      </c>
      <c r="F72" s="3">
        <v>24</v>
      </c>
      <c r="G72" s="3">
        <v>6</v>
      </c>
      <c r="H72" s="3">
        <v>18</v>
      </c>
      <c r="I72" s="3">
        <v>22</v>
      </c>
      <c r="J72" s="22">
        <v>6</v>
      </c>
      <c r="K72" s="3">
        <v>5</v>
      </c>
      <c r="L72" s="3">
        <v>18</v>
      </c>
      <c r="M72" s="21">
        <v>26</v>
      </c>
      <c r="N72" s="21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</row>
    <row r="73" spans="1:254" ht="15.75">
      <c r="A73" s="3">
        <f t="shared" si="47"/>
        <v>1984</v>
      </c>
      <c r="B73" s="9">
        <v>21</v>
      </c>
      <c r="C73" s="3">
        <v>7</v>
      </c>
      <c r="D73" s="3">
        <v>1</v>
      </c>
      <c r="E73" s="3">
        <v>30</v>
      </c>
      <c r="F73" s="3">
        <v>7</v>
      </c>
      <c r="G73" s="3">
        <v>21</v>
      </c>
      <c r="H73" s="3">
        <v>9</v>
      </c>
      <c r="I73" s="3">
        <v>13</v>
      </c>
      <c r="J73" s="22">
        <v>4</v>
      </c>
      <c r="K73" s="3">
        <v>29</v>
      </c>
      <c r="L73" s="3">
        <v>14</v>
      </c>
      <c r="M73" s="3">
        <v>7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</row>
    <row r="74" spans="1:254" ht="15.75">
      <c r="A74" s="3">
        <f t="shared" si="47"/>
        <v>1985</v>
      </c>
      <c r="B74" s="27">
        <v>22</v>
      </c>
      <c r="C74" s="3">
        <v>14</v>
      </c>
      <c r="D74" s="3">
        <v>19</v>
      </c>
      <c r="E74" s="3">
        <v>29</v>
      </c>
      <c r="F74" s="3">
        <v>21</v>
      </c>
      <c r="G74" s="22">
        <v>5</v>
      </c>
      <c r="H74" s="3">
        <v>8</v>
      </c>
      <c r="I74" s="3">
        <v>26</v>
      </c>
      <c r="J74" s="3">
        <v>9</v>
      </c>
      <c r="K74" s="3">
        <v>3</v>
      </c>
      <c r="L74" s="3">
        <v>13</v>
      </c>
      <c r="M74" s="3">
        <v>27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</row>
    <row r="75" spans="1:254" ht="15.75">
      <c r="A75" s="3">
        <f t="shared" si="47"/>
        <v>1986</v>
      </c>
      <c r="B75" s="27">
        <v>28</v>
      </c>
      <c r="C75" s="3">
        <v>14</v>
      </c>
      <c r="D75" s="3">
        <v>3</v>
      </c>
      <c r="E75" s="3">
        <v>30</v>
      </c>
      <c r="F75" s="3">
        <v>28</v>
      </c>
      <c r="G75" s="3">
        <v>2</v>
      </c>
      <c r="H75" s="3">
        <v>17</v>
      </c>
      <c r="I75" s="22">
        <v>26</v>
      </c>
      <c r="J75" s="3">
        <v>3</v>
      </c>
      <c r="K75" s="3">
        <v>2</v>
      </c>
      <c r="L75" s="3">
        <v>11</v>
      </c>
      <c r="M75" s="3">
        <v>10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</row>
    <row r="76" spans="1:254" ht="15.75">
      <c r="A76" s="3">
        <f t="shared" si="47"/>
        <v>1987</v>
      </c>
      <c r="B76" s="9">
        <v>28</v>
      </c>
      <c r="C76" s="21">
        <v>10</v>
      </c>
      <c r="D76" s="3">
        <v>31</v>
      </c>
      <c r="E76" s="3">
        <v>1</v>
      </c>
      <c r="F76" s="3">
        <v>21</v>
      </c>
      <c r="G76" s="3">
        <v>24</v>
      </c>
      <c r="H76" s="3">
        <v>8</v>
      </c>
      <c r="I76" s="22">
        <v>31</v>
      </c>
      <c r="J76" s="3">
        <v>1</v>
      </c>
      <c r="K76" s="3">
        <v>1</v>
      </c>
      <c r="L76" s="3">
        <v>16</v>
      </c>
      <c r="M76" s="3">
        <v>18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</row>
    <row r="77" spans="1:254" ht="15.75">
      <c r="A77" s="3">
        <f t="shared" si="47"/>
        <v>1988</v>
      </c>
      <c r="B77" s="27">
        <v>28</v>
      </c>
      <c r="C77" s="3">
        <v>7</v>
      </c>
      <c r="D77" s="3">
        <v>16</v>
      </c>
      <c r="E77" s="3">
        <v>27</v>
      </c>
      <c r="F77" s="3">
        <v>24</v>
      </c>
      <c r="G77" s="3">
        <v>30</v>
      </c>
      <c r="H77" s="22">
        <v>12</v>
      </c>
      <c r="I77" s="3">
        <v>23</v>
      </c>
      <c r="J77" s="3">
        <v>23</v>
      </c>
      <c r="K77" s="3">
        <v>1</v>
      </c>
      <c r="L77" s="3">
        <v>16</v>
      </c>
      <c r="M77" s="21">
        <v>19</v>
      </c>
      <c r="N77" s="21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</row>
    <row r="78" spans="1:254" ht="15.75">
      <c r="A78" s="3">
        <f t="shared" si="47"/>
        <v>1989</v>
      </c>
      <c r="B78" s="9">
        <v>5</v>
      </c>
      <c r="C78" s="3">
        <v>24</v>
      </c>
      <c r="D78" s="3">
        <v>9</v>
      </c>
      <c r="E78" s="3">
        <v>27</v>
      </c>
      <c r="F78" s="3">
        <v>31</v>
      </c>
      <c r="G78" s="3">
        <v>14</v>
      </c>
      <c r="H78" s="3">
        <v>10</v>
      </c>
      <c r="I78" s="22">
        <v>30</v>
      </c>
      <c r="J78" s="3">
        <v>12</v>
      </c>
      <c r="K78" s="3">
        <v>4</v>
      </c>
      <c r="L78" s="3">
        <v>8</v>
      </c>
      <c r="M78" s="21">
        <v>23</v>
      </c>
      <c r="N78" s="21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</row>
    <row r="79" spans="1:254" ht="15.75">
      <c r="A79" s="3">
        <f t="shared" si="47"/>
        <v>1990</v>
      </c>
      <c r="B79" s="9">
        <v>13</v>
      </c>
      <c r="C79" s="3">
        <v>26</v>
      </c>
      <c r="D79" s="3">
        <v>16</v>
      </c>
      <c r="E79" s="3">
        <v>30</v>
      </c>
      <c r="F79" s="3">
        <v>16</v>
      </c>
      <c r="G79" s="3">
        <v>6</v>
      </c>
      <c r="H79" s="3">
        <v>30</v>
      </c>
      <c r="I79" s="22">
        <v>29</v>
      </c>
      <c r="J79" s="3">
        <v>13</v>
      </c>
      <c r="K79" s="3">
        <v>4</v>
      </c>
      <c r="L79" s="3">
        <v>28</v>
      </c>
      <c r="M79" s="3">
        <v>10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</row>
    <row r="80" spans="1:254" ht="15.75">
      <c r="A80" s="3">
        <f t="shared" si="47"/>
        <v>1991</v>
      </c>
      <c r="B80" s="9">
        <v>23</v>
      </c>
      <c r="C80" s="21">
        <v>16</v>
      </c>
      <c r="D80" s="3">
        <v>11</v>
      </c>
      <c r="E80" s="3">
        <v>29</v>
      </c>
      <c r="F80" s="3">
        <v>15</v>
      </c>
      <c r="G80" s="3">
        <v>28</v>
      </c>
      <c r="H80" s="3">
        <v>22</v>
      </c>
      <c r="I80" s="22">
        <v>12</v>
      </c>
      <c r="J80" s="3">
        <v>6</v>
      </c>
      <c r="K80" s="3">
        <v>3</v>
      </c>
      <c r="L80" s="3">
        <v>26</v>
      </c>
      <c r="M80" s="3">
        <v>5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</row>
    <row r="81" spans="1:254" ht="15.75">
      <c r="A81" s="3">
        <f t="shared" si="47"/>
        <v>1992</v>
      </c>
      <c r="B81" s="27">
        <v>17</v>
      </c>
      <c r="C81" s="3">
        <v>9</v>
      </c>
      <c r="D81" s="3">
        <v>12</v>
      </c>
      <c r="E81" s="3">
        <v>22</v>
      </c>
      <c r="F81" s="3">
        <v>29</v>
      </c>
      <c r="G81" s="3">
        <v>22</v>
      </c>
      <c r="H81" s="22">
        <v>8</v>
      </c>
      <c r="I81" s="3">
        <v>19</v>
      </c>
      <c r="J81" s="3">
        <v>21</v>
      </c>
      <c r="K81" s="3">
        <v>9</v>
      </c>
      <c r="L81" s="3">
        <v>4</v>
      </c>
      <c r="M81" s="3">
        <v>3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</row>
    <row r="82" spans="1:254" ht="15.75">
      <c r="A82" s="3">
        <f t="shared" si="47"/>
        <v>1993</v>
      </c>
      <c r="B82" s="9">
        <v>28</v>
      </c>
      <c r="C82" s="3">
        <v>19</v>
      </c>
      <c r="D82" s="21">
        <v>15</v>
      </c>
      <c r="E82" s="3">
        <v>14</v>
      </c>
      <c r="F82" s="3">
        <v>18</v>
      </c>
      <c r="G82" s="3">
        <v>9</v>
      </c>
      <c r="H82" s="3">
        <v>29</v>
      </c>
      <c r="I82" s="22">
        <v>4</v>
      </c>
      <c r="J82" s="3">
        <v>20</v>
      </c>
      <c r="K82" s="3">
        <v>21</v>
      </c>
      <c r="L82" s="3">
        <v>15</v>
      </c>
      <c r="M82" s="3">
        <v>27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</row>
    <row r="83" spans="1:254" ht="15.75">
      <c r="A83" s="3">
        <f t="shared" si="47"/>
        <v>1994</v>
      </c>
      <c r="B83" s="9">
        <v>6</v>
      </c>
      <c r="C83" s="21">
        <v>3</v>
      </c>
      <c r="D83" s="3">
        <v>28</v>
      </c>
      <c r="E83" s="3">
        <v>15</v>
      </c>
      <c r="F83" s="3">
        <v>16</v>
      </c>
      <c r="G83" s="22">
        <v>27</v>
      </c>
      <c r="H83" s="3">
        <v>11</v>
      </c>
      <c r="I83" s="3">
        <v>1</v>
      </c>
      <c r="J83" s="3">
        <v>1</v>
      </c>
      <c r="K83" s="3">
        <v>4</v>
      </c>
      <c r="L83" s="3">
        <v>10</v>
      </c>
      <c r="M83" s="3">
        <v>5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</row>
    <row r="84" spans="1:254" ht="15.75">
      <c r="A84" s="3">
        <f t="shared" si="47"/>
        <v>1995</v>
      </c>
      <c r="B84" s="9">
        <v>25</v>
      </c>
      <c r="C84" s="21">
        <v>9</v>
      </c>
      <c r="D84" s="3">
        <v>7</v>
      </c>
      <c r="E84" s="3">
        <v>20</v>
      </c>
      <c r="F84" s="3">
        <v>17</v>
      </c>
      <c r="G84" s="3">
        <v>9</v>
      </c>
      <c r="H84" s="3">
        <v>5</v>
      </c>
      <c r="I84" s="22">
        <v>15</v>
      </c>
      <c r="J84" s="3">
        <v>14</v>
      </c>
      <c r="K84" s="3">
        <v>12</v>
      </c>
      <c r="L84" s="3">
        <v>2</v>
      </c>
      <c r="M84" s="3">
        <v>11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</row>
    <row r="85" spans="1:254" ht="15.75">
      <c r="A85" s="3">
        <f t="shared" si="47"/>
        <v>1996</v>
      </c>
      <c r="B85" s="9">
        <v>9</v>
      </c>
      <c r="C85" s="21">
        <v>5</v>
      </c>
      <c r="D85" s="3">
        <v>11</v>
      </c>
      <c r="E85" s="3">
        <v>29</v>
      </c>
      <c r="F85" s="3">
        <v>23</v>
      </c>
      <c r="G85" s="3">
        <v>25</v>
      </c>
      <c r="H85" s="22">
        <v>25</v>
      </c>
      <c r="I85" s="3">
        <v>7</v>
      </c>
      <c r="J85" s="3">
        <v>3</v>
      </c>
      <c r="K85" s="3">
        <v>1</v>
      </c>
      <c r="L85" s="3">
        <v>1</v>
      </c>
      <c r="M85" s="3">
        <v>20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</row>
    <row r="86" spans="1:254" ht="15.75">
      <c r="A86" s="3">
        <f t="shared" si="47"/>
        <v>1997</v>
      </c>
      <c r="B86" s="27">
        <v>19</v>
      </c>
      <c r="C86" s="3">
        <v>12</v>
      </c>
      <c r="D86" s="3">
        <v>3</v>
      </c>
      <c r="E86" s="3">
        <v>22</v>
      </c>
      <c r="F86" s="3">
        <v>27</v>
      </c>
      <c r="G86" s="3">
        <v>18</v>
      </c>
      <c r="H86" s="22">
        <v>3</v>
      </c>
      <c r="I86" s="3">
        <v>18</v>
      </c>
      <c r="J86" s="3">
        <v>17</v>
      </c>
      <c r="K86" s="3">
        <v>1</v>
      </c>
      <c r="L86" s="3">
        <v>1</v>
      </c>
      <c r="M86" s="3">
        <v>15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</row>
    <row r="87" spans="1:254" ht="15.75">
      <c r="A87" s="3">
        <f t="shared" si="47"/>
        <v>1998</v>
      </c>
      <c r="B87" s="9">
        <v>29</v>
      </c>
      <c r="C87" s="3">
        <v>10</v>
      </c>
      <c r="D87" s="21">
        <v>13</v>
      </c>
      <c r="E87" s="3">
        <v>2</v>
      </c>
      <c r="F87" s="3">
        <v>21</v>
      </c>
      <c r="G87" s="22">
        <v>17</v>
      </c>
      <c r="H87" s="3">
        <v>2</v>
      </c>
      <c r="I87" s="3">
        <v>27</v>
      </c>
      <c r="J87" s="3">
        <v>1</v>
      </c>
      <c r="K87" s="3">
        <v>6</v>
      </c>
      <c r="L87" s="3">
        <v>19</v>
      </c>
      <c r="M87" s="3">
        <v>7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</row>
    <row r="88" spans="1:254">
      <c r="A88" s="3">
        <f t="shared" si="47"/>
        <v>1999</v>
      </c>
      <c r="B88" s="9">
        <v>6</v>
      </c>
      <c r="C88" s="3">
        <v>23</v>
      </c>
      <c r="D88" s="3">
        <v>16</v>
      </c>
      <c r="E88" s="3">
        <v>26</v>
      </c>
      <c r="F88" s="3">
        <v>6</v>
      </c>
      <c r="G88" s="3">
        <v>15</v>
      </c>
      <c r="H88" s="3">
        <v>28</v>
      </c>
      <c r="I88" s="3">
        <v>2</v>
      </c>
      <c r="J88" s="3">
        <v>2</v>
      </c>
      <c r="K88" s="3">
        <v>11</v>
      </c>
      <c r="L88" s="3">
        <v>1</v>
      </c>
      <c r="M88" s="3">
        <v>2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</row>
    <row r="89" spans="1:254" ht="15.75">
      <c r="A89" s="3">
        <f t="shared" si="47"/>
        <v>2000</v>
      </c>
      <c r="B89" s="27">
        <v>27</v>
      </c>
      <c r="C89" s="3">
        <v>6</v>
      </c>
      <c r="D89" s="3">
        <v>31</v>
      </c>
      <c r="E89" s="3">
        <v>3</v>
      </c>
      <c r="F89" s="3">
        <v>25</v>
      </c>
      <c r="G89" s="3">
        <v>14</v>
      </c>
      <c r="H89" s="3">
        <v>12</v>
      </c>
      <c r="I89" s="22">
        <v>8</v>
      </c>
      <c r="J89" s="3">
        <v>19</v>
      </c>
      <c r="K89" s="3">
        <v>5</v>
      </c>
      <c r="L89" s="3">
        <v>22</v>
      </c>
      <c r="M89" s="3">
        <v>21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</row>
    <row r="90" spans="1:254" ht="15.75">
      <c r="A90" s="3">
        <f t="shared" si="47"/>
        <v>2001</v>
      </c>
      <c r="B90" s="27">
        <v>5</v>
      </c>
      <c r="C90" s="3">
        <v>6</v>
      </c>
      <c r="D90" s="3">
        <v>12</v>
      </c>
      <c r="E90" s="3">
        <v>13</v>
      </c>
      <c r="F90" s="3">
        <v>22</v>
      </c>
      <c r="G90" s="3">
        <v>13</v>
      </c>
      <c r="H90" s="3">
        <v>30</v>
      </c>
      <c r="I90" s="22">
        <v>29</v>
      </c>
      <c r="J90" s="3">
        <v>4</v>
      </c>
      <c r="K90" s="3">
        <v>24</v>
      </c>
      <c r="L90" s="3">
        <v>26</v>
      </c>
      <c r="M90" s="3">
        <v>11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</row>
    <row r="91" spans="1:254" ht="15.75">
      <c r="A91" s="3">
        <f t="shared" si="47"/>
        <v>2002</v>
      </c>
      <c r="B91" s="27">
        <v>9</v>
      </c>
      <c r="C91" s="3">
        <v>28</v>
      </c>
      <c r="D91" s="3">
        <v>5</v>
      </c>
      <c r="E91" s="3">
        <v>30</v>
      </c>
      <c r="F91" s="3">
        <v>3</v>
      </c>
      <c r="G91" s="3">
        <v>3</v>
      </c>
      <c r="H91" s="22">
        <v>17</v>
      </c>
      <c r="I91" s="3">
        <v>6</v>
      </c>
      <c r="J91" s="3">
        <v>4</v>
      </c>
      <c r="K91" s="3">
        <v>8</v>
      </c>
      <c r="L91" s="3">
        <v>11</v>
      </c>
      <c r="M91" s="3">
        <v>16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</row>
    <row r="92" spans="1:254" ht="15.75">
      <c r="A92" s="3">
        <f t="shared" si="47"/>
        <v>2003</v>
      </c>
      <c r="B92" s="27">
        <v>24</v>
      </c>
      <c r="C92" s="3">
        <v>3</v>
      </c>
      <c r="D92" s="3">
        <v>20</v>
      </c>
      <c r="E92" s="3">
        <v>7</v>
      </c>
      <c r="F92" s="3">
        <v>9</v>
      </c>
      <c r="G92" s="3">
        <v>11</v>
      </c>
      <c r="H92" s="22">
        <v>8</v>
      </c>
      <c r="I92" s="3">
        <v>12</v>
      </c>
      <c r="J92" s="3">
        <v>24</v>
      </c>
      <c r="K92" s="3">
        <v>13</v>
      </c>
      <c r="L92" s="3">
        <v>5</v>
      </c>
      <c r="M92" s="3">
        <v>21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</row>
    <row r="93" spans="1:254" ht="15.75">
      <c r="A93" s="3">
        <f t="shared" si="47"/>
        <v>2004</v>
      </c>
      <c r="B93" s="27">
        <v>29</v>
      </c>
      <c r="C93" s="3">
        <v>19</v>
      </c>
      <c r="D93" s="3">
        <v>5</v>
      </c>
      <c r="E93" s="3">
        <v>30</v>
      </c>
      <c r="F93" s="3">
        <v>26</v>
      </c>
      <c r="G93" s="168">
        <v>23</v>
      </c>
      <c r="H93" s="3">
        <v>9</v>
      </c>
      <c r="I93" s="172">
        <v>31</v>
      </c>
      <c r="J93" s="3">
        <v>1</v>
      </c>
      <c r="K93" s="3">
        <v>4</v>
      </c>
      <c r="L93" s="3">
        <v>3</v>
      </c>
      <c r="M93" s="3">
        <v>15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</row>
    <row r="94" spans="1:254" ht="15.75">
      <c r="A94" s="3">
        <f t="shared" ref="A94:A112" si="48">A38</f>
        <v>2005</v>
      </c>
      <c r="B94" s="27">
        <v>24</v>
      </c>
      <c r="C94" s="3">
        <v>12</v>
      </c>
      <c r="D94" s="3">
        <v>31</v>
      </c>
      <c r="E94" s="3">
        <v>1</v>
      </c>
      <c r="F94" s="3">
        <v>25</v>
      </c>
      <c r="G94" s="3">
        <v>15</v>
      </c>
      <c r="H94" s="3">
        <v>27</v>
      </c>
      <c r="I94" s="168">
        <v>19</v>
      </c>
      <c r="J94" s="3">
        <v>19</v>
      </c>
      <c r="K94" s="3">
        <v>3</v>
      </c>
      <c r="L94" s="3">
        <v>8</v>
      </c>
      <c r="M94" s="3">
        <v>22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</row>
    <row r="95" spans="1:254" ht="15.75">
      <c r="A95" s="3">
        <f t="shared" si="48"/>
        <v>2006</v>
      </c>
      <c r="B95" s="171">
        <v>19</v>
      </c>
      <c r="C95" s="21">
        <v>14</v>
      </c>
      <c r="D95" s="3">
        <v>13</v>
      </c>
      <c r="E95" s="3">
        <v>20</v>
      </c>
      <c r="F95" s="3">
        <v>31</v>
      </c>
      <c r="G95" s="168">
        <v>21</v>
      </c>
      <c r="H95" s="3">
        <v>26</v>
      </c>
      <c r="I95" s="172">
        <v>2</v>
      </c>
      <c r="J95" s="3">
        <v>18</v>
      </c>
      <c r="K95" s="3">
        <v>19</v>
      </c>
      <c r="L95" s="3">
        <v>1</v>
      </c>
      <c r="M95" s="3">
        <v>18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</row>
    <row r="96" spans="1:254" ht="15.75">
      <c r="A96" s="3">
        <f t="shared" si="48"/>
        <v>2007</v>
      </c>
      <c r="B96" s="224">
        <v>30</v>
      </c>
      <c r="C96" s="21">
        <v>19</v>
      </c>
      <c r="D96" s="3">
        <v>28</v>
      </c>
      <c r="E96" s="3">
        <v>30</v>
      </c>
      <c r="F96" s="3">
        <v>4</v>
      </c>
      <c r="G96" s="168">
        <v>25</v>
      </c>
      <c r="H96" s="3">
        <v>11</v>
      </c>
      <c r="I96" s="172">
        <v>20</v>
      </c>
      <c r="J96" s="3">
        <v>12</v>
      </c>
      <c r="K96" s="3">
        <v>4</v>
      </c>
      <c r="L96" s="3">
        <v>1</v>
      </c>
      <c r="M96" s="3">
        <v>17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</row>
    <row r="97" spans="1:254" ht="15.75">
      <c r="A97" s="3">
        <f t="shared" si="48"/>
        <v>2008</v>
      </c>
      <c r="B97" s="27">
        <v>3</v>
      </c>
      <c r="C97" s="3">
        <v>28</v>
      </c>
      <c r="D97" s="3">
        <v>16</v>
      </c>
      <c r="E97" s="3">
        <v>3</v>
      </c>
      <c r="F97" s="3">
        <v>30</v>
      </c>
      <c r="G97" s="168">
        <v>6</v>
      </c>
      <c r="H97" s="3">
        <v>21</v>
      </c>
      <c r="I97" s="172">
        <v>27</v>
      </c>
      <c r="J97" s="3">
        <v>11</v>
      </c>
      <c r="K97" s="3">
        <v>8</v>
      </c>
      <c r="L97" s="3">
        <v>13</v>
      </c>
      <c r="M97" s="3">
        <v>3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</row>
    <row r="98" spans="1:254">
      <c r="A98" s="3">
        <f t="shared" si="48"/>
        <v>2009</v>
      </c>
      <c r="B98" s="20">
        <v>22</v>
      </c>
      <c r="C98" s="1">
        <v>6</v>
      </c>
      <c r="D98" s="1">
        <v>3</v>
      </c>
      <c r="E98" s="1">
        <v>1</v>
      </c>
      <c r="F98" s="1">
        <v>11</v>
      </c>
      <c r="G98" s="1">
        <v>22</v>
      </c>
      <c r="H98" s="1">
        <v>15</v>
      </c>
      <c r="I98" s="1">
        <v>20</v>
      </c>
      <c r="J98" s="1">
        <v>21</v>
      </c>
      <c r="K98" s="1">
        <v>9</v>
      </c>
      <c r="L98" s="1">
        <v>1</v>
      </c>
      <c r="M98" s="1">
        <v>29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</row>
    <row r="99" spans="1:254">
      <c r="A99" s="3">
        <f t="shared" si="48"/>
        <v>2010</v>
      </c>
      <c r="B99" s="20">
        <v>11</v>
      </c>
      <c r="C99" s="1">
        <v>26</v>
      </c>
      <c r="D99" s="1">
        <v>5</v>
      </c>
      <c r="E99" s="1">
        <v>23</v>
      </c>
      <c r="F99" s="1">
        <v>21</v>
      </c>
      <c r="G99" s="1">
        <v>14</v>
      </c>
      <c r="H99" s="1">
        <v>20</v>
      </c>
      <c r="I99" s="1">
        <v>2</v>
      </c>
      <c r="J99" s="1">
        <v>13</v>
      </c>
      <c r="K99" s="1">
        <v>27</v>
      </c>
      <c r="L99" s="1">
        <v>1</v>
      </c>
      <c r="M99" s="1">
        <v>15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</row>
    <row r="100" spans="1:254">
      <c r="A100" s="3">
        <f t="shared" si="48"/>
        <v>2011</v>
      </c>
      <c r="B100" s="20">
        <v>13</v>
      </c>
      <c r="C100" s="1">
        <v>14</v>
      </c>
      <c r="D100" s="1">
        <v>30</v>
      </c>
      <c r="E100" s="1">
        <v>27</v>
      </c>
      <c r="F100" s="1">
        <v>25</v>
      </c>
      <c r="G100" s="1">
        <v>21</v>
      </c>
      <c r="H100" s="1">
        <v>29</v>
      </c>
      <c r="I100" s="1">
        <v>12</v>
      </c>
      <c r="J100" s="1">
        <v>20</v>
      </c>
      <c r="K100" s="1">
        <v>11</v>
      </c>
      <c r="L100" s="1">
        <v>16</v>
      </c>
      <c r="M100" s="1">
        <v>23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</row>
    <row r="101" spans="1:254">
      <c r="A101" s="3">
        <f t="shared" si="48"/>
        <v>2012</v>
      </c>
      <c r="B101" s="20">
        <v>5</v>
      </c>
      <c r="C101" s="1">
        <v>13</v>
      </c>
      <c r="D101" s="1">
        <v>23</v>
      </c>
      <c r="E101" s="1">
        <v>3</v>
      </c>
      <c r="F101" s="1">
        <v>24</v>
      </c>
      <c r="G101" s="1">
        <v>12</v>
      </c>
      <c r="H101" s="1">
        <v>20</v>
      </c>
      <c r="I101" s="1">
        <v>9</v>
      </c>
      <c r="J101" s="1">
        <v>4</v>
      </c>
      <c r="K101" s="1">
        <v>4</v>
      </c>
      <c r="L101" s="1">
        <v>12</v>
      </c>
      <c r="M101" s="1">
        <v>23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</row>
    <row r="102" spans="1:254">
      <c r="A102" s="3">
        <f t="shared" si="48"/>
        <v>2013</v>
      </c>
      <c r="B102" s="20">
        <v>9</v>
      </c>
      <c r="C102" s="1">
        <v>18</v>
      </c>
      <c r="D102" s="1">
        <v>4</v>
      </c>
      <c r="E102" s="1">
        <v>16</v>
      </c>
      <c r="F102" s="1">
        <v>20</v>
      </c>
      <c r="G102" s="1">
        <v>17</v>
      </c>
      <c r="H102" s="1">
        <v>30</v>
      </c>
      <c r="I102" s="1">
        <v>13</v>
      </c>
      <c r="J102" s="1">
        <v>4</v>
      </c>
      <c r="K102" s="1">
        <v>1</v>
      </c>
      <c r="L102" s="1">
        <v>1</v>
      </c>
      <c r="M102" s="1">
        <v>9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</row>
    <row r="103" spans="1:254">
      <c r="A103" s="3">
        <f t="shared" si="48"/>
        <v>2014</v>
      </c>
      <c r="B103" s="20">
        <v>23</v>
      </c>
      <c r="C103" s="1">
        <v>14</v>
      </c>
      <c r="D103" s="1">
        <v>21</v>
      </c>
      <c r="E103" s="1">
        <v>28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</row>
    <row r="104" spans="1:254">
      <c r="A104" s="3">
        <f t="shared" si="48"/>
        <v>2015</v>
      </c>
      <c r="B104" s="2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</row>
    <row r="105" spans="1:254">
      <c r="A105" s="3">
        <f t="shared" si="48"/>
        <v>2016</v>
      </c>
      <c r="B105" s="2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</row>
    <row r="106" spans="1:254">
      <c r="A106" s="3">
        <f t="shared" si="48"/>
        <v>2017</v>
      </c>
      <c r="B106" s="2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</row>
    <row r="107" spans="1:254">
      <c r="A107" s="3">
        <f t="shared" si="48"/>
        <v>2018</v>
      </c>
      <c r="B107" s="2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</row>
    <row r="108" spans="1:254">
      <c r="A108" s="3">
        <f t="shared" si="48"/>
        <v>2019</v>
      </c>
      <c r="B108" s="2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</row>
    <row r="109" spans="1:254">
      <c r="A109" s="3">
        <f t="shared" si="48"/>
        <v>2020</v>
      </c>
      <c r="B109" s="20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</row>
    <row r="110" spans="1:254">
      <c r="A110" s="3">
        <f t="shared" si="48"/>
        <v>2021</v>
      </c>
      <c r="B110" s="2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</row>
    <row r="111" spans="1:254">
      <c r="A111" s="3">
        <f t="shared" si="48"/>
        <v>2022</v>
      </c>
      <c r="B111" s="165">
        <v>31</v>
      </c>
      <c r="C111" s="165">
        <v>24</v>
      </c>
      <c r="D111" s="1">
        <v>7</v>
      </c>
      <c r="E111" s="1">
        <v>6</v>
      </c>
      <c r="F111" s="1">
        <v>23</v>
      </c>
      <c r="G111" s="1">
        <v>15</v>
      </c>
      <c r="H111" s="447">
        <v>6</v>
      </c>
      <c r="I111" s="1">
        <v>1</v>
      </c>
      <c r="J111" s="1">
        <v>6</v>
      </c>
      <c r="K111" s="1">
        <v>10</v>
      </c>
      <c r="L111" s="1">
        <v>2</v>
      </c>
      <c r="M111" s="1">
        <v>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</row>
    <row r="112" spans="1:254">
      <c r="A112" s="3">
        <f t="shared" si="48"/>
        <v>2023</v>
      </c>
      <c r="B112" s="165"/>
      <c r="C112" s="165"/>
      <c r="H112" s="447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</row>
    <row r="114" spans="1:254" ht="15.75">
      <c r="A114" s="3"/>
      <c r="B114" s="5" t="s">
        <v>6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</row>
    <row r="115" spans="1:254" ht="15.75">
      <c r="A115" s="3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</row>
    <row r="116" spans="1:254">
      <c r="A116" s="10"/>
      <c r="B116" s="10" t="s">
        <v>4</v>
      </c>
      <c r="C116" s="10" t="s">
        <v>8</v>
      </c>
      <c r="D116" s="10" t="s">
        <v>9</v>
      </c>
      <c r="E116" s="10" t="s">
        <v>10</v>
      </c>
      <c r="F116" s="10" t="s">
        <v>11</v>
      </c>
      <c r="G116" s="10" t="s">
        <v>12</v>
      </c>
      <c r="H116" s="10" t="s">
        <v>13</v>
      </c>
      <c r="I116" s="10" t="s">
        <v>15</v>
      </c>
      <c r="J116" s="10" t="s">
        <v>16</v>
      </c>
      <c r="K116" s="10" t="s">
        <v>17</v>
      </c>
      <c r="L116" s="10" t="s">
        <v>18</v>
      </c>
      <c r="M116" s="10" t="s">
        <v>19</v>
      </c>
      <c r="N116" s="10"/>
      <c r="O116" s="1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</row>
    <row r="117" spans="1:254">
      <c r="A117" s="3">
        <f t="shared" ref="A117:A153" si="49">A6</f>
        <v>1973</v>
      </c>
      <c r="B117" s="6">
        <v>800</v>
      </c>
      <c r="C117" s="14">
        <v>1900</v>
      </c>
      <c r="D117" s="14">
        <v>2000</v>
      </c>
      <c r="E117" s="14">
        <v>2000</v>
      </c>
      <c r="F117" s="14">
        <v>1800</v>
      </c>
      <c r="G117" s="14">
        <v>1800</v>
      </c>
      <c r="H117" s="14">
        <v>1700</v>
      </c>
      <c r="I117" s="14">
        <v>1700</v>
      </c>
      <c r="J117" s="14">
        <v>1600</v>
      </c>
      <c r="K117" s="14">
        <v>1700</v>
      </c>
      <c r="L117" s="14">
        <v>1900</v>
      </c>
      <c r="M117" s="14">
        <v>1900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</row>
    <row r="118" spans="1:254">
      <c r="A118" s="3">
        <f t="shared" si="49"/>
        <v>1974</v>
      </c>
      <c r="B118" s="9">
        <v>2000</v>
      </c>
      <c r="C118" s="3">
        <v>800</v>
      </c>
      <c r="D118" s="3">
        <v>1700</v>
      </c>
      <c r="E118" s="3">
        <v>1700</v>
      </c>
      <c r="F118" s="3">
        <v>1800</v>
      </c>
      <c r="G118" s="3">
        <v>1700</v>
      </c>
      <c r="H118" s="3">
        <v>1800</v>
      </c>
      <c r="I118" s="3">
        <v>1600</v>
      </c>
      <c r="J118" s="3">
        <v>1700</v>
      </c>
      <c r="K118" s="3">
        <v>1900</v>
      </c>
      <c r="L118" s="3">
        <v>1900</v>
      </c>
      <c r="M118" s="3">
        <v>800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</row>
    <row r="119" spans="1:254">
      <c r="A119" s="3">
        <f t="shared" si="49"/>
        <v>1975</v>
      </c>
      <c r="B119" s="9">
        <v>800</v>
      </c>
      <c r="C119" s="3">
        <v>700</v>
      </c>
      <c r="D119" s="3">
        <v>800</v>
      </c>
      <c r="E119" s="3">
        <v>1700</v>
      </c>
      <c r="F119" s="3">
        <v>1700</v>
      </c>
      <c r="G119" s="3">
        <v>1800</v>
      </c>
      <c r="H119" s="3">
        <v>1800</v>
      </c>
      <c r="I119" s="3">
        <v>1700</v>
      </c>
      <c r="J119" s="3">
        <v>1700</v>
      </c>
      <c r="K119" s="3">
        <v>2000</v>
      </c>
      <c r="L119" s="3">
        <v>900</v>
      </c>
      <c r="M119" s="3">
        <v>1900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</row>
    <row r="120" spans="1:254">
      <c r="A120" s="3">
        <f t="shared" si="49"/>
        <v>1976</v>
      </c>
      <c r="B120" s="9">
        <v>800</v>
      </c>
      <c r="C120" s="3">
        <v>800</v>
      </c>
      <c r="D120" s="3">
        <v>2000</v>
      </c>
      <c r="E120" s="3">
        <v>1800</v>
      </c>
      <c r="F120" s="3">
        <v>1700</v>
      </c>
      <c r="G120" s="3">
        <v>1700</v>
      </c>
      <c r="H120" s="3">
        <v>1800</v>
      </c>
      <c r="I120" s="3">
        <v>1700</v>
      </c>
      <c r="J120" s="3">
        <v>1700</v>
      </c>
      <c r="K120" s="3">
        <v>1900</v>
      </c>
      <c r="L120" s="3">
        <v>1900</v>
      </c>
      <c r="M120" s="3">
        <v>900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</row>
    <row r="121" spans="1:254">
      <c r="A121" s="3">
        <f t="shared" si="49"/>
        <v>1977</v>
      </c>
      <c r="B121" s="9">
        <v>800</v>
      </c>
      <c r="C121" s="3">
        <v>800</v>
      </c>
      <c r="D121" s="3">
        <v>2000</v>
      </c>
      <c r="E121" s="3">
        <v>2000</v>
      </c>
      <c r="F121" s="3">
        <v>1900</v>
      </c>
      <c r="G121" s="3">
        <v>1700</v>
      </c>
      <c r="H121" s="3">
        <v>1700</v>
      </c>
      <c r="I121" s="3">
        <v>1700</v>
      </c>
      <c r="J121" s="3">
        <v>1700</v>
      </c>
      <c r="K121" s="3">
        <v>1700</v>
      </c>
      <c r="L121" s="3">
        <v>1900</v>
      </c>
      <c r="M121" s="3">
        <v>900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</row>
    <row r="122" spans="1:254">
      <c r="A122" s="3">
        <f t="shared" si="49"/>
        <v>1978</v>
      </c>
      <c r="B122" s="9">
        <v>800</v>
      </c>
      <c r="C122" s="3">
        <v>800</v>
      </c>
      <c r="D122" s="3">
        <v>800</v>
      </c>
      <c r="E122" s="3">
        <v>2000</v>
      </c>
      <c r="F122" s="3">
        <v>1700</v>
      </c>
      <c r="G122" s="3">
        <v>1700</v>
      </c>
      <c r="H122" s="3">
        <v>1700</v>
      </c>
      <c r="I122" s="3">
        <v>1700</v>
      </c>
      <c r="J122" s="3">
        <v>1700</v>
      </c>
      <c r="K122" s="3">
        <v>1600</v>
      </c>
      <c r="L122" s="3">
        <v>1900</v>
      </c>
      <c r="M122" s="3">
        <v>1900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</row>
    <row r="123" spans="1:254">
      <c r="A123" s="3">
        <f t="shared" si="49"/>
        <v>1979</v>
      </c>
      <c r="B123" s="9">
        <v>800</v>
      </c>
      <c r="C123" s="3">
        <v>800</v>
      </c>
      <c r="D123" s="3">
        <v>800</v>
      </c>
      <c r="E123" s="3">
        <v>2000</v>
      </c>
      <c r="F123" s="3">
        <v>1800</v>
      </c>
      <c r="G123" s="3">
        <v>1800</v>
      </c>
      <c r="H123" s="3">
        <v>1700</v>
      </c>
      <c r="I123" s="3">
        <v>1800</v>
      </c>
      <c r="J123" s="3">
        <v>1700</v>
      </c>
      <c r="K123" s="3">
        <v>1700</v>
      </c>
      <c r="L123" s="3">
        <v>1900</v>
      </c>
      <c r="M123" s="3">
        <v>800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</row>
    <row r="124" spans="1:254">
      <c r="A124" s="3">
        <f t="shared" si="49"/>
        <v>1980</v>
      </c>
      <c r="B124" s="9">
        <v>800</v>
      </c>
      <c r="C124" s="3">
        <v>1000</v>
      </c>
      <c r="D124" s="3">
        <v>800</v>
      </c>
      <c r="E124" s="3">
        <v>2000</v>
      </c>
      <c r="F124" s="3">
        <v>1700</v>
      </c>
      <c r="G124" s="3">
        <v>1800</v>
      </c>
      <c r="H124" s="3">
        <v>1800</v>
      </c>
      <c r="I124" s="3">
        <v>1700</v>
      </c>
      <c r="J124" s="3">
        <v>1700</v>
      </c>
      <c r="K124" s="3">
        <v>1700</v>
      </c>
      <c r="L124" s="3">
        <v>1900</v>
      </c>
      <c r="M124" s="3">
        <v>900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</row>
    <row r="125" spans="1:254">
      <c r="A125" s="3">
        <f t="shared" si="49"/>
        <v>1981</v>
      </c>
      <c r="B125" s="9">
        <v>800</v>
      </c>
      <c r="C125" s="3">
        <v>800</v>
      </c>
      <c r="D125" s="3">
        <v>1900</v>
      </c>
      <c r="E125" s="3">
        <v>1700</v>
      </c>
      <c r="F125" s="3">
        <v>1800</v>
      </c>
      <c r="G125" s="3">
        <v>1800</v>
      </c>
      <c r="H125" s="3">
        <v>1700</v>
      </c>
      <c r="I125" s="3">
        <v>1600</v>
      </c>
      <c r="J125" s="3">
        <v>1800</v>
      </c>
      <c r="K125" s="3">
        <v>1600</v>
      </c>
      <c r="L125" s="3">
        <v>800</v>
      </c>
      <c r="M125" s="3">
        <v>800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 t="s">
        <v>152</v>
      </c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</row>
    <row r="126" spans="1:254">
      <c r="A126" s="3">
        <f t="shared" si="49"/>
        <v>1982</v>
      </c>
      <c r="B126" s="9">
        <v>800</v>
      </c>
      <c r="C126" s="3">
        <v>2000</v>
      </c>
      <c r="D126" s="3">
        <v>1700</v>
      </c>
      <c r="E126" s="3">
        <v>1800</v>
      </c>
      <c r="F126" s="3">
        <v>1800</v>
      </c>
      <c r="G126" s="3">
        <v>1700</v>
      </c>
      <c r="H126" s="3">
        <v>1600</v>
      </c>
      <c r="I126" s="3">
        <v>1600</v>
      </c>
      <c r="J126" s="3">
        <v>1700</v>
      </c>
      <c r="K126" s="3">
        <v>1600</v>
      </c>
      <c r="L126" s="3">
        <v>1900</v>
      </c>
      <c r="M126" s="3">
        <v>900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 t="s">
        <v>153</v>
      </c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</row>
    <row r="127" spans="1:254" ht="15.75">
      <c r="A127" s="3">
        <f t="shared" si="49"/>
        <v>1983</v>
      </c>
      <c r="B127" s="9">
        <v>800</v>
      </c>
      <c r="C127" s="3">
        <v>800</v>
      </c>
      <c r="D127" s="3">
        <v>2000</v>
      </c>
      <c r="E127" s="3">
        <v>1800</v>
      </c>
      <c r="F127" s="3">
        <v>1700</v>
      </c>
      <c r="G127" s="3">
        <v>1700</v>
      </c>
      <c r="H127" s="3">
        <v>1600</v>
      </c>
      <c r="I127" s="3">
        <v>1600</v>
      </c>
      <c r="J127" s="3">
        <v>1700</v>
      </c>
      <c r="K127" s="3">
        <v>1700</v>
      </c>
      <c r="L127" s="3">
        <v>800</v>
      </c>
      <c r="M127" s="3">
        <v>1000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5" t="s">
        <v>4</v>
      </c>
      <c r="AA127" s="3"/>
      <c r="AB127" s="3"/>
      <c r="AC127" s="3"/>
      <c r="AD127" s="3"/>
      <c r="AE127" s="3"/>
      <c r="AF127" s="3"/>
      <c r="AG127" s="5" t="s">
        <v>15</v>
      </c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</row>
    <row r="128" spans="1:254" ht="15.75">
      <c r="A128" s="3">
        <f t="shared" si="49"/>
        <v>1984</v>
      </c>
      <c r="B128" s="9">
        <v>1100</v>
      </c>
      <c r="C128" s="3">
        <v>800</v>
      </c>
      <c r="D128" s="3">
        <v>800</v>
      </c>
      <c r="E128" s="3">
        <v>1600</v>
      </c>
      <c r="F128" s="3">
        <v>1600</v>
      </c>
      <c r="G128" s="3">
        <v>1700</v>
      </c>
      <c r="H128" s="3">
        <v>1600</v>
      </c>
      <c r="I128" s="3">
        <v>1800</v>
      </c>
      <c r="J128" s="3">
        <v>1700</v>
      </c>
      <c r="K128" s="3">
        <v>1900</v>
      </c>
      <c r="L128" s="3">
        <v>800</v>
      </c>
      <c r="M128" s="3">
        <v>800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>
        <v>1</v>
      </c>
      <c r="Z128" s="108">
        <v>1</v>
      </c>
      <c r="AA128" s="19">
        <v>1</v>
      </c>
      <c r="AB128" s="19">
        <v>1</v>
      </c>
      <c r="AC128" s="18">
        <v>0.92481845365228499</v>
      </c>
      <c r="AD128" s="19">
        <v>0.99738513261113204</v>
      </c>
      <c r="AE128" s="19">
        <v>1</v>
      </c>
      <c r="AF128" s="19">
        <v>1</v>
      </c>
      <c r="AG128" s="108">
        <v>1</v>
      </c>
      <c r="AH128" s="19">
        <v>1</v>
      </c>
      <c r="AI128" s="18">
        <v>1</v>
      </c>
      <c r="AJ128" s="19">
        <v>0.92760487144790305</v>
      </c>
      <c r="AK128" s="19">
        <v>1</v>
      </c>
      <c r="AL128" s="9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</row>
    <row r="129" spans="1:254" ht="15.75">
      <c r="A129" s="3">
        <f t="shared" si="49"/>
        <v>1985</v>
      </c>
      <c r="B129" s="9">
        <v>800</v>
      </c>
      <c r="C129" s="3">
        <v>800</v>
      </c>
      <c r="D129" s="3">
        <v>800</v>
      </c>
      <c r="E129" s="3">
        <v>1600</v>
      </c>
      <c r="F129" s="3">
        <v>1700</v>
      </c>
      <c r="G129" s="3">
        <v>1700</v>
      </c>
      <c r="H129" s="3">
        <v>1600</v>
      </c>
      <c r="I129" s="3">
        <v>1700</v>
      </c>
      <c r="J129" s="3">
        <v>1700</v>
      </c>
      <c r="K129" s="3">
        <v>1600</v>
      </c>
      <c r="L129" s="3">
        <v>1900</v>
      </c>
      <c r="M129" s="3">
        <v>900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>
        <f t="shared" ref="Y129:Y154" si="50">Y128+1</f>
        <v>2</v>
      </c>
      <c r="Z129" s="108">
        <v>1</v>
      </c>
      <c r="AA129" s="19">
        <v>1</v>
      </c>
      <c r="AB129" s="19">
        <v>1</v>
      </c>
      <c r="AC129" s="18">
        <v>0.91803278688524603</v>
      </c>
      <c r="AD129" s="19">
        <v>0.988567073170732</v>
      </c>
      <c r="AE129" s="19">
        <v>1</v>
      </c>
      <c r="AF129" s="19">
        <v>1</v>
      </c>
      <c r="AG129" s="108">
        <v>1</v>
      </c>
      <c r="AH129" s="19">
        <v>1</v>
      </c>
      <c r="AI129" s="18">
        <v>1</v>
      </c>
      <c r="AJ129" s="19">
        <v>0.86571675302245299</v>
      </c>
      <c r="AK129" s="19">
        <v>1</v>
      </c>
      <c r="AL129" s="9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</row>
    <row r="130" spans="1:254" ht="15.75">
      <c r="A130" s="3">
        <f t="shared" si="49"/>
        <v>1986</v>
      </c>
      <c r="B130" s="9">
        <v>800</v>
      </c>
      <c r="C130" s="3">
        <v>800</v>
      </c>
      <c r="D130" s="3">
        <v>800</v>
      </c>
      <c r="E130" s="3">
        <v>1700</v>
      </c>
      <c r="F130" s="3">
        <v>1700</v>
      </c>
      <c r="G130" s="3">
        <v>1500</v>
      </c>
      <c r="H130" s="3">
        <v>1600</v>
      </c>
      <c r="I130" s="3">
        <v>1700</v>
      </c>
      <c r="J130" s="3">
        <v>1700</v>
      </c>
      <c r="K130" s="3">
        <v>1700</v>
      </c>
      <c r="L130" s="3">
        <v>1900</v>
      </c>
      <c r="M130" s="3">
        <v>1900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>
        <f t="shared" si="50"/>
        <v>3</v>
      </c>
      <c r="Z130" s="108">
        <v>1</v>
      </c>
      <c r="AA130" s="19">
        <v>1</v>
      </c>
      <c r="AB130" s="19">
        <v>0.95106035889070195</v>
      </c>
      <c r="AC130" s="18">
        <v>0.86705767350928598</v>
      </c>
      <c r="AD130" s="19">
        <v>0.96981132075471699</v>
      </c>
      <c r="AE130" s="19">
        <v>1</v>
      </c>
      <c r="AF130" s="19">
        <v>1</v>
      </c>
      <c r="AG130" s="108">
        <v>1</v>
      </c>
      <c r="AH130" s="19">
        <v>1</v>
      </c>
      <c r="AI130" s="18">
        <v>0.99656188605108098</v>
      </c>
      <c r="AJ130" s="19">
        <v>0.84455058619192402</v>
      </c>
      <c r="AK130" s="19">
        <v>1</v>
      </c>
      <c r="AL130" s="9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</row>
    <row r="131" spans="1:254" ht="15.75">
      <c r="A131" s="3">
        <f t="shared" si="49"/>
        <v>1987</v>
      </c>
      <c r="B131" s="9">
        <v>800</v>
      </c>
      <c r="C131" s="3">
        <v>800</v>
      </c>
      <c r="D131" s="3">
        <v>2000</v>
      </c>
      <c r="E131" s="3">
        <v>800</v>
      </c>
      <c r="F131" s="3">
        <v>1700</v>
      </c>
      <c r="G131" s="3">
        <v>1700</v>
      </c>
      <c r="H131" s="3">
        <v>1700</v>
      </c>
      <c r="I131" s="3">
        <v>1700</v>
      </c>
      <c r="J131" s="3">
        <v>1600</v>
      </c>
      <c r="K131" s="3">
        <v>1700</v>
      </c>
      <c r="L131" s="3">
        <v>1900</v>
      </c>
      <c r="M131" s="3">
        <v>800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>
        <f t="shared" si="50"/>
        <v>4</v>
      </c>
      <c r="Z131" s="108">
        <v>1</v>
      </c>
      <c r="AA131" s="19">
        <v>1</v>
      </c>
      <c r="AB131" s="19">
        <v>0.94365012615643395</v>
      </c>
      <c r="AC131" s="18">
        <v>0.85434516523867798</v>
      </c>
      <c r="AD131" s="19">
        <v>0.96186440677966101</v>
      </c>
      <c r="AE131" s="19">
        <v>1</v>
      </c>
      <c r="AF131" s="19">
        <v>1</v>
      </c>
      <c r="AG131" s="108">
        <v>1</v>
      </c>
      <c r="AH131" s="19">
        <v>1</v>
      </c>
      <c r="AI131" s="18">
        <v>0.941471571906355</v>
      </c>
      <c r="AJ131" s="19">
        <v>0.82151898734177198</v>
      </c>
      <c r="AK131" s="19">
        <v>0.98822539949537402</v>
      </c>
      <c r="AL131" s="9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</row>
    <row r="132" spans="1:254" ht="15.75">
      <c r="A132" s="3">
        <f t="shared" si="49"/>
        <v>1988</v>
      </c>
      <c r="B132" s="9">
        <v>800</v>
      </c>
      <c r="C132" s="3">
        <v>900</v>
      </c>
      <c r="D132" s="3">
        <v>800</v>
      </c>
      <c r="E132" s="3">
        <v>1800</v>
      </c>
      <c r="F132" s="3">
        <v>1700</v>
      </c>
      <c r="G132" s="3">
        <v>1700</v>
      </c>
      <c r="H132" s="3">
        <v>1800</v>
      </c>
      <c r="I132" s="3">
        <v>1700</v>
      </c>
      <c r="J132" s="3">
        <v>1700</v>
      </c>
      <c r="K132" s="3">
        <v>1700</v>
      </c>
      <c r="L132" s="3">
        <v>1900</v>
      </c>
      <c r="M132" s="3">
        <v>800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>
        <f t="shared" si="50"/>
        <v>5</v>
      </c>
      <c r="Z132" s="108">
        <v>1</v>
      </c>
      <c r="AA132" s="19">
        <v>1</v>
      </c>
      <c r="AB132" s="19">
        <v>0.89791969037252095</v>
      </c>
      <c r="AC132" s="18">
        <v>0.83917682926829296</v>
      </c>
      <c r="AD132" s="19">
        <v>0.95189873417721504</v>
      </c>
      <c r="AE132" s="19">
        <v>1</v>
      </c>
      <c r="AF132" s="19">
        <v>1</v>
      </c>
      <c r="AG132" s="108">
        <v>1</v>
      </c>
      <c r="AH132" s="19">
        <v>1</v>
      </c>
      <c r="AI132" s="18">
        <v>0.93530178028658295</v>
      </c>
      <c r="AJ132" s="19">
        <v>0.81328847771236301</v>
      </c>
      <c r="AK132" s="19">
        <v>0.95831524099001297</v>
      </c>
      <c r="AL132" s="9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</row>
    <row r="133" spans="1:254" ht="15.75">
      <c r="A133" s="3">
        <f t="shared" si="49"/>
        <v>1989</v>
      </c>
      <c r="B133" s="9">
        <v>800</v>
      </c>
      <c r="C133" s="3">
        <v>800</v>
      </c>
      <c r="D133" s="3">
        <v>800</v>
      </c>
      <c r="E133" s="3">
        <v>1800</v>
      </c>
      <c r="F133" s="3">
        <v>1800</v>
      </c>
      <c r="G133" s="3">
        <v>1800</v>
      </c>
      <c r="H133" s="3">
        <v>1800</v>
      </c>
      <c r="I133" s="3">
        <v>1800</v>
      </c>
      <c r="J133" s="3">
        <v>1700</v>
      </c>
      <c r="K133" s="3">
        <v>1800</v>
      </c>
      <c r="L133" s="3">
        <v>1900</v>
      </c>
      <c r="M133" s="3">
        <v>2200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>
        <f t="shared" si="50"/>
        <v>6</v>
      </c>
      <c r="Z133" s="108">
        <v>1</v>
      </c>
      <c r="AA133" s="19">
        <v>1</v>
      </c>
      <c r="AB133" s="19">
        <v>0.89361702127659604</v>
      </c>
      <c r="AC133" s="18">
        <v>0.83490744238760894</v>
      </c>
      <c r="AD133" s="19">
        <v>0.93784421715184896</v>
      </c>
      <c r="AE133" s="19">
        <v>0.99701158012700797</v>
      </c>
      <c r="AF133" s="19">
        <v>1</v>
      </c>
      <c r="AG133" s="108">
        <v>1</v>
      </c>
      <c r="AH133" s="19">
        <v>1</v>
      </c>
      <c r="AI133" s="18">
        <v>0.89130434782608703</v>
      </c>
      <c r="AJ133" s="19">
        <v>0.80602006688963201</v>
      </c>
      <c r="AK133" s="19">
        <v>0.93453475542478803</v>
      </c>
      <c r="AL133" s="9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</row>
    <row r="134" spans="1:254" ht="15.75">
      <c r="A134" s="3">
        <f t="shared" si="49"/>
        <v>1990</v>
      </c>
      <c r="B134" s="9">
        <v>1000</v>
      </c>
      <c r="C134" s="3">
        <v>800</v>
      </c>
      <c r="D134" s="3">
        <v>1800</v>
      </c>
      <c r="E134" s="3">
        <v>1800</v>
      </c>
      <c r="F134" s="3">
        <v>1800</v>
      </c>
      <c r="G134" s="3">
        <v>1700</v>
      </c>
      <c r="H134" s="3">
        <v>1700</v>
      </c>
      <c r="I134" s="3">
        <v>1700</v>
      </c>
      <c r="J134" s="3">
        <v>1700</v>
      </c>
      <c r="K134" s="3">
        <v>1700</v>
      </c>
      <c r="L134" s="3">
        <v>1900</v>
      </c>
      <c r="M134" s="3">
        <v>800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>
        <f t="shared" si="50"/>
        <v>7</v>
      </c>
      <c r="Z134" s="108">
        <v>1</v>
      </c>
      <c r="AA134" s="19">
        <v>1</v>
      </c>
      <c r="AB134" s="19">
        <v>0.86922725194330097</v>
      </c>
      <c r="AC134" s="18">
        <v>0.83390216154721297</v>
      </c>
      <c r="AD134" s="19">
        <v>0.93506493506493504</v>
      </c>
      <c r="AE134" s="19">
        <v>0.995056497175141</v>
      </c>
      <c r="AF134" s="19">
        <v>0.99730603448275901</v>
      </c>
      <c r="AG134" s="108">
        <v>1</v>
      </c>
      <c r="AH134" s="19">
        <v>0.99792960662525898</v>
      </c>
      <c r="AI134" s="18">
        <v>0.88903281519861799</v>
      </c>
      <c r="AJ134" s="19">
        <v>0.80304518664047198</v>
      </c>
      <c r="AK134" s="19">
        <v>0.925585284280936</v>
      </c>
      <c r="AL134" s="9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</row>
    <row r="135" spans="1:254" ht="15.75">
      <c r="A135" s="3">
        <f t="shared" si="49"/>
        <v>1991</v>
      </c>
      <c r="B135" s="9">
        <v>800</v>
      </c>
      <c r="C135" s="3">
        <v>900</v>
      </c>
      <c r="D135" s="3">
        <v>800</v>
      </c>
      <c r="E135" s="3">
        <v>1800</v>
      </c>
      <c r="F135" s="3">
        <v>1700</v>
      </c>
      <c r="G135" s="3">
        <v>1600</v>
      </c>
      <c r="H135" s="3">
        <v>1800</v>
      </c>
      <c r="I135" s="3">
        <v>1700</v>
      </c>
      <c r="J135" s="3">
        <v>1700</v>
      </c>
      <c r="K135" s="3">
        <v>1700</v>
      </c>
      <c r="L135" s="3">
        <v>800</v>
      </c>
      <c r="M135" s="3">
        <v>800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>
        <f t="shared" si="50"/>
        <v>8</v>
      </c>
      <c r="Z135" s="108">
        <v>1</v>
      </c>
      <c r="AA135" s="19">
        <v>0.97533039647577102</v>
      </c>
      <c r="AB135" s="19">
        <v>0.86794258373205702</v>
      </c>
      <c r="AC135" s="18">
        <v>0.82533438237608203</v>
      </c>
      <c r="AD135" s="19">
        <v>0.93431252549979604</v>
      </c>
      <c r="AE135" s="19">
        <v>0.99185059422750399</v>
      </c>
      <c r="AF135" s="19">
        <v>0.99730458221024298</v>
      </c>
      <c r="AG135" s="108">
        <v>1</v>
      </c>
      <c r="AH135" s="19">
        <v>0.99659992444276502</v>
      </c>
      <c r="AI135" s="18">
        <v>0.88141295206055503</v>
      </c>
      <c r="AJ135" s="19">
        <v>0.80155464106081398</v>
      </c>
      <c r="AK135" s="19">
        <v>0.91339648173207</v>
      </c>
      <c r="AL135" s="9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</row>
    <row r="136" spans="1:254" ht="15.75">
      <c r="A136" s="3">
        <f t="shared" si="49"/>
        <v>1992</v>
      </c>
      <c r="B136" s="9">
        <v>800</v>
      </c>
      <c r="C136" s="3">
        <v>900</v>
      </c>
      <c r="D136" s="3">
        <v>2000</v>
      </c>
      <c r="E136" s="3">
        <v>1700</v>
      </c>
      <c r="F136" s="3">
        <v>1800</v>
      </c>
      <c r="G136" s="3">
        <v>1800</v>
      </c>
      <c r="H136" s="3">
        <v>1700</v>
      </c>
      <c r="I136" s="3">
        <v>1800</v>
      </c>
      <c r="J136" s="3">
        <v>1800</v>
      </c>
      <c r="K136" s="3">
        <v>1700</v>
      </c>
      <c r="L136" s="3">
        <v>1900</v>
      </c>
      <c r="M136" s="3">
        <v>800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>
        <f t="shared" si="50"/>
        <v>9</v>
      </c>
      <c r="Z136" s="108">
        <v>1</v>
      </c>
      <c r="AA136" s="19">
        <v>0.966134494436381</v>
      </c>
      <c r="AB136" s="19">
        <v>0.84006953498478898</v>
      </c>
      <c r="AC136" s="18">
        <v>0.82127659574468104</v>
      </c>
      <c r="AD136" s="19">
        <v>0.92505854800936804</v>
      </c>
      <c r="AE136" s="19">
        <v>0.99148936170212798</v>
      </c>
      <c r="AF136" s="19">
        <v>0.98974797095258404</v>
      </c>
      <c r="AG136" s="108">
        <v>1</v>
      </c>
      <c r="AH136" s="19">
        <v>0.99145664246048704</v>
      </c>
      <c r="AI136" s="18">
        <v>0.87839771101573705</v>
      </c>
      <c r="AJ136" s="19">
        <v>0.79109966899595396</v>
      </c>
      <c r="AK136" s="19">
        <v>0.89864291772688698</v>
      </c>
      <c r="AL136" s="9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</row>
    <row r="137" spans="1:254" ht="15.75">
      <c r="A137" s="3">
        <f t="shared" si="49"/>
        <v>1993</v>
      </c>
      <c r="B137" s="9">
        <v>800</v>
      </c>
      <c r="C137" s="3">
        <v>900</v>
      </c>
      <c r="D137" s="3">
        <v>800</v>
      </c>
      <c r="E137" s="3">
        <v>1800</v>
      </c>
      <c r="F137" s="3">
        <v>1800</v>
      </c>
      <c r="G137" s="3">
        <v>1800</v>
      </c>
      <c r="H137" s="3">
        <v>1700</v>
      </c>
      <c r="I137" s="3">
        <v>1700</v>
      </c>
      <c r="J137" s="3">
        <v>1700</v>
      </c>
      <c r="K137" s="3">
        <v>1700</v>
      </c>
      <c r="L137" s="3">
        <v>1900</v>
      </c>
      <c r="M137" s="3">
        <v>900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>
        <f t="shared" si="50"/>
        <v>10</v>
      </c>
      <c r="Z137" s="108">
        <v>1</v>
      </c>
      <c r="AA137" s="19">
        <v>0.96025437201907804</v>
      </c>
      <c r="AB137" s="19">
        <v>0.83253842077371498</v>
      </c>
      <c r="AC137" s="18">
        <v>0.80745341614906796</v>
      </c>
      <c r="AD137" s="19">
        <v>0.91609421000981395</v>
      </c>
      <c r="AE137" s="19">
        <v>0.98701298701298701</v>
      </c>
      <c r="AF137" s="19">
        <v>0.98894817073170704</v>
      </c>
      <c r="AG137" s="108">
        <v>1</v>
      </c>
      <c r="AH137" s="19">
        <v>0.99116997792494499</v>
      </c>
      <c r="AI137" s="18">
        <v>0.87127620448694398</v>
      </c>
      <c r="AJ137" s="19">
        <v>0.76394849785407704</v>
      </c>
      <c r="AK137" s="19">
        <v>0.89556509298998599</v>
      </c>
      <c r="AL137" s="9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</row>
    <row r="138" spans="1:254" ht="15.75">
      <c r="A138" s="3">
        <f t="shared" si="49"/>
        <v>1994</v>
      </c>
      <c r="B138" s="9">
        <v>800</v>
      </c>
      <c r="C138" s="3">
        <v>800</v>
      </c>
      <c r="D138" s="3">
        <v>1700</v>
      </c>
      <c r="E138" s="3">
        <v>1700</v>
      </c>
      <c r="F138" s="3">
        <v>1700</v>
      </c>
      <c r="G138" s="3">
        <v>1800</v>
      </c>
      <c r="H138" s="3">
        <v>1700</v>
      </c>
      <c r="I138" s="3">
        <v>1700</v>
      </c>
      <c r="J138" s="3">
        <v>1700</v>
      </c>
      <c r="K138" s="3">
        <v>1700</v>
      </c>
      <c r="L138" s="3">
        <v>1500</v>
      </c>
      <c r="M138" s="3">
        <v>1900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>
        <f t="shared" si="50"/>
        <v>11</v>
      </c>
      <c r="Z138" s="108">
        <v>1</v>
      </c>
      <c r="AA138" s="19">
        <v>0.940100594421582</v>
      </c>
      <c r="AB138" s="19">
        <v>0.83026755852842804</v>
      </c>
      <c r="AC138" s="18">
        <v>0.80700808625336895</v>
      </c>
      <c r="AD138" s="19">
        <v>0.91418081688848096</v>
      </c>
      <c r="AE138" s="19">
        <v>0.97515527950310599</v>
      </c>
      <c r="AF138" s="19">
        <v>0.98635634028892505</v>
      </c>
      <c r="AG138" s="108">
        <v>0.99946091644204804</v>
      </c>
      <c r="AH138" s="19">
        <v>0.989699955217197</v>
      </c>
      <c r="AI138" s="18">
        <v>0.82458929517752999</v>
      </c>
      <c r="AJ138" s="19">
        <v>0.74317180616740097</v>
      </c>
      <c r="AK138" s="19">
        <v>0.887030995106036</v>
      </c>
      <c r="AL138" s="9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</row>
    <row r="139" spans="1:254" ht="15.75">
      <c r="A139" s="3">
        <f t="shared" si="49"/>
        <v>1995</v>
      </c>
      <c r="B139" s="9">
        <v>800</v>
      </c>
      <c r="C139" s="3">
        <v>800</v>
      </c>
      <c r="D139" s="3">
        <v>2000</v>
      </c>
      <c r="E139" s="3">
        <v>1800</v>
      </c>
      <c r="F139" s="3">
        <v>1700</v>
      </c>
      <c r="G139" s="3">
        <v>1700</v>
      </c>
      <c r="H139" s="3">
        <v>1700</v>
      </c>
      <c r="I139" s="3">
        <v>1600</v>
      </c>
      <c r="J139" s="3">
        <v>1700</v>
      </c>
      <c r="K139" s="3">
        <v>1700</v>
      </c>
      <c r="L139" s="3">
        <v>1600</v>
      </c>
      <c r="M139" s="3">
        <v>800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>
        <f t="shared" si="50"/>
        <v>12</v>
      </c>
      <c r="Z139" s="108">
        <v>1</v>
      </c>
      <c r="AA139" s="19">
        <v>0.92783505154639201</v>
      </c>
      <c r="AB139" s="19">
        <v>0.80012936610607999</v>
      </c>
      <c r="AC139" s="18">
        <v>0.79807251032583804</v>
      </c>
      <c r="AD139" s="19">
        <v>0.90895353230071796</v>
      </c>
      <c r="AE139" s="19">
        <v>0.97412398921832899</v>
      </c>
      <c r="AF139" s="19">
        <v>0.98166383701188498</v>
      </c>
      <c r="AG139" s="108">
        <v>0.99915611814345995</v>
      </c>
      <c r="AH139" s="19">
        <v>0.97385132611131897</v>
      </c>
      <c r="AI139" s="18">
        <v>0.81850220264317197</v>
      </c>
      <c r="AJ139" s="19">
        <v>0.739517625231911</v>
      </c>
      <c r="AK139" s="19">
        <v>0.87904269081500697</v>
      </c>
      <c r="AL139" s="9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</row>
    <row r="140" spans="1:254" ht="15.75">
      <c r="A140" s="3">
        <f t="shared" si="49"/>
        <v>1996</v>
      </c>
      <c r="B140" s="9">
        <v>800</v>
      </c>
      <c r="C140" s="3">
        <v>800</v>
      </c>
      <c r="D140" s="3">
        <v>1100</v>
      </c>
      <c r="E140" s="3">
        <v>1700</v>
      </c>
      <c r="F140" s="3">
        <v>1800</v>
      </c>
      <c r="G140" s="3">
        <v>1400</v>
      </c>
      <c r="H140" s="3">
        <v>1700</v>
      </c>
      <c r="I140" s="3">
        <v>1800</v>
      </c>
      <c r="J140" s="3">
        <v>1700</v>
      </c>
      <c r="K140" s="3">
        <v>1500</v>
      </c>
      <c r="L140" s="3">
        <v>1400</v>
      </c>
      <c r="M140" s="3">
        <v>800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>
        <f t="shared" si="50"/>
        <v>13</v>
      </c>
      <c r="Z140" s="108">
        <v>1</v>
      </c>
      <c r="AA140" s="19">
        <v>0.91474966170500704</v>
      </c>
      <c r="AB140" s="19">
        <v>0.78149779735682801</v>
      </c>
      <c r="AC140" s="18">
        <v>0.78782218901755696</v>
      </c>
      <c r="AD140" s="19">
        <v>0.90851063829787204</v>
      </c>
      <c r="AE140" s="19">
        <v>0.96985210466439098</v>
      </c>
      <c r="AF140" s="19">
        <v>0.97984773846842799</v>
      </c>
      <c r="AG140" s="19">
        <v>0.98954053044452694</v>
      </c>
      <c r="AH140" s="19">
        <v>0.973617021276596</v>
      </c>
      <c r="AI140" s="18">
        <v>0.81223628691983096</v>
      </c>
      <c r="AJ140" s="19">
        <v>0.737357259380098</v>
      </c>
      <c r="AK140" s="19">
        <v>0.86658031088082899</v>
      </c>
      <c r="AL140" s="9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</row>
    <row r="141" spans="1:254">
      <c r="A141" s="3">
        <f t="shared" si="49"/>
        <v>1997</v>
      </c>
      <c r="B141" s="9">
        <v>900</v>
      </c>
      <c r="C141" s="3">
        <v>800</v>
      </c>
      <c r="D141" s="3">
        <v>1900</v>
      </c>
      <c r="E141" s="3">
        <v>1800</v>
      </c>
      <c r="F141" s="3">
        <v>1700</v>
      </c>
      <c r="G141" s="3">
        <v>1700</v>
      </c>
      <c r="H141" s="3">
        <v>1600</v>
      </c>
      <c r="I141" s="3">
        <v>1700</v>
      </c>
      <c r="J141" s="3">
        <v>1700</v>
      </c>
      <c r="K141" s="3">
        <v>1700</v>
      </c>
      <c r="L141" s="3">
        <v>1400</v>
      </c>
      <c r="M141" s="3">
        <v>2000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>
        <f t="shared" si="50"/>
        <v>14</v>
      </c>
      <c r="Z141" s="19">
        <v>0.98447606727037495</v>
      </c>
      <c r="AA141" s="19">
        <v>0.90570979570455701</v>
      </c>
      <c r="AB141" s="19">
        <v>0.77325186693822101</v>
      </c>
      <c r="AC141" s="18">
        <v>0.78235557545902401</v>
      </c>
      <c r="AD141" s="19">
        <v>0.90559589918838101</v>
      </c>
      <c r="AE141" s="19">
        <v>0.96959600166597204</v>
      </c>
      <c r="AF141" s="19">
        <v>0.97383966244725695</v>
      </c>
      <c r="AG141" s="19">
        <v>0.98851894374282401</v>
      </c>
      <c r="AH141" s="19">
        <v>0.96564531104921103</v>
      </c>
      <c r="AI141" s="18">
        <v>0.79361846571622496</v>
      </c>
      <c r="AJ141" s="19">
        <v>0.73210702341137102</v>
      </c>
      <c r="AK141" s="19">
        <v>0.86197183098591501</v>
      </c>
      <c r="AL141" s="9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</row>
    <row r="142" spans="1:254">
      <c r="A142" s="3">
        <f t="shared" si="49"/>
        <v>1998</v>
      </c>
      <c r="B142" s="9">
        <v>800</v>
      </c>
      <c r="C142" s="3">
        <v>800</v>
      </c>
      <c r="D142" s="3">
        <v>800</v>
      </c>
      <c r="E142" s="3">
        <v>1700</v>
      </c>
      <c r="F142" s="3">
        <v>1700</v>
      </c>
      <c r="G142" s="3">
        <v>1700</v>
      </c>
      <c r="H142" s="3">
        <v>1600</v>
      </c>
      <c r="I142" s="3">
        <v>1800</v>
      </c>
      <c r="J142" s="3">
        <v>1600</v>
      </c>
      <c r="K142" s="3">
        <v>1700</v>
      </c>
      <c r="L142" s="3">
        <v>1900</v>
      </c>
      <c r="M142" s="3">
        <v>1900</v>
      </c>
      <c r="N142" s="28"/>
      <c r="O142" s="28"/>
      <c r="P142" s="3"/>
      <c r="Q142" s="3"/>
      <c r="R142" s="3"/>
      <c r="S142" s="3"/>
      <c r="T142" s="3"/>
      <c r="U142" s="3"/>
      <c r="V142" s="3"/>
      <c r="W142" s="3"/>
      <c r="X142" s="3"/>
      <c r="Y142" s="3">
        <f t="shared" si="50"/>
        <v>15</v>
      </c>
      <c r="Z142" s="19">
        <v>0.97420230821452802</v>
      </c>
      <c r="AA142" s="19">
        <v>0.89070146818923301</v>
      </c>
      <c r="AB142" s="19">
        <v>0.75542478852519301</v>
      </c>
      <c r="AC142" s="18">
        <v>0.77901578458681497</v>
      </c>
      <c r="AD142" s="19">
        <v>0.90521780756342796</v>
      </c>
      <c r="AE142" s="19">
        <v>0.96749598715890806</v>
      </c>
      <c r="AF142" s="19">
        <v>0.97230368198110095</v>
      </c>
      <c r="AG142" s="19">
        <v>0.98760775862068995</v>
      </c>
      <c r="AH142" s="19">
        <v>0.95541158536585402</v>
      </c>
      <c r="AI142" s="18">
        <v>0.78886827458256004</v>
      </c>
      <c r="AJ142" s="19">
        <v>0.73101112723754202</v>
      </c>
      <c r="AK142" s="19">
        <v>0.85002286236854097</v>
      </c>
      <c r="AL142" s="9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</row>
    <row r="143" spans="1:254">
      <c r="A143" s="3">
        <f t="shared" si="49"/>
        <v>1999</v>
      </c>
      <c r="B143" s="9">
        <v>800</v>
      </c>
      <c r="C143" s="3">
        <v>800</v>
      </c>
      <c r="D143" s="3">
        <v>800</v>
      </c>
      <c r="E143" s="3">
        <v>1700</v>
      </c>
      <c r="F143" s="3">
        <v>1700</v>
      </c>
      <c r="G143" s="3">
        <v>1700</v>
      </c>
      <c r="H143" s="3">
        <v>1700</v>
      </c>
      <c r="I143" s="3">
        <v>1700</v>
      </c>
      <c r="J143" s="3">
        <v>1700</v>
      </c>
      <c r="K143" s="3">
        <v>1700</v>
      </c>
      <c r="L143" s="3">
        <v>1900</v>
      </c>
      <c r="M143" s="3">
        <v>800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>
        <f t="shared" si="50"/>
        <v>16</v>
      </c>
      <c r="Z143" s="19">
        <v>0.971775944420321</v>
      </c>
      <c r="AA143" s="19">
        <v>0.86497890295358604</v>
      </c>
      <c r="AB143" s="19">
        <v>0.74697754749568201</v>
      </c>
      <c r="AC143" s="18">
        <v>0.76977401129943501</v>
      </c>
      <c r="AD143" s="19">
        <v>0.89896670493685404</v>
      </c>
      <c r="AE143" s="19">
        <v>0.96493902439024404</v>
      </c>
      <c r="AF143" s="19">
        <v>0.97191489361702099</v>
      </c>
      <c r="AG143" s="19">
        <v>0.97980725103258404</v>
      </c>
      <c r="AH143" s="19">
        <v>0.955120359037128</v>
      </c>
      <c r="AI143" s="18">
        <v>0.77659992147624701</v>
      </c>
      <c r="AJ143" s="19">
        <v>0.71754107048224702</v>
      </c>
      <c r="AK143" s="19">
        <v>0.84137331594958698</v>
      </c>
      <c r="AL143" s="9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</row>
    <row r="144" spans="1:254">
      <c r="A144" s="3">
        <f t="shared" si="49"/>
        <v>2000</v>
      </c>
      <c r="B144" s="9">
        <v>800</v>
      </c>
      <c r="C144" s="3">
        <v>900</v>
      </c>
      <c r="D144" s="3">
        <v>1600</v>
      </c>
      <c r="E144" s="3">
        <v>1800</v>
      </c>
      <c r="F144" s="3">
        <v>1700</v>
      </c>
      <c r="G144" s="3">
        <v>1700</v>
      </c>
      <c r="H144" s="3">
        <v>1700</v>
      </c>
      <c r="I144" s="3">
        <v>1700</v>
      </c>
      <c r="J144" s="3">
        <v>1700</v>
      </c>
      <c r="K144" s="3">
        <v>1700</v>
      </c>
      <c r="L144" s="3">
        <v>800</v>
      </c>
      <c r="M144" s="3">
        <v>800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>
        <f t="shared" si="50"/>
        <v>17</v>
      </c>
      <c r="Z144" s="19">
        <v>0.96555023923445005</v>
      </c>
      <c r="AA144" s="19">
        <v>0.86114942528735605</v>
      </c>
      <c r="AB144" s="19">
        <v>0.74410609037328102</v>
      </c>
      <c r="AC144" s="18">
        <v>0.7578125</v>
      </c>
      <c r="AD144" s="19">
        <v>0.883191850594228</v>
      </c>
      <c r="AE144" s="19">
        <v>0.95696202531645602</v>
      </c>
      <c r="AF144" s="19">
        <v>0.96654426764585899</v>
      </c>
      <c r="AG144" s="19">
        <v>0.97834235735110398</v>
      </c>
      <c r="AH144" s="19">
        <v>0.954107388710418</v>
      </c>
      <c r="AI144" s="18">
        <v>0.77648766328011598</v>
      </c>
      <c r="AJ144" s="19">
        <v>0.71549295774647903</v>
      </c>
      <c r="AK144" s="19">
        <v>0.80657127715951205</v>
      </c>
      <c r="AL144" s="9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</row>
    <row r="145" spans="1:254">
      <c r="A145" s="3">
        <f t="shared" si="49"/>
        <v>2001</v>
      </c>
      <c r="B145" s="9">
        <v>800</v>
      </c>
      <c r="C145" s="3">
        <v>800</v>
      </c>
      <c r="D145" s="3">
        <v>2000</v>
      </c>
      <c r="E145" s="3">
        <v>1700</v>
      </c>
      <c r="F145" s="3">
        <v>1700</v>
      </c>
      <c r="G145" s="3">
        <v>1800</v>
      </c>
      <c r="H145" s="3">
        <v>1800</v>
      </c>
      <c r="I145" s="3">
        <v>1700</v>
      </c>
      <c r="J145" s="3">
        <v>1700</v>
      </c>
      <c r="K145" s="3">
        <v>1700</v>
      </c>
      <c r="L145" s="3">
        <v>1900</v>
      </c>
      <c r="M145" s="3">
        <v>1900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>
        <f t="shared" si="50"/>
        <v>18</v>
      </c>
      <c r="Z145" s="19">
        <v>0.96119842829076596</v>
      </c>
      <c r="AA145" s="19">
        <v>0.84658843980877896</v>
      </c>
      <c r="AB145" s="19">
        <v>0.71925360474978794</v>
      </c>
      <c r="AC145" s="18">
        <v>0.75510204081632604</v>
      </c>
      <c r="AD145" s="19">
        <v>0.87372013651877101</v>
      </c>
      <c r="AE145" s="19">
        <v>0.95672698662470501</v>
      </c>
      <c r="AF145" s="19">
        <v>0.96564531104921103</v>
      </c>
      <c r="AG145" s="19">
        <v>0.97610921501706505</v>
      </c>
      <c r="AH145" s="19">
        <v>0.94662921348314599</v>
      </c>
      <c r="AI145" s="18">
        <v>0.77198917456021698</v>
      </c>
      <c r="AJ145" s="19">
        <v>0.71520706042090998</v>
      </c>
      <c r="AK145" s="19">
        <v>0.77257383966244697</v>
      </c>
      <c r="AL145" s="9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</row>
    <row r="146" spans="1:254">
      <c r="A146" s="3">
        <f t="shared" si="49"/>
        <v>2002</v>
      </c>
      <c r="B146" s="9">
        <v>800</v>
      </c>
      <c r="C146" s="3">
        <v>800</v>
      </c>
      <c r="D146" s="3">
        <v>800</v>
      </c>
      <c r="E146" s="3">
        <v>1700</v>
      </c>
      <c r="F146" s="3">
        <v>1700</v>
      </c>
      <c r="G146" s="3">
        <v>1600</v>
      </c>
      <c r="H146" s="3">
        <v>1700</v>
      </c>
      <c r="I146" s="3">
        <v>1700</v>
      </c>
      <c r="J146" s="3">
        <v>1800</v>
      </c>
      <c r="K146" s="3">
        <v>1700</v>
      </c>
      <c r="L146" s="3">
        <v>1600</v>
      </c>
      <c r="M146" s="3">
        <v>800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>
        <f t="shared" si="50"/>
        <v>19</v>
      </c>
      <c r="Z146" s="19">
        <v>0.92259313014029998</v>
      </c>
      <c r="AA146" s="19">
        <v>0.83619456366237499</v>
      </c>
      <c r="AB146" s="19">
        <v>0.70365358592692795</v>
      </c>
      <c r="AC146" s="18">
        <v>0.75042444821731702</v>
      </c>
      <c r="AD146" s="19">
        <v>0.86404416839199405</v>
      </c>
      <c r="AE146" s="19">
        <v>0.95600170867150802</v>
      </c>
      <c r="AF146" s="19">
        <v>0.96100073583517298</v>
      </c>
      <c r="AG146" s="19">
        <v>0.97431054023422703</v>
      </c>
      <c r="AH146" s="19">
        <v>0.94553483807654604</v>
      </c>
      <c r="AI146" s="18">
        <v>0.76759966072943198</v>
      </c>
      <c r="AJ146" s="19">
        <v>0.679937139863803</v>
      </c>
      <c r="AK146" s="19">
        <v>0.76544467073998601</v>
      </c>
      <c r="AL146" s="9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</row>
    <row r="147" spans="1:254">
      <c r="A147" s="3">
        <f t="shared" si="49"/>
        <v>2003</v>
      </c>
      <c r="B147" s="9">
        <v>800</v>
      </c>
      <c r="C147" s="3">
        <v>800</v>
      </c>
      <c r="D147" s="3">
        <v>1600</v>
      </c>
      <c r="E147" s="3">
        <v>1800</v>
      </c>
      <c r="F147" s="3">
        <v>1700</v>
      </c>
      <c r="G147" s="3">
        <v>1600</v>
      </c>
      <c r="H147" s="3">
        <v>1700</v>
      </c>
      <c r="I147" s="3">
        <v>1800</v>
      </c>
      <c r="J147" s="3">
        <v>1800</v>
      </c>
      <c r="K147" s="3">
        <v>1700</v>
      </c>
      <c r="L147" s="3">
        <v>1500</v>
      </c>
      <c r="M147" s="3">
        <v>900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>
        <f t="shared" si="50"/>
        <v>20</v>
      </c>
      <c r="Z147" s="19">
        <v>0.88385916780978502</v>
      </c>
      <c r="AA147" s="19">
        <v>0.83515559293524</v>
      </c>
      <c r="AB147" s="19">
        <v>0.69698996655518397</v>
      </c>
      <c r="AC147" s="18">
        <v>0.74877330716388601</v>
      </c>
      <c r="AD147" s="19">
        <v>0.86151840990550699</v>
      </c>
      <c r="AE147" s="19">
        <v>0.95273061037173001</v>
      </c>
      <c r="AF147" s="19">
        <v>0.95436702649656502</v>
      </c>
      <c r="AG147" s="19">
        <v>0.96875</v>
      </c>
      <c r="AH147" s="19">
        <v>0.94420903954802304</v>
      </c>
      <c r="AI147" s="18">
        <v>0.75679172056921096</v>
      </c>
      <c r="AJ147" s="19">
        <v>0.67216332940714596</v>
      </c>
      <c r="AK147" s="19">
        <v>0.759854457246816</v>
      </c>
      <c r="AL147" s="9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</row>
    <row r="148" spans="1:254">
      <c r="A148" s="3">
        <f t="shared" si="49"/>
        <v>2004</v>
      </c>
      <c r="B148" s="9">
        <v>800</v>
      </c>
      <c r="C148" s="3">
        <v>800</v>
      </c>
      <c r="D148" s="3">
        <v>1700</v>
      </c>
      <c r="E148" s="3">
        <v>1700</v>
      </c>
      <c r="F148" s="3">
        <v>1700</v>
      </c>
      <c r="G148" s="3">
        <v>1700</v>
      </c>
      <c r="H148" s="3">
        <v>1700</v>
      </c>
      <c r="I148" s="3">
        <v>1600</v>
      </c>
      <c r="J148" s="3">
        <v>1700</v>
      </c>
      <c r="K148" s="3">
        <v>1700</v>
      </c>
      <c r="L148" s="3">
        <v>1600</v>
      </c>
      <c r="M148" s="3">
        <v>800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>
        <f t="shared" si="50"/>
        <v>21</v>
      </c>
      <c r="Z148" s="19">
        <v>0.87903525046382203</v>
      </c>
      <c r="AA148" s="19">
        <v>0.79799331103678905</v>
      </c>
      <c r="AB148" s="19">
        <v>0.68454935622317603</v>
      </c>
      <c r="AC148" s="18">
        <v>0.74730603448275901</v>
      </c>
      <c r="AD148" s="19">
        <v>0.85344827586206895</v>
      </c>
      <c r="AE148" s="19">
        <v>0.95013222516055895</v>
      </c>
      <c r="AF148" s="19">
        <v>0.95234375000000004</v>
      </c>
      <c r="AG148" s="19">
        <v>0.96409055425448897</v>
      </c>
      <c r="AH148" s="19">
        <v>0.940872560275545</v>
      </c>
      <c r="AI148" s="18">
        <v>0.74893875075803495</v>
      </c>
      <c r="AJ148" s="19">
        <v>0.66949666464523905</v>
      </c>
      <c r="AK148" s="19">
        <v>0.73968565815324205</v>
      </c>
      <c r="AL148" s="9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</row>
    <row r="149" spans="1:254">
      <c r="A149" s="3">
        <f t="shared" si="49"/>
        <v>2005</v>
      </c>
      <c r="B149" s="171">
        <v>800</v>
      </c>
      <c r="C149" s="3">
        <v>900</v>
      </c>
      <c r="D149" s="3">
        <v>1700</v>
      </c>
      <c r="E149" s="3">
        <v>1600</v>
      </c>
      <c r="F149" s="3">
        <v>1700</v>
      </c>
      <c r="G149" s="3">
        <v>1700</v>
      </c>
      <c r="H149" s="3">
        <v>1700</v>
      </c>
      <c r="I149" s="3">
        <v>1600</v>
      </c>
      <c r="J149" s="3">
        <v>1800</v>
      </c>
      <c r="K149" s="3">
        <v>1700</v>
      </c>
      <c r="L149" s="3">
        <v>1900</v>
      </c>
      <c r="M149" s="3">
        <v>900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>
        <f t="shared" si="50"/>
        <v>22</v>
      </c>
      <c r="Z149" s="19">
        <v>0.86642221058145596</v>
      </c>
      <c r="AA149" s="19">
        <v>0.78965224766751496</v>
      </c>
      <c r="AB149" s="19">
        <v>0.67919951485748897</v>
      </c>
      <c r="AC149" s="18">
        <v>0.73982869379015004</v>
      </c>
      <c r="AD149" s="19">
        <v>0.85171306209850095</v>
      </c>
      <c r="AE149" s="19">
        <v>0.94661095636026005</v>
      </c>
      <c r="AF149" s="19">
        <v>0.95128479657387599</v>
      </c>
      <c r="AG149" s="19">
        <v>0.96066252587991696</v>
      </c>
      <c r="AH149" s="19">
        <v>0.94085797584339903</v>
      </c>
      <c r="AI149" s="18">
        <v>0.71751412429378503</v>
      </c>
      <c r="AJ149" s="19">
        <v>0.65102129508909201</v>
      </c>
      <c r="AK149" s="19">
        <v>0.73839080459770101</v>
      </c>
      <c r="AL149" s="9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</row>
    <row r="150" spans="1:254">
      <c r="A150" s="3">
        <f t="shared" si="49"/>
        <v>2006</v>
      </c>
      <c r="B150" s="171">
        <v>800</v>
      </c>
      <c r="C150" s="3">
        <v>800</v>
      </c>
      <c r="D150" s="3">
        <v>1700</v>
      </c>
      <c r="E150" s="3">
        <v>1700</v>
      </c>
      <c r="F150" s="3">
        <v>1800</v>
      </c>
      <c r="G150" s="3">
        <v>1800</v>
      </c>
      <c r="H150" s="3">
        <v>1800</v>
      </c>
      <c r="I150" s="3">
        <v>1700</v>
      </c>
      <c r="J150" s="3">
        <v>1700</v>
      </c>
      <c r="K150" s="3">
        <v>1700</v>
      </c>
      <c r="L150" s="3">
        <v>1700</v>
      </c>
      <c r="M150" s="3">
        <v>1900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>
        <f t="shared" si="50"/>
        <v>23</v>
      </c>
      <c r="Z150" s="19">
        <v>0.82236286919831203</v>
      </c>
      <c r="AA150" s="19">
        <v>0.77373417721519</v>
      </c>
      <c r="AB150" s="19">
        <v>0.676056338028169</v>
      </c>
      <c r="AC150" s="18">
        <v>0.73076923076923095</v>
      </c>
      <c r="AD150" s="19">
        <v>0.83923365264473104</v>
      </c>
      <c r="AE150" s="19">
        <v>0.94357212953876302</v>
      </c>
      <c r="AF150" s="19">
        <v>0.94138418079095998</v>
      </c>
      <c r="AG150" s="19">
        <v>0.95987411487018104</v>
      </c>
      <c r="AH150" s="19">
        <v>0.93011010052656795</v>
      </c>
      <c r="AI150" s="18">
        <v>0.70093896713615</v>
      </c>
      <c r="AJ150" s="19">
        <v>0.64970313825275705</v>
      </c>
      <c r="AK150" s="19">
        <v>0.71875</v>
      </c>
      <c r="AL150" s="9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</row>
    <row r="151" spans="1:254">
      <c r="A151" s="3">
        <f t="shared" si="49"/>
        <v>2007</v>
      </c>
      <c r="B151" s="3">
        <v>800</v>
      </c>
      <c r="C151" s="3">
        <v>800</v>
      </c>
      <c r="D151" s="3">
        <v>1800</v>
      </c>
      <c r="E151" s="3">
        <v>1800</v>
      </c>
      <c r="F151" s="3">
        <v>1700</v>
      </c>
      <c r="G151" s="3">
        <v>1700</v>
      </c>
      <c r="H151" s="3">
        <v>1700</v>
      </c>
      <c r="I151" s="3">
        <v>1800</v>
      </c>
      <c r="J151" s="3">
        <v>1700</v>
      </c>
      <c r="K151" s="3">
        <v>1700</v>
      </c>
      <c r="L151" s="3">
        <v>1700</v>
      </c>
      <c r="M151" s="3">
        <v>2100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>
        <f t="shared" si="50"/>
        <v>24</v>
      </c>
      <c r="Z151" s="19">
        <v>0.81606851549755299</v>
      </c>
      <c r="AA151" s="19">
        <v>0.74827288428324701</v>
      </c>
      <c r="AB151" s="19">
        <v>0.66827458256029704</v>
      </c>
      <c r="AC151" s="18">
        <v>0.72187649593106795</v>
      </c>
      <c r="AD151" s="19">
        <v>0.82734375000000004</v>
      </c>
      <c r="AE151" s="19">
        <v>0.919058553386912</v>
      </c>
      <c r="AF151" s="19">
        <v>0.93364558938329401</v>
      </c>
      <c r="AG151" s="19">
        <v>0.95552835577315398</v>
      </c>
      <c r="AH151" s="19">
        <v>0.91569086651053899</v>
      </c>
      <c r="AI151" s="18">
        <v>0.69460450497642701</v>
      </c>
      <c r="AJ151" s="19">
        <v>0.64877102199223802</v>
      </c>
      <c r="AK151" s="19">
        <v>0.69030100334448197</v>
      </c>
      <c r="AL151" s="9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</row>
    <row r="152" spans="1:254">
      <c r="A152" s="3">
        <f t="shared" si="49"/>
        <v>2008</v>
      </c>
      <c r="B152" s="3">
        <v>800</v>
      </c>
      <c r="C152" s="3">
        <v>800</v>
      </c>
      <c r="D152" s="3">
        <v>1800</v>
      </c>
      <c r="E152" s="3">
        <v>1700</v>
      </c>
      <c r="F152" s="3">
        <v>1700</v>
      </c>
      <c r="G152" s="3">
        <v>1700</v>
      </c>
      <c r="H152" s="3">
        <v>1600</v>
      </c>
      <c r="I152" s="3">
        <v>1700</v>
      </c>
      <c r="J152" s="3">
        <v>1600</v>
      </c>
      <c r="K152" s="3">
        <v>1700</v>
      </c>
      <c r="L152" s="3">
        <v>1600</v>
      </c>
      <c r="M152" s="3">
        <v>800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>
        <f t="shared" si="50"/>
        <v>25</v>
      </c>
      <c r="Z152" s="19">
        <v>0.72909698996655503</v>
      </c>
      <c r="AA152" s="19">
        <v>0.73151894078705404</v>
      </c>
      <c r="AB152" s="19">
        <v>0.64899882214369797</v>
      </c>
      <c r="AC152" s="18">
        <v>0.72111846946283997</v>
      </c>
      <c r="AD152" s="19">
        <v>0.81290622098421506</v>
      </c>
      <c r="AE152" s="19">
        <v>0.9140625</v>
      </c>
      <c r="AF152" s="19">
        <v>0.93076317859952795</v>
      </c>
      <c r="AG152" s="19">
        <v>0.93083149374540097</v>
      </c>
      <c r="AH152" s="19">
        <v>0.91300097751710696</v>
      </c>
      <c r="AI152" s="18">
        <v>0.665743670886076</v>
      </c>
      <c r="AJ152" s="19">
        <v>0.63370253164557</v>
      </c>
      <c r="AK152" s="19">
        <v>0.65936920222634499</v>
      </c>
      <c r="AL152" s="9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</row>
    <row r="153" spans="1:254">
      <c r="A153" s="3">
        <f t="shared" si="49"/>
        <v>2009</v>
      </c>
      <c r="B153" s="20">
        <v>800</v>
      </c>
      <c r="C153" s="1">
        <v>800</v>
      </c>
      <c r="D153" s="1">
        <v>800</v>
      </c>
      <c r="E153" s="1">
        <v>1800</v>
      </c>
      <c r="F153" s="1">
        <v>1700</v>
      </c>
      <c r="G153" s="1">
        <v>1600</v>
      </c>
      <c r="H153" s="1">
        <v>1700</v>
      </c>
      <c r="I153" s="1">
        <v>1700</v>
      </c>
      <c r="J153" s="1">
        <v>1700</v>
      </c>
      <c r="K153" s="1">
        <v>1700</v>
      </c>
      <c r="L153" s="1">
        <v>1600</v>
      </c>
      <c r="M153" s="1">
        <v>900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>
        <f t="shared" si="50"/>
        <v>26</v>
      </c>
      <c r="Z153" s="19">
        <v>0.71453744493392102</v>
      </c>
      <c r="AA153" s="19">
        <v>0.62622693364742799</v>
      </c>
      <c r="AB153" s="19">
        <v>0.60413793103448299</v>
      </c>
      <c r="AC153" s="18">
        <v>0.70210970464135003</v>
      </c>
      <c r="AD153" s="19">
        <v>0.812199036918138</v>
      </c>
      <c r="AE153" s="19">
        <v>0.90625</v>
      </c>
      <c r="AF153" s="19">
        <v>0.93003412969283294</v>
      </c>
      <c r="AG153" s="19">
        <v>0.92915270464336996</v>
      </c>
      <c r="AH153" s="19">
        <v>0.91273344651952504</v>
      </c>
      <c r="AI153" s="18">
        <v>0.65655172413793095</v>
      </c>
      <c r="AJ153" s="19">
        <v>0.58942528735632205</v>
      </c>
      <c r="AK153" s="19">
        <v>0.65060240963855398</v>
      </c>
      <c r="AL153" s="9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</row>
    <row r="154" spans="1:254">
      <c r="A154" s="3">
        <f t="shared" ref="A154:A168" si="51">A43</f>
        <v>2010</v>
      </c>
      <c r="B154" s="20">
        <v>800</v>
      </c>
      <c r="C154" s="1">
        <v>800</v>
      </c>
      <c r="D154" s="1">
        <v>800</v>
      </c>
      <c r="E154" s="1">
        <v>1700</v>
      </c>
      <c r="F154" s="1">
        <v>1700</v>
      </c>
      <c r="G154" s="1">
        <v>1700</v>
      </c>
      <c r="H154" s="1">
        <v>1700</v>
      </c>
      <c r="I154" s="1">
        <v>1700</v>
      </c>
      <c r="J154" s="1">
        <v>1700</v>
      </c>
      <c r="K154" s="1">
        <v>1700</v>
      </c>
      <c r="L154" s="1">
        <v>1700</v>
      </c>
      <c r="M154" s="1">
        <v>800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>
        <f t="shared" si="50"/>
        <v>27</v>
      </c>
      <c r="Z154" s="19">
        <v>0.69572045543776995</v>
      </c>
      <c r="AA154" s="19">
        <v>0.59154929577464799</v>
      </c>
      <c r="AB154" s="19">
        <v>0.60126582278481</v>
      </c>
      <c r="AC154" s="18">
        <v>0.67174959871589102</v>
      </c>
      <c r="AD154" s="19">
        <v>0.76821192052980103</v>
      </c>
      <c r="AE154" s="19">
        <v>0.88367546432062605</v>
      </c>
      <c r="AF154" s="19">
        <v>0.91718525610339896</v>
      </c>
      <c r="AG154" s="19">
        <v>0.89668094218415395</v>
      </c>
      <c r="AH154" s="19">
        <v>0.90631691648822299</v>
      </c>
      <c r="AI154" s="18"/>
      <c r="AJ154" s="19"/>
      <c r="AK154" s="19"/>
      <c r="AL154" s="9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</row>
    <row r="155" spans="1:254">
      <c r="A155" s="3">
        <f t="shared" si="51"/>
        <v>2011</v>
      </c>
      <c r="B155" s="20">
        <v>800</v>
      </c>
      <c r="C155" s="1">
        <v>800</v>
      </c>
      <c r="D155" s="1">
        <v>1600</v>
      </c>
      <c r="E155" s="1">
        <v>1700</v>
      </c>
      <c r="F155" s="1">
        <v>1800</v>
      </c>
      <c r="G155" s="1">
        <v>1800</v>
      </c>
      <c r="H155" s="1">
        <v>1700</v>
      </c>
      <c r="I155" s="1">
        <v>1700</v>
      </c>
      <c r="J155" s="1">
        <v>1700</v>
      </c>
      <c r="K155" s="1">
        <v>1700</v>
      </c>
      <c r="L155" s="1">
        <v>1600</v>
      </c>
      <c r="M155" s="1">
        <v>1900</v>
      </c>
    </row>
    <row r="156" spans="1:254">
      <c r="A156" s="3">
        <f t="shared" si="51"/>
        <v>2012</v>
      </c>
      <c r="B156" s="20">
        <v>800</v>
      </c>
      <c r="C156" s="1">
        <v>800</v>
      </c>
      <c r="D156" s="1">
        <v>1700</v>
      </c>
      <c r="E156" s="1">
        <v>1800</v>
      </c>
      <c r="F156" s="1">
        <v>1700</v>
      </c>
      <c r="G156" s="1">
        <v>1700</v>
      </c>
      <c r="H156" s="1">
        <v>1700</v>
      </c>
      <c r="I156" s="1">
        <v>1700</v>
      </c>
      <c r="J156" s="1">
        <v>1700</v>
      </c>
      <c r="K156" s="1">
        <v>1600</v>
      </c>
      <c r="L156" s="1">
        <v>1900</v>
      </c>
      <c r="M156" s="1">
        <v>900</v>
      </c>
    </row>
    <row r="157" spans="1:254">
      <c r="A157" s="3">
        <f t="shared" si="51"/>
        <v>2013</v>
      </c>
      <c r="B157" s="20">
        <v>1900</v>
      </c>
      <c r="C157" s="1">
        <v>800</v>
      </c>
      <c r="D157" s="1">
        <v>800</v>
      </c>
      <c r="E157" s="1">
        <v>1800</v>
      </c>
      <c r="F157" s="1">
        <v>1600</v>
      </c>
      <c r="G157" s="1">
        <v>1700</v>
      </c>
      <c r="H157" s="1">
        <v>1700</v>
      </c>
      <c r="I157" s="1">
        <v>1700</v>
      </c>
      <c r="J157" s="1">
        <v>1700</v>
      </c>
      <c r="K157" s="1">
        <v>1700</v>
      </c>
      <c r="L157" s="1">
        <v>1700</v>
      </c>
      <c r="M157" s="1">
        <v>1900</v>
      </c>
    </row>
    <row r="158" spans="1:254">
      <c r="A158" s="3">
        <f t="shared" si="51"/>
        <v>2014</v>
      </c>
      <c r="B158" s="20">
        <v>800</v>
      </c>
      <c r="C158" s="1">
        <v>800</v>
      </c>
      <c r="D158" s="1">
        <v>1800</v>
      </c>
      <c r="E158" s="1">
        <v>1700</v>
      </c>
    </row>
    <row r="159" spans="1:254">
      <c r="A159" s="3">
        <f t="shared" si="51"/>
        <v>2015</v>
      </c>
      <c r="B159" s="20"/>
    </row>
    <row r="160" spans="1:254">
      <c r="A160" s="3">
        <f t="shared" si="51"/>
        <v>2016</v>
      </c>
    </row>
    <row r="161" spans="1:13">
      <c r="A161" s="3">
        <f t="shared" si="51"/>
        <v>2017</v>
      </c>
    </row>
    <row r="162" spans="1:13">
      <c r="A162" s="3">
        <f t="shared" si="51"/>
        <v>2018</v>
      </c>
    </row>
    <row r="163" spans="1:13">
      <c r="A163" s="3">
        <f t="shared" si="51"/>
        <v>2019</v>
      </c>
    </row>
    <row r="164" spans="1:13">
      <c r="A164" s="3">
        <f t="shared" si="51"/>
        <v>2020</v>
      </c>
    </row>
    <row r="165" spans="1:13">
      <c r="A165" s="3">
        <f t="shared" si="51"/>
        <v>2021</v>
      </c>
    </row>
    <row r="166" spans="1:13">
      <c r="A166" s="3">
        <f t="shared" si="51"/>
        <v>2022</v>
      </c>
      <c r="B166" s="165">
        <v>800</v>
      </c>
      <c r="C166" s="448">
        <v>1700</v>
      </c>
      <c r="D166" s="1">
        <v>1700</v>
      </c>
      <c r="E166" s="1">
        <v>1800</v>
      </c>
      <c r="F166" s="1">
        <v>1700</v>
      </c>
      <c r="G166" s="1">
        <v>1700</v>
      </c>
      <c r="H166" s="447">
        <v>1700</v>
      </c>
      <c r="I166" s="1">
        <v>1800</v>
      </c>
      <c r="J166" s="1">
        <v>1700</v>
      </c>
      <c r="K166" s="1">
        <v>1800</v>
      </c>
      <c r="L166" s="1">
        <v>1700</v>
      </c>
      <c r="M166" s="1">
        <v>1000</v>
      </c>
    </row>
    <row r="167" spans="1:13">
      <c r="A167" s="3">
        <f t="shared" si="51"/>
        <v>2023</v>
      </c>
    </row>
    <row r="168" spans="1:13">
      <c r="A168" s="3">
        <f t="shared" si="51"/>
        <v>2024</v>
      </c>
    </row>
    <row r="169" spans="1:13">
      <c r="A169" s="3"/>
    </row>
    <row r="170" spans="1:13">
      <c r="A170" s="3"/>
    </row>
    <row r="171" spans="1:13" ht="15" customHeight="1">
      <c r="A171" s="3"/>
    </row>
    <row r="172" spans="1:13" ht="15" customHeight="1">
      <c r="A172" s="3"/>
    </row>
    <row r="173" spans="1:13" ht="15" customHeight="1">
      <c r="A173" s="3"/>
    </row>
    <row r="174" spans="1:13" ht="15" customHeight="1">
      <c r="A174" s="3"/>
    </row>
    <row r="175" spans="1:13" ht="15" customHeight="1"/>
    <row r="176" spans="1:1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</sheetData>
  <phoneticPr fontId="9" type="noConversion"/>
  <pageMargins left="0.25" right="0.25694444444444442" top="0.25" bottom="0.25" header="0" footer="0"/>
  <pageSetup scale="71" orientation="landscape" r:id="rId1"/>
  <headerFooter alignWithMargins="0"/>
  <customProperties>
    <customPr name="_pios_id" r:id="rId2"/>
    <customPr name="EpmWorksheetKeyString_GUID" r:id="rId3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1"/>
  <sheetViews>
    <sheetView showGridLines="0" zoomScale="70" zoomScaleNormal="70" workbookViewId="0">
      <pane ySplit="4" topLeftCell="A5" activePane="bottomLeft" state="frozen"/>
      <selection pane="bottomLeft" activeCell="O8" sqref="O8"/>
    </sheetView>
  </sheetViews>
  <sheetFormatPr defaultColWidth="9.6640625" defaultRowHeight="15"/>
  <cols>
    <col min="1" max="16384" width="9.6640625" style="1"/>
  </cols>
  <sheetData>
    <row r="1" spans="1:9" ht="15.75">
      <c r="A1" s="5" t="s">
        <v>158</v>
      </c>
      <c r="B1" s="3"/>
      <c r="C1" s="3"/>
      <c r="D1" s="3"/>
      <c r="E1" s="3"/>
      <c r="F1" s="3"/>
      <c r="G1" s="3"/>
      <c r="H1" s="3"/>
      <c r="I1" s="3"/>
    </row>
    <row r="3" spans="1:9" ht="15.75">
      <c r="A3" s="5" t="s">
        <v>145</v>
      </c>
      <c r="B3" s="3"/>
      <c r="C3" s="10" t="s">
        <v>161</v>
      </c>
      <c r="D3" s="5"/>
      <c r="E3" s="3"/>
      <c r="F3" s="5" t="s">
        <v>163</v>
      </c>
      <c r="G3" s="3"/>
      <c r="H3" s="10" t="s">
        <v>161</v>
      </c>
      <c r="I3" s="5"/>
    </row>
    <row r="4" spans="1:9">
      <c r="A4" s="10" t="s">
        <v>159</v>
      </c>
      <c r="B4" s="10" t="s">
        <v>160</v>
      </c>
      <c r="C4" s="10" t="s">
        <v>49</v>
      </c>
      <c r="D4" s="10" t="s">
        <v>162</v>
      </c>
      <c r="E4" s="3"/>
      <c r="F4" s="10" t="s">
        <v>159</v>
      </c>
      <c r="G4" s="10" t="s">
        <v>160</v>
      </c>
      <c r="H4" s="10" t="s">
        <v>49</v>
      </c>
      <c r="I4" s="10" t="s">
        <v>162</v>
      </c>
    </row>
    <row r="5" spans="1:9">
      <c r="A5" s="109"/>
      <c r="B5" s="109"/>
      <c r="C5" s="109"/>
      <c r="D5" s="109"/>
      <c r="F5" s="109"/>
      <c r="G5" s="109"/>
      <c r="H5" s="109"/>
      <c r="I5" s="109"/>
    </row>
    <row r="6" spans="1:9">
      <c r="A6" s="1">
        <v>1</v>
      </c>
      <c r="B6" s="1">
        <v>73</v>
      </c>
      <c r="C6" s="1">
        <f>'Firm Retail'!$B6</f>
        <v>0</v>
      </c>
      <c r="D6" s="1">
        <f>LM!$B6</f>
        <v>0</v>
      </c>
      <c r="F6" s="1">
        <v>4</v>
      </c>
      <c r="G6" s="1">
        <v>73</v>
      </c>
      <c r="H6" s="1">
        <f>'Firm Retail'!$E6</f>
        <v>0</v>
      </c>
      <c r="I6" s="1">
        <f>LM!$E6</f>
        <v>0</v>
      </c>
    </row>
    <row r="7" spans="1:9">
      <c r="A7" s="1">
        <v>2</v>
      </c>
      <c r="B7" s="1">
        <v>73</v>
      </c>
      <c r="C7" s="1">
        <f>'Firm Retail'!$C6</f>
        <v>0</v>
      </c>
      <c r="D7" s="1">
        <f>LM!$C6</f>
        <v>0</v>
      </c>
      <c r="F7" s="1">
        <v>5</v>
      </c>
      <c r="G7" s="1">
        <v>73</v>
      </c>
      <c r="H7" s="1">
        <f>'Firm Retail'!$F6</f>
        <v>0</v>
      </c>
      <c r="I7" s="1">
        <f>LM!$F6</f>
        <v>0</v>
      </c>
    </row>
    <row r="8" spans="1:9">
      <c r="A8" s="1">
        <v>3</v>
      </c>
      <c r="B8" s="1">
        <v>73</v>
      </c>
      <c r="C8" s="1">
        <f>'Firm Retail'!$D6</f>
        <v>0</v>
      </c>
      <c r="D8" s="1">
        <f>LM!$D6</f>
        <v>0</v>
      </c>
      <c r="F8" s="1">
        <v>6</v>
      </c>
      <c r="G8" s="1">
        <v>73</v>
      </c>
      <c r="H8" s="1">
        <f>'Firm Retail'!$G6</f>
        <v>0</v>
      </c>
      <c r="I8" s="1">
        <f>LM!$G6</f>
        <v>0</v>
      </c>
    </row>
    <row r="9" spans="1:9">
      <c r="A9" s="1">
        <v>11</v>
      </c>
      <c r="B9" s="1">
        <v>73</v>
      </c>
      <c r="C9" s="1">
        <f>'Firm Retail'!$L6</f>
        <v>0</v>
      </c>
      <c r="D9" s="1">
        <f>LM!$L6</f>
        <v>0</v>
      </c>
      <c r="F9" s="1">
        <v>7</v>
      </c>
      <c r="G9" s="1">
        <v>73</v>
      </c>
      <c r="H9" s="1">
        <f>'Firm Retail'!$H6</f>
        <v>0</v>
      </c>
      <c r="I9" s="1">
        <f>LM!$H6</f>
        <v>0</v>
      </c>
    </row>
    <row r="10" spans="1:9">
      <c r="A10" s="1">
        <v>12</v>
      </c>
      <c r="B10" s="1">
        <v>73</v>
      </c>
      <c r="C10" s="1">
        <f>'Firm Retail'!$M6</f>
        <v>0</v>
      </c>
      <c r="D10" s="1">
        <f>LM!$M6</f>
        <v>0</v>
      </c>
      <c r="F10" s="1">
        <v>8</v>
      </c>
      <c r="G10" s="1">
        <v>73</v>
      </c>
      <c r="H10" s="1">
        <f>'Firm Retail'!$I6</f>
        <v>0</v>
      </c>
      <c r="I10" s="1">
        <f>LM!$I6</f>
        <v>0</v>
      </c>
    </row>
    <row r="11" spans="1:9">
      <c r="A11" s="1">
        <v>1</v>
      </c>
      <c r="B11" s="1">
        <v>74</v>
      </c>
      <c r="C11" s="1">
        <f>'Firm Retail'!$B7</f>
        <v>0</v>
      </c>
      <c r="D11" s="1">
        <f>LM!$B7</f>
        <v>0</v>
      </c>
      <c r="F11" s="1">
        <v>9</v>
      </c>
      <c r="G11" s="1">
        <v>73</v>
      </c>
      <c r="H11" s="1">
        <f>'Firm Retail'!$J6</f>
        <v>0</v>
      </c>
      <c r="I11" s="1">
        <f>LM!$J6</f>
        <v>0</v>
      </c>
    </row>
    <row r="12" spans="1:9">
      <c r="A12" s="1">
        <v>2</v>
      </c>
      <c r="B12" s="1">
        <v>74</v>
      </c>
      <c r="C12" s="1">
        <f>'Firm Retail'!$C7</f>
        <v>0</v>
      </c>
      <c r="D12" s="1">
        <f>LM!$C7</f>
        <v>0</v>
      </c>
      <c r="F12" s="1">
        <v>10</v>
      </c>
      <c r="G12" s="1">
        <v>73</v>
      </c>
      <c r="H12" s="1">
        <f>'Firm Retail'!$K6</f>
        <v>0</v>
      </c>
      <c r="I12" s="1">
        <f>LM!$K6</f>
        <v>0</v>
      </c>
    </row>
    <row r="13" spans="1:9">
      <c r="A13" s="1">
        <v>3</v>
      </c>
      <c r="B13" s="1">
        <v>74</v>
      </c>
      <c r="C13" s="1">
        <f>'Firm Retail'!$D7</f>
        <v>0</v>
      </c>
      <c r="D13" s="1">
        <f>LM!$D7</f>
        <v>0</v>
      </c>
      <c r="F13" s="1">
        <v>4</v>
      </c>
      <c r="G13" s="1">
        <v>74</v>
      </c>
      <c r="H13" s="1">
        <f>'Firm Retail'!$E7</f>
        <v>0</v>
      </c>
      <c r="I13" s="1">
        <f>LM!$E7</f>
        <v>0</v>
      </c>
    </row>
    <row r="14" spans="1:9">
      <c r="A14" s="1">
        <v>11</v>
      </c>
      <c r="B14" s="1">
        <v>74</v>
      </c>
      <c r="C14" s="1">
        <f>'Firm Retail'!$L7</f>
        <v>0</v>
      </c>
      <c r="D14" s="1">
        <f>LM!$L7</f>
        <v>0</v>
      </c>
      <c r="F14" s="1">
        <v>5</v>
      </c>
      <c r="G14" s="1">
        <v>74</v>
      </c>
      <c r="H14" s="1">
        <f>'Firm Retail'!$F7</f>
        <v>0</v>
      </c>
      <c r="I14" s="1">
        <f>LM!$F7</f>
        <v>0</v>
      </c>
    </row>
    <row r="15" spans="1:9">
      <c r="A15" s="1">
        <v>12</v>
      </c>
      <c r="B15" s="1">
        <v>74</v>
      </c>
      <c r="C15" s="1">
        <f>'Firm Retail'!$M7</f>
        <v>0</v>
      </c>
      <c r="D15" s="1">
        <f>LM!$M7</f>
        <v>0</v>
      </c>
      <c r="F15" s="1">
        <v>6</v>
      </c>
      <c r="G15" s="1">
        <v>74</v>
      </c>
      <c r="H15" s="1">
        <f>'Firm Retail'!$G7</f>
        <v>0</v>
      </c>
      <c r="I15" s="1">
        <f>LM!$G7</f>
        <v>0</v>
      </c>
    </row>
    <row r="16" spans="1:9">
      <c r="A16" s="1">
        <v>1</v>
      </c>
      <c r="B16" s="1">
        <v>75</v>
      </c>
      <c r="C16" s="1">
        <f>'Firm Retail'!$B8</f>
        <v>0</v>
      </c>
      <c r="D16" s="1">
        <f>LM!$B8</f>
        <v>0</v>
      </c>
      <c r="F16" s="1">
        <v>7</v>
      </c>
      <c r="G16" s="1">
        <v>74</v>
      </c>
      <c r="H16" s="1">
        <f>'Firm Retail'!$H7</f>
        <v>0</v>
      </c>
      <c r="I16" s="1">
        <f>LM!$H7</f>
        <v>0</v>
      </c>
    </row>
    <row r="17" spans="1:9">
      <c r="A17" s="1">
        <v>2</v>
      </c>
      <c r="B17" s="1">
        <v>75</v>
      </c>
      <c r="C17" s="1">
        <f>'Firm Retail'!$C8</f>
        <v>0</v>
      </c>
      <c r="D17" s="1">
        <f>LM!$C8</f>
        <v>0</v>
      </c>
      <c r="F17" s="1">
        <v>8</v>
      </c>
      <c r="G17" s="1">
        <v>74</v>
      </c>
      <c r="H17" s="1">
        <f>'Firm Retail'!$I7</f>
        <v>0</v>
      </c>
      <c r="I17" s="1">
        <f>LM!$I7</f>
        <v>0</v>
      </c>
    </row>
    <row r="18" spans="1:9">
      <c r="A18" s="1">
        <v>3</v>
      </c>
      <c r="B18" s="1">
        <v>75</v>
      </c>
      <c r="C18" s="1">
        <f>'Firm Retail'!$D8</f>
        <v>0</v>
      </c>
      <c r="D18" s="1">
        <f>LM!$D8</f>
        <v>0</v>
      </c>
      <c r="F18" s="1">
        <v>9</v>
      </c>
      <c r="G18" s="1">
        <v>74</v>
      </c>
      <c r="H18" s="1">
        <f>'Firm Retail'!$J7</f>
        <v>0</v>
      </c>
      <c r="I18" s="1">
        <f>LM!$J7</f>
        <v>0</v>
      </c>
    </row>
    <row r="19" spans="1:9">
      <c r="A19" s="1">
        <v>11</v>
      </c>
      <c r="B19" s="1">
        <v>75</v>
      </c>
      <c r="C19" s="1">
        <f>'Firm Retail'!$L8</f>
        <v>0</v>
      </c>
      <c r="D19" s="1">
        <f>LM!$L8</f>
        <v>0</v>
      </c>
      <c r="F19" s="1">
        <v>10</v>
      </c>
      <c r="G19" s="1">
        <v>74</v>
      </c>
      <c r="H19" s="1">
        <f>'Firm Retail'!$K7</f>
        <v>0</v>
      </c>
      <c r="I19" s="1">
        <f>LM!$K7</f>
        <v>0</v>
      </c>
    </row>
    <row r="20" spans="1:9">
      <c r="A20" s="1">
        <v>12</v>
      </c>
      <c r="B20" s="1">
        <v>75</v>
      </c>
      <c r="C20" s="1">
        <f>'Firm Retail'!$M8</f>
        <v>0</v>
      </c>
      <c r="D20" s="1">
        <f>LM!$M8</f>
        <v>0</v>
      </c>
      <c r="F20" s="1">
        <v>4</v>
      </c>
      <c r="G20" s="1">
        <v>75</v>
      </c>
      <c r="H20" s="1">
        <f>'Firm Retail'!$E8</f>
        <v>0</v>
      </c>
      <c r="I20" s="1">
        <f>LM!$E8</f>
        <v>0</v>
      </c>
    </row>
    <row r="21" spans="1:9">
      <c r="A21" s="1">
        <v>1</v>
      </c>
      <c r="B21" s="1">
        <v>76</v>
      </c>
      <c r="C21" s="1">
        <f>'Firm Retail'!$B9</f>
        <v>0</v>
      </c>
      <c r="D21" s="1">
        <f>LM!$B9</f>
        <v>0</v>
      </c>
      <c r="F21" s="1">
        <v>5</v>
      </c>
      <c r="G21" s="1">
        <v>75</v>
      </c>
      <c r="H21" s="1">
        <f>'Firm Retail'!$F8</f>
        <v>0</v>
      </c>
      <c r="I21" s="1">
        <f>LM!$F8</f>
        <v>0</v>
      </c>
    </row>
    <row r="22" spans="1:9">
      <c r="A22" s="1">
        <v>2</v>
      </c>
      <c r="B22" s="1">
        <v>76</v>
      </c>
      <c r="C22" s="1">
        <f>'Firm Retail'!$C9</f>
        <v>0</v>
      </c>
      <c r="D22" s="1">
        <f>LM!$C9</f>
        <v>0</v>
      </c>
      <c r="F22" s="1">
        <v>6</v>
      </c>
      <c r="G22" s="1">
        <v>75</v>
      </c>
      <c r="H22" s="1">
        <f>'Firm Retail'!$G8</f>
        <v>0</v>
      </c>
      <c r="I22" s="1">
        <f>LM!$G8</f>
        <v>0</v>
      </c>
    </row>
    <row r="23" spans="1:9">
      <c r="A23" s="1">
        <v>3</v>
      </c>
      <c r="B23" s="1">
        <v>76</v>
      </c>
      <c r="C23" s="1" t="str">
        <f>'Firm Retail'!$D9</f>
        <v>Not recorded prior to 1980 (see column "BB")</v>
      </c>
      <c r="D23" s="1">
        <f>LM!$D9</f>
        <v>0</v>
      </c>
      <c r="F23" s="1">
        <v>7</v>
      </c>
      <c r="G23" s="1">
        <v>75</v>
      </c>
      <c r="H23" s="1">
        <f>'Firm Retail'!$H8</f>
        <v>0</v>
      </c>
      <c r="I23" s="1">
        <f>LM!$H8</f>
        <v>0</v>
      </c>
    </row>
    <row r="24" spans="1:9">
      <c r="A24" s="1">
        <v>11</v>
      </c>
      <c r="B24" s="1">
        <v>76</v>
      </c>
      <c r="C24" s="1">
        <f>'Firm Retail'!$L9</f>
        <v>0</v>
      </c>
      <c r="D24" s="1">
        <f>LM!$L9</f>
        <v>0</v>
      </c>
      <c r="F24" s="1">
        <v>8</v>
      </c>
      <c r="G24" s="1">
        <v>75</v>
      </c>
      <c r="H24" s="1">
        <f>'Firm Retail'!$I8</f>
        <v>0</v>
      </c>
      <c r="I24" s="1">
        <f>LM!$I8</f>
        <v>0</v>
      </c>
    </row>
    <row r="25" spans="1:9">
      <c r="A25" s="1">
        <v>12</v>
      </c>
      <c r="B25" s="1">
        <v>76</v>
      </c>
      <c r="C25" s="1">
        <f>'Firm Retail'!$M9</f>
        <v>0</v>
      </c>
      <c r="D25" s="1">
        <f>LM!$M9</f>
        <v>0</v>
      </c>
      <c r="F25" s="1">
        <v>9</v>
      </c>
      <c r="G25" s="1">
        <v>75</v>
      </c>
      <c r="H25" s="1">
        <f>'Firm Retail'!$J8</f>
        <v>0</v>
      </c>
      <c r="I25" s="1">
        <f>LM!$J8</f>
        <v>0</v>
      </c>
    </row>
    <row r="26" spans="1:9">
      <c r="A26" s="1">
        <v>1</v>
      </c>
      <c r="B26" s="1">
        <v>77</v>
      </c>
      <c r="C26" s="1">
        <f>'Firm Retail'!$B10</f>
        <v>0</v>
      </c>
      <c r="D26" s="1">
        <f>LM!$B10</f>
        <v>0</v>
      </c>
      <c r="F26" s="1">
        <v>10</v>
      </c>
      <c r="G26" s="1">
        <v>75</v>
      </c>
      <c r="H26" s="1">
        <f>'Firm Retail'!$K8</f>
        <v>0</v>
      </c>
      <c r="I26" s="1">
        <f>LM!$K8</f>
        <v>0</v>
      </c>
    </row>
    <row r="27" spans="1:9">
      <c r="A27" s="1">
        <v>2</v>
      </c>
      <c r="B27" s="1">
        <v>77</v>
      </c>
      <c r="C27" s="1">
        <f>'Firm Retail'!$C10</f>
        <v>0</v>
      </c>
      <c r="D27" s="1">
        <f>LM!$C10</f>
        <v>0</v>
      </c>
      <c r="F27" s="1">
        <v>4</v>
      </c>
      <c r="G27" s="1">
        <v>76</v>
      </c>
      <c r="H27" s="1">
        <f>'Firm Retail'!$E9</f>
        <v>0</v>
      </c>
      <c r="I27" s="1">
        <f>LM!$E9</f>
        <v>0</v>
      </c>
    </row>
    <row r="28" spans="1:9">
      <c r="A28" s="1">
        <v>3</v>
      </c>
      <c r="B28" s="1">
        <v>77</v>
      </c>
      <c r="C28" s="1">
        <f>'Firm Retail'!$D10</f>
        <v>0</v>
      </c>
      <c r="D28" s="1">
        <f>LM!$D10</f>
        <v>0</v>
      </c>
      <c r="F28" s="1">
        <v>5</v>
      </c>
      <c r="G28" s="1">
        <v>76</v>
      </c>
      <c r="H28" s="1">
        <f>'Firm Retail'!$F9</f>
        <v>0</v>
      </c>
      <c r="I28" s="1">
        <f>LM!$F9</f>
        <v>0</v>
      </c>
    </row>
    <row r="29" spans="1:9">
      <c r="A29" s="1">
        <v>11</v>
      </c>
      <c r="B29" s="1">
        <v>77</v>
      </c>
      <c r="C29" s="1">
        <f>'Firm Retail'!$L10</f>
        <v>0</v>
      </c>
      <c r="D29" s="1">
        <f>LM!$L10</f>
        <v>0</v>
      </c>
      <c r="F29" s="1">
        <v>6</v>
      </c>
      <c r="G29" s="1">
        <v>76</v>
      </c>
      <c r="H29" s="1">
        <f>'Firm Retail'!$G9</f>
        <v>0</v>
      </c>
      <c r="I29" s="1">
        <f>LM!$G9</f>
        <v>0</v>
      </c>
    </row>
    <row r="30" spans="1:9">
      <c r="A30" s="1">
        <v>12</v>
      </c>
      <c r="B30" s="1">
        <v>77</v>
      </c>
      <c r="C30" s="1">
        <f>'Firm Retail'!$M10</f>
        <v>0</v>
      </c>
      <c r="D30" s="1">
        <f>LM!$M10</f>
        <v>0</v>
      </c>
      <c r="F30" s="1">
        <v>7</v>
      </c>
      <c r="G30" s="1">
        <v>76</v>
      </c>
      <c r="H30" s="1">
        <f>'Firm Retail'!$H9</f>
        <v>0</v>
      </c>
      <c r="I30" s="1">
        <f>LM!$H9</f>
        <v>0</v>
      </c>
    </row>
    <row r="31" spans="1:9">
      <c r="A31" s="1">
        <v>1</v>
      </c>
      <c r="B31" s="1">
        <v>78</v>
      </c>
      <c r="C31" s="1">
        <f>'Firm Retail'!$B11</f>
        <v>0</v>
      </c>
      <c r="D31" s="1">
        <f>LM!$B11</f>
        <v>0</v>
      </c>
      <c r="F31" s="1">
        <v>8</v>
      </c>
      <c r="G31" s="1">
        <v>76</v>
      </c>
      <c r="H31" s="1">
        <f>'Firm Retail'!$I9</f>
        <v>0</v>
      </c>
      <c r="I31" s="1">
        <f>LM!$I9</f>
        <v>0</v>
      </c>
    </row>
    <row r="32" spans="1:9">
      <c r="A32" s="102">
        <v>2</v>
      </c>
      <c r="B32" s="102">
        <v>78</v>
      </c>
      <c r="C32" s="3">
        <f>'Firm Retail'!$C11</f>
        <v>0</v>
      </c>
      <c r="D32" s="3">
        <f>LM!$C11</f>
        <v>0</v>
      </c>
      <c r="E32" s="3"/>
      <c r="F32" s="3">
        <v>9</v>
      </c>
      <c r="G32" s="3">
        <v>76</v>
      </c>
      <c r="H32" s="3">
        <f>'Firm Retail'!$J9</f>
        <v>0</v>
      </c>
      <c r="I32" s="3">
        <f>LM!$J9</f>
        <v>0</v>
      </c>
    </row>
    <row r="33" spans="1:9">
      <c r="A33" s="1">
        <v>3</v>
      </c>
      <c r="B33" s="1">
        <v>78</v>
      </c>
      <c r="C33" s="1">
        <f>'Firm Retail'!$D11</f>
        <v>0</v>
      </c>
      <c r="D33" s="1">
        <f>LM!$D11</f>
        <v>0</v>
      </c>
      <c r="F33" s="1">
        <v>10</v>
      </c>
      <c r="G33" s="1">
        <v>76</v>
      </c>
      <c r="H33" s="1">
        <f>'Firm Retail'!$K9</f>
        <v>0</v>
      </c>
      <c r="I33" s="1">
        <f>LM!$K9</f>
        <v>0</v>
      </c>
    </row>
    <row r="34" spans="1:9">
      <c r="A34" s="1">
        <v>11</v>
      </c>
      <c r="B34" s="1">
        <v>78</v>
      </c>
      <c r="C34" s="1">
        <f>'Firm Retail'!$L11</f>
        <v>0</v>
      </c>
      <c r="D34" s="1">
        <f>LM!$L11</f>
        <v>0</v>
      </c>
      <c r="F34" s="1">
        <v>4</v>
      </c>
      <c r="G34" s="1">
        <v>77</v>
      </c>
      <c r="H34" s="1">
        <f>'Firm Retail'!$E10</f>
        <v>0</v>
      </c>
      <c r="I34" s="1">
        <f>LM!$E10</f>
        <v>0</v>
      </c>
    </row>
    <row r="35" spans="1:9">
      <c r="A35" s="1">
        <v>12</v>
      </c>
      <c r="B35" s="1">
        <v>78</v>
      </c>
      <c r="C35" s="1">
        <f>'Firm Retail'!$M11</f>
        <v>0</v>
      </c>
      <c r="D35" s="1">
        <f>LM!$M11</f>
        <v>0</v>
      </c>
      <c r="F35" s="1">
        <v>5</v>
      </c>
      <c r="G35" s="1">
        <v>77</v>
      </c>
      <c r="H35" s="1">
        <f>'Firm Retail'!$F10</f>
        <v>0</v>
      </c>
      <c r="I35" s="1">
        <f>LM!$F10</f>
        <v>0</v>
      </c>
    </row>
    <row r="36" spans="1:9">
      <c r="A36" s="102">
        <v>1</v>
      </c>
      <c r="B36" s="102">
        <v>79</v>
      </c>
      <c r="C36" s="3">
        <f>'Firm Retail'!$B12</f>
        <v>0</v>
      </c>
      <c r="D36" s="3">
        <f>LM!$B12</f>
        <v>0</v>
      </c>
      <c r="E36" s="3"/>
      <c r="F36" s="3">
        <v>6</v>
      </c>
      <c r="G36" s="3">
        <v>77</v>
      </c>
      <c r="H36" s="3">
        <f>'Firm Retail'!$G10</f>
        <v>0</v>
      </c>
      <c r="I36" s="3">
        <f>LM!$G10</f>
        <v>0</v>
      </c>
    </row>
    <row r="37" spans="1:9">
      <c r="A37" s="1">
        <v>2</v>
      </c>
      <c r="B37" s="1">
        <v>79</v>
      </c>
      <c r="C37" s="1">
        <f>'Firm Retail'!$C12</f>
        <v>0</v>
      </c>
      <c r="D37" s="1">
        <f>LM!$C12</f>
        <v>0</v>
      </c>
      <c r="F37" s="1">
        <v>7</v>
      </c>
      <c r="G37" s="1">
        <v>77</v>
      </c>
      <c r="H37" s="1">
        <f>'Firm Retail'!$H10</f>
        <v>0</v>
      </c>
      <c r="I37" s="1">
        <f>LM!$H10</f>
        <v>0</v>
      </c>
    </row>
    <row r="38" spans="1:9">
      <c r="A38" s="1">
        <v>3</v>
      </c>
      <c r="B38" s="1">
        <v>79</v>
      </c>
      <c r="C38" s="1">
        <f>'Firm Retail'!$D12</f>
        <v>0</v>
      </c>
      <c r="D38" s="1">
        <f>LM!$D12</f>
        <v>0</v>
      </c>
      <c r="F38" s="1">
        <v>8</v>
      </c>
      <c r="G38" s="1">
        <v>77</v>
      </c>
      <c r="H38" s="1">
        <f>'Firm Retail'!$I10</f>
        <v>0</v>
      </c>
      <c r="I38" s="1">
        <f>LM!$I10</f>
        <v>0</v>
      </c>
    </row>
    <row r="39" spans="1:9">
      <c r="A39" s="1">
        <v>11</v>
      </c>
      <c r="B39" s="1">
        <v>79</v>
      </c>
      <c r="C39" s="1">
        <f>'Firm Retail'!$L12</f>
        <v>0</v>
      </c>
      <c r="D39" s="1">
        <f>LM!$L12</f>
        <v>0</v>
      </c>
      <c r="F39" s="1">
        <v>9</v>
      </c>
      <c r="G39" s="1">
        <v>77</v>
      </c>
      <c r="H39" s="1">
        <f>'Firm Retail'!$J10</f>
        <v>0</v>
      </c>
      <c r="I39" s="1">
        <f>LM!$J10</f>
        <v>0</v>
      </c>
    </row>
    <row r="40" spans="1:9">
      <c r="A40" s="1">
        <v>12</v>
      </c>
      <c r="B40" s="1">
        <v>79</v>
      </c>
      <c r="C40" s="1">
        <f>'Firm Retail'!$M12</f>
        <v>0</v>
      </c>
      <c r="D40" s="1">
        <f>LM!$M12</f>
        <v>0</v>
      </c>
      <c r="F40" s="1">
        <v>10</v>
      </c>
      <c r="G40" s="1">
        <v>77</v>
      </c>
      <c r="H40" s="1">
        <f>'Firm Retail'!$K10</f>
        <v>0</v>
      </c>
      <c r="I40" s="1">
        <f>LM!$K10</f>
        <v>0</v>
      </c>
    </row>
    <row r="41" spans="1:9">
      <c r="A41" s="1">
        <v>1</v>
      </c>
      <c r="B41" s="1">
        <v>80</v>
      </c>
      <c r="C41" s="1">
        <f>'Firm Retail'!$B13</f>
        <v>1654</v>
      </c>
      <c r="D41" s="1">
        <f>LM!$B13</f>
        <v>0</v>
      </c>
      <c r="F41" s="1">
        <v>4</v>
      </c>
      <c r="G41" s="1">
        <v>78</v>
      </c>
      <c r="H41" s="1">
        <f>'Firm Retail'!$E11</f>
        <v>0</v>
      </c>
      <c r="I41" s="1">
        <f>LM!$E11</f>
        <v>0</v>
      </c>
    </row>
    <row r="42" spans="1:9">
      <c r="A42" s="1">
        <v>2</v>
      </c>
      <c r="B42" s="1">
        <v>80</v>
      </c>
      <c r="C42" s="1">
        <f>'Firm Retail'!$C13</f>
        <v>1729</v>
      </c>
      <c r="D42" s="1">
        <f>LM!$C13</f>
        <v>0</v>
      </c>
      <c r="F42" s="1">
        <v>5</v>
      </c>
      <c r="G42" s="1">
        <v>78</v>
      </c>
      <c r="H42" s="1">
        <f>'Firm Retail'!$F11</f>
        <v>0</v>
      </c>
      <c r="I42" s="1">
        <f>LM!$F11</f>
        <v>0</v>
      </c>
    </row>
    <row r="43" spans="1:9">
      <c r="A43" s="102">
        <v>3</v>
      </c>
      <c r="B43" s="102">
        <v>80</v>
      </c>
      <c r="C43" s="3">
        <f>'Firm Retail'!$D13</f>
        <v>1909</v>
      </c>
      <c r="D43" s="3">
        <f>LM!$D13</f>
        <v>0</v>
      </c>
      <c r="E43" s="3"/>
      <c r="F43" s="3">
        <v>6</v>
      </c>
      <c r="G43" s="3">
        <v>78</v>
      </c>
      <c r="H43" s="3">
        <f>'Firm Retail'!$G11</f>
        <v>0</v>
      </c>
      <c r="I43" s="3">
        <f>LM!$G11</f>
        <v>0</v>
      </c>
    </row>
    <row r="44" spans="1:9">
      <c r="A44" s="1">
        <v>11</v>
      </c>
      <c r="B44" s="1">
        <v>80</v>
      </c>
      <c r="C44" s="1">
        <f>'Firm Retail'!$L13</f>
        <v>1282</v>
      </c>
      <c r="D44" s="1">
        <f>LM!$L13</f>
        <v>0</v>
      </c>
      <c r="F44" s="1">
        <v>7</v>
      </c>
      <c r="G44" s="1">
        <v>78</v>
      </c>
      <c r="H44" s="1">
        <f>'Firm Retail'!$H11</f>
        <v>0</v>
      </c>
      <c r="I44" s="1">
        <f>LM!$H11</f>
        <v>0</v>
      </c>
    </row>
    <row r="45" spans="1:9">
      <c r="A45" s="3">
        <v>12</v>
      </c>
      <c r="B45" s="3">
        <v>80</v>
      </c>
      <c r="C45" s="3">
        <f>'Firm Retail'!$M13</f>
        <v>1606</v>
      </c>
      <c r="D45" s="3">
        <f>LM!$M13</f>
        <v>0</v>
      </c>
      <c r="E45" s="3"/>
      <c r="F45" s="81">
        <v>8</v>
      </c>
      <c r="G45" s="81">
        <v>78</v>
      </c>
      <c r="H45" s="3">
        <f>'Firm Retail'!$I11</f>
        <v>0</v>
      </c>
      <c r="I45" s="3">
        <f>LM!$I11</f>
        <v>0</v>
      </c>
    </row>
    <row r="46" spans="1:9">
      <c r="A46" s="102">
        <v>1</v>
      </c>
      <c r="B46" s="102">
        <v>81</v>
      </c>
      <c r="C46" s="3">
        <f>'Firm Retail'!$B14</f>
        <v>2175</v>
      </c>
      <c r="D46" s="3">
        <f>LM!$B14</f>
        <v>0</v>
      </c>
      <c r="E46" s="3"/>
      <c r="F46" s="3">
        <v>9</v>
      </c>
      <c r="G46" s="3">
        <v>78</v>
      </c>
      <c r="H46" s="3">
        <f>'Firm Retail'!$J11</f>
        <v>0</v>
      </c>
      <c r="I46" s="3">
        <f>LM!$J11</f>
        <v>0</v>
      </c>
    </row>
    <row r="47" spans="1:9">
      <c r="A47" s="1">
        <v>2</v>
      </c>
      <c r="B47" s="1">
        <v>81</v>
      </c>
      <c r="C47" s="1">
        <f>'Firm Retail'!$C14</f>
        <v>1873</v>
      </c>
      <c r="D47" s="1">
        <f>LM!$C14</f>
        <v>0</v>
      </c>
      <c r="F47" s="1">
        <v>10</v>
      </c>
      <c r="G47" s="1">
        <v>78</v>
      </c>
      <c r="H47" s="1">
        <f>'Firm Retail'!$K11</f>
        <v>0</v>
      </c>
      <c r="I47" s="1">
        <f>LM!$K11</f>
        <v>0</v>
      </c>
    </row>
    <row r="48" spans="1:9">
      <c r="A48" s="1">
        <v>3</v>
      </c>
      <c r="B48" s="1">
        <v>81</v>
      </c>
      <c r="C48" s="1">
        <f>'Firm Retail'!$D14</f>
        <v>1314</v>
      </c>
      <c r="D48" s="1">
        <f>LM!$D14</f>
        <v>0</v>
      </c>
      <c r="F48" s="1">
        <v>4</v>
      </c>
      <c r="G48" s="1">
        <v>79</v>
      </c>
      <c r="H48" s="1">
        <f>'Firm Retail'!$E12</f>
        <v>0</v>
      </c>
      <c r="I48" s="1">
        <f>LM!$E12</f>
        <v>0</v>
      </c>
    </row>
    <row r="49" spans="1:9">
      <c r="A49" s="1">
        <v>11</v>
      </c>
      <c r="B49" s="1">
        <v>81</v>
      </c>
      <c r="C49" s="1">
        <f>'Firm Retail'!$L14</f>
        <v>1524</v>
      </c>
      <c r="D49" s="1">
        <f>LM!$L14</f>
        <v>0</v>
      </c>
      <c r="F49" s="1">
        <v>5</v>
      </c>
      <c r="G49" s="1">
        <v>79</v>
      </c>
      <c r="H49" s="1">
        <f>'Firm Retail'!$F12</f>
        <v>0</v>
      </c>
      <c r="I49" s="1">
        <f>LM!$F12</f>
        <v>0</v>
      </c>
    </row>
    <row r="50" spans="1:9">
      <c r="A50" s="1">
        <v>12</v>
      </c>
      <c r="B50" s="1">
        <v>81</v>
      </c>
      <c r="C50" s="1">
        <f>'Firm Retail'!$M14</f>
        <v>1836</v>
      </c>
      <c r="D50" s="1">
        <f>LM!$M14</f>
        <v>0</v>
      </c>
      <c r="F50" s="1">
        <v>6</v>
      </c>
      <c r="G50" s="1">
        <v>79</v>
      </c>
      <c r="H50" s="1">
        <f>'Firm Retail'!$G12</f>
        <v>0</v>
      </c>
      <c r="I50" s="1">
        <f>LM!$G12</f>
        <v>0</v>
      </c>
    </row>
    <row r="51" spans="1:9">
      <c r="A51" s="102">
        <v>1</v>
      </c>
      <c r="B51" s="102">
        <v>82</v>
      </c>
      <c r="C51" s="3">
        <f>'Firm Retail'!$B15</f>
        <v>2130</v>
      </c>
      <c r="D51" s="3">
        <f>LM!$B15</f>
        <v>0</v>
      </c>
      <c r="E51" s="3"/>
      <c r="F51" s="81">
        <v>7</v>
      </c>
      <c r="G51" s="81">
        <v>79</v>
      </c>
      <c r="H51" s="3">
        <f>'Firm Retail'!$H12</f>
        <v>0</v>
      </c>
      <c r="I51" s="3">
        <f>LM!$H12</f>
        <v>0</v>
      </c>
    </row>
    <row r="52" spans="1:9">
      <c r="A52" s="1">
        <v>2</v>
      </c>
      <c r="B52" s="1">
        <v>82</v>
      </c>
      <c r="C52" s="1">
        <f>'Firm Retail'!$C15</f>
        <v>1260</v>
      </c>
      <c r="D52" s="1">
        <f>LM!$C15</f>
        <v>0</v>
      </c>
      <c r="F52" s="1">
        <v>8</v>
      </c>
      <c r="G52" s="1">
        <v>79</v>
      </c>
      <c r="H52" s="1">
        <f>'Firm Retail'!$I12</f>
        <v>0</v>
      </c>
      <c r="I52" s="1">
        <f>LM!$I12</f>
        <v>0</v>
      </c>
    </row>
    <row r="53" spans="1:9">
      <c r="A53" s="1">
        <v>3</v>
      </c>
      <c r="B53" s="1">
        <v>82</v>
      </c>
      <c r="C53" s="1">
        <f>'Firm Retail'!$D15</f>
        <v>1440</v>
      </c>
      <c r="D53" s="1">
        <f>LM!$D15</f>
        <v>0</v>
      </c>
      <c r="F53" s="1">
        <v>9</v>
      </c>
      <c r="G53" s="1">
        <v>79</v>
      </c>
      <c r="H53" s="1">
        <f>'Firm Retail'!$J12</f>
        <v>0</v>
      </c>
      <c r="I53" s="1">
        <f>LM!$J12</f>
        <v>0</v>
      </c>
    </row>
    <row r="54" spans="1:9">
      <c r="A54" s="1">
        <v>11</v>
      </c>
      <c r="B54" s="1">
        <v>82</v>
      </c>
      <c r="C54" s="1">
        <f>'Firm Retail'!$L15</f>
        <v>1354</v>
      </c>
      <c r="D54" s="1">
        <f>LM!$L15</f>
        <v>0</v>
      </c>
      <c r="F54" s="1">
        <v>10</v>
      </c>
      <c r="G54" s="1">
        <v>79</v>
      </c>
      <c r="H54" s="1">
        <f>'Firm Retail'!$K12</f>
        <v>0</v>
      </c>
      <c r="I54" s="1">
        <f>LM!$K12</f>
        <v>0</v>
      </c>
    </row>
    <row r="55" spans="1:9">
      <c r="A55" s="1">
        <v>12</v>
      </c>
      <c r="B55" s="1">
        <v>82</v>
      </c>
      <c r="C55" s="1">
        <f>'Firm Retail'!$M15</f>
        <v>1522</v>
      </c>
      <c r="D55" s="1">
        <f>LM!$M15</f>
        <v>0</v>
      </c>
      <c r="F55" s="1">
        <v>4</v>
      </c>
      <c r="G55" s="1">
        <v>80</v>
      </c>
      <c r="H55" s="1">
        <f>'Firm Retail'!$E13</f>
        <v>1273</v>
      </c>
      <c r="I55" s="1">
        <f>LM!$E13</f>
        <v>0</v>
      </c>
    </row>
    <row r="56" spans="1:9">
      <c r="A56" s="102">
        <v>1</v>
      </c>
      <c r="B56" s="102">
        <v>83</v>
      </c>
      <c r="C56" s="3">
        <f>'Firm Retail'!$B16</f>
        <v>1887</v>
      </c>
      <c r="D56" s="3">
        <f>LM!$B16</f>
        <v>0</v>
      </c>
      <c r="E56" s="3"/>
      <c r="F56" s="3">
        <v>5</v>
      </c>
      <c r="G56" s="3">
        <v>80</v>
      </c>
      <c r="H56" s="3">
        <f>'Firm Retail'!$F13</f>
        <v>1566</v>
      </c>
      <c r="I56" s="3">
        <f>LM!$F13</f>
        <v>0</v>
      </c>
    </row>
    <row r="57" spans="1:9">
      <c r="A57" s="1">
        <v>2</v>
      </c>
      <c r="B57" s="1">
        <v>83</v>
      </c>
      <c r="C57" s="1">
        <f>'Firm Retail'!$C16</f>
        <v>1812</v>
      </c>
      <c r="D57" s="1">
        <f>LM!$C16</f>
        <v>0</v>
      </c>
      <c r="F57" s="1">
        <v>6</v>
      </c>
      <c r="G57" s="1">
        <v>80</v>
      </c>
      <c r="H57" s="1">
        <f>'Firm Retail'!$G13</f>
        <v>1567</v>
      </c>
      <c r="I57" s="1">
        <f>LM!$G13</f>
        <v>0</v>
      </c>
    </row>
    <row r="58" spans="1:9">
      <c r="A58" s="3">
        <v>3</v>
      </c>
      <c r="B58" s="3">
        <v>83</v>
      </c>
      <c r="C58" s="3">
        <f>'Firm Retail'!$D16</f>
        <v>1571</v>
      </c>
      <c r="D58" s="3">
        <f>LM!$D16</f>
        <v>0</v>
      </c>
      <c r="E58" s="3"/>
      <c r="F58" s="81">
        <v>7</v>
      </c>
      <c r="G58" s="81">
        <v>80</v>
      </c>
      <c r="H58" s="3">
        <f>'Firm Retail'!$H13</f>
        <v>1742</v>
      </c>
      <c r="I58" s="3">
        <f>LM!$H13</f>
        <v>0</v>
      </c>
    </row>
    <row r="59" spans="1:9">
      <c r="A59" s="1">
        <v>11</v>
      </c>
      <c r="B59" s="1">
        <v>83</v>
      </c>
      <c r="C59" s="1">
        <f>'Firm Retail'!$L16</f>
        <v>1511</v>
      </c>
      <c r="D59" s="1">
        <f>LM!$L16</f>
        <v>0</v>
      </c>
      <c r="F59" s="1">
        <v>8</v>
      </c>
      <c r="G59" s="1">
        <v>80</v>
      </c>
      <c r="H59" s="1">
        <f>'Firm Retail'!$I13</f>
        <v>1722</v>
      </c>
      <c r="I59" s="1">
        <f>LM!$I13</f>
        <v>0</v>
      </c>
    </row>
    <row r="60" spans="1:9">
      <c r="A60" s="102">
        <v>12</v>
      </c>
      <c r="B60" s="102">
        <v>83</v>
      </c>
      <c r="C60" s="3">
        <f>'Firm Retail'!$M16</f>
        <v>2067</v>
      </c>
      <c r="D60" s="3">
        <f>LM!$M16</f>
        <v>0</v>
      </c>
      <c r="E60" s="3"/>
      <c r="F60" s="3">
        <v>9</v>
      </c>
      <c r="G60" s="3">
        <v>80</v>
      </c>
      <c r="H60" s="3">
        <f>'Firm Retail'!$J13</f>
        <v>1639</v>
      </c>
      <c r="I60" s="3">
        <f>LM!$J13</f>
        <v>0</v>
      </c>
    </row>
    <row r="61" spans="1:9">
      <c r="A61" s="1">
        <v>1</v>
      </c>
      <c r="B61" s="1">
        <v>84</v>
      </c>
      <c r="C61" s="1">
        <f>'Firm Retail'!$B17</f>
        <v>1907</v>
      </c>
      <c r="D61" s="1">
        <f>LM!$B17</f>
        <v>0</v>
      </c>
      <c r="F61" s="1">
        <v>10</v>
      </c>
      <c r="G61" s="1">
        <v>80</v>
      </c>
      <c r="H61" s="1">
        <f>'Firm Retail'!$K13</f>
        <v>1428</v>
      </c>
      <c r="I61" s="1">
        <f>LM!$K13</f>
        <v>0</v>
      </c>
    </row>
    <row r="62" spans="1:9">
      <c r="A62" s="1">
        <v>2</v>
      </c>
      <c r="B62" s="1">
        <v>84</v>
      </c>
      <c r="C62" s="1">
        <f>'Firm Retail'!$C17</f>
        <v>1997</v>
      </c>
      <c r="D62" s="1">
        <f>LM!$C17</f>
        <v>0</v>
      </c>
      <c r="F62" s="1">
        <v>4</v>
      </c>
      <c r="G62" s="1">
        <v>81</v>
      </c>
      <c r="H62" s="1">
        <f>'Firm Retail'!$E14</f>
        <v>1382</v>
      </c>
      <c r="I62" s="1">
        <f>LM!$E14</f>
        <v>0</v>
      </c>
    </row>
    <row r="63" spans="1:9">
      <c r="A63" s="1">
        <v>3</v>
      </c>
      <c r="B63" s="1">
        <v>84</v>
      </c>
      <c r="C63" s="1">
        <f>'Firm Retail'!$D17</f>
        <v>1856</v>
      </c>
      <c r="D63" s="1">
        <f>LM!$D17</f>
        <v>0</v>
      </c>
      <c r="F63" s="1">
        <v>5</v>
      </c>
      <c r="G63" s="1">
        <v>81</v>
      </c>
      <c r="H63" s="1">
        <f>'Firm Retail'!$F14</f>
        <v>1591</v>
      </c>
      <c r="I63" s="1">
        <f>LM!$F14</f>
        <v>0</v>
      </c>
    </row>
    <row r="64" spans="1:9">
      <c r="A64" s="3">
        <v>11</v>
      </c>
      <c r="B64" s="3">
        <v>84</v>
      </c>
      <c r="C64" s="3">
        <f>'Firm Retail'!$L17</f>
        <v>1602</v>
      </c>
      <c r="D64" s="3">
        <f>LM!$L17</f>
        <v>0</v>
      </c>
      <c r="E64" s="3"/>
      <c r="F64" s="81">
        <v>6</v>
      </c>
      <c r="G64" s="81">
        <v>81</v>
      </c>
      <c r="H64" s="3">
        <f>'Firm Retail'!$G14</f>
        <v>1868</v>
      </c>
      <c r="I64" s="3">
        <f>LM!$G14</f>
        <v>0</v>
      </c>
    </row>
    <row r="65" spans="1:9">
      <c r="A65" s="1">
        <v>12</v>
      </c>
      <c r="B65" s="1">
        <v>84</v>
      </c>
      <c r="C65" s="1">
        <f>'Firm Retail'!$M17</f>
        <v>1817</v>
      </c>
      <c r="D65" s="1">
        <f>LM!$M17</f>
        <v>0</v>
      </c>
      <c r="F65" s="1">
        <v>7</v>
      </c>
      <c r="G65" s="1">
        <v>81</v>
      </c>
      <c r="H65" s="1">
        <f>'Firm Retail'!$H14</f>
        <v>1777</v>
      </c>
      <c r="I65" s="1">
        <f>LM!$H14</f>
        <v>0</v>
      </c>
    </row>
    <row r="66" spans="1:9">
      <c r="A66" s="102">
        <v>1</v>
      </c>
      <c r="B66" s="102">
        <v>85</v>
      </c>
      <c r="C66" s="3">
        <f>'Firm Retail'!$B18</f>
        <v>2528</v>
      </c>
      <c r="D66" s="3">
        <f>LM!$B18</f>
        <v>34</v>
      </c>
      <c r="E66" s="3"/>
      <c r="F66" s="3">
        <v>8</v>
      </c>
      <c r="G66" s="3">
        <v>81</v>
      </c>
      <c r="H66" s="3">
        <f>'Firm Retail'!$I14</f>
        <v>1675</v>
      </c>
      <c r="I66" s="3">
        <f>LM!$I14</f>
        <v>0</v>
      </c>
    </row>
    <row r="67" spans="1:9">
      <c r="A67" s="1">
        <v>2</v>
      </c>
      <c r="B67" s="1">
        <v>85</v>
      </c>
      <c r="C67" s="1">
        <f>'Firm Retail'!$C18</f>
        <v>1956</v>
      </c>
      <c r="D67" s="1">
        <f>LM!$C18</f>
        <v>28</v>
      </c>
      <c r="F67" s="1">
        <v>9</v>
      </c>
      <c r="G67" s="1">
        <v>81</v>
      </c>
      <c r="H67" s="1">
        <f>'Firm Retail'!$J14</f>
        <v>1693</v>
      </c>
      <c r="I67" s="1">
        <f>LM!$J14</f>
        <v>0</v>
      </c>
    </row>
    <row r="68" spans="1:9">
      <c r="A68" s="1">
        <v>3</v>
      </c>
      <c r="B68" s="1">
        <v>85</v>
      </c>
      <c r="C68" s="1">
        <f>'Firm Retail'!$D18</f>
        <v>1520</v>
      </c>
      <c r="D68" s="1">
        <f>LM!$D18</f>
        <v>22</v>
      </c>
      <c r="F68" s="1">
        <v>10</v>
      </c>
      <c r="G68" s="1">
        <v>81</v>
      </c>
      <c r="H68" s="1">
        <f>'Firm Retail'!$K14</f>
        <v>1493</v>
      </c>
      <c r="I68" s="1">
        <f>LM!$K14</f>
        <v>0</v>
      </c>
    </row>
    <row r="69" spans="1:9">
      <c r="A69" s="1">
        <v>11</v>
      </c>
      <c r="B69" s="1">
        <v>85</v>
      </c>
      <c r="C69" s="1">
        <f>'Firm Retail'!$L18</f>
        <v>1532</v>
      </c>
      <c r="D69" s="1">
        <f>LM!$L18</f>
        <v>14</v>
      </c>
      <c r="F69" s="1">
        <v>4</v>
      </c>
      <c r="G69" s="1">
        <v>82</v>
      </c>
      <c r="H69" s="1">
        <f>'Firm Retail'!$E15</f>
        <v>1466</v>
      </c>
      <c r="I69" s="1">
        <f>LM!$E15</f>
        <v>0</v>
      </c>
    </row>
    <row r="70" spans="1:9">
      <c r="A70" s="1">
        <v>12</v>
      </c>
      <c r="B70" s="1">
        <v>85</v>
      </c>
      <c r="C70" s="1">
        <f>'Firm Retail'!$M18</f>
        <v>2119</v>
      </c>
      <c r="D70" s="1">
        <f>LM!$M18</f>
        <v>50</v>
      </c>
      <c r="F70" s="1">
        <v>5</v>
      </c>
      <c r="G70" s="1">
        <v>82</v>
      </c>
      <c r="H70" s="1">
        <f>'Firm Retail'!$F15</f>
        <v>1536</v>
      </c>
      <c r="I70" s="1">
        <f>LM!$F15</f>
        <v>0</v>
      </c>
    </row>
    <row r="71" spans="1:9">
      <c r="A71" s="102">
        <v>1</v>
      </c>
      <c r="B71" s="102">
        <v>86</v>
      </c>
      <c r="C71" s="3">
        <f>'Firm Retail'!$B19</f>
        <v>2358</v>
      </c>
      <c r="D71" s="3">
        <f>LM!$B19</f>
        <v>70</v>
      </c>
      <c r="E71" s="3"/>
      <c r="F71" s="3">
        <v>6</v>
      </c>
      <c r="G71" s="3">
        <v>82</v>
      </c>
      <c r="H71" s="3">
        <f>'Firm Retail'!$G15</f>
        <v>1705</v>
      </c>
      <c r="I71" s="3">
        <f>LM!$G15</f>
        <v>0</v>
      </c>
    </row>
    <row r="72" spans="1:9">
      <c r="A72" s="1">
        <v>2</v>
      </c>
      <c r="B72" s="1">
        <v>86</v>
      </c>
      <c r="C72" s="1">
        <f>'Firm Retail'!$C19</f>
        <v>1870</v>
      </c>
      <c r="D72" s="1">
        <f>LM!$C19</f>
        <v>58</v>
      </c>
      <c r="F72" s="1">
        <v>7</v>
      </c>
      <c r="G72" s="1">
        <v>82</v>
      </c>
      <c r="H72" s="1">
        <f>'Firm Retail'!$H15</f>
        <v>1635</v>
      </c>
      <c r="I72" s="1">
        <f>LM!$H15</f>
        <v>0</v>
      </c>
    </row>
    <row r="73" spans="1:9">
      <c r="A73" s="1">
        <v>3</v>
      </c>
      <c r="B73" s="1">
        <v>86</v>
      </c>
      <c r="C73" s="1">
        <f>'Firm Retail'!$D19</f>
        <v>1696</v>
      </c>
      <c r="D73" s="1">
        <f>LM!$D19</f>
        <v>37</v>
      </c>
      <c r="F73" s="1">
        <v>8</v>
      </c>
      <c r="G73" s="1">
        <v>82</v>
      </c>
      <c r="H73" s="1">
        <f>'Firm Retail'!$I15</f>
        <v>1716</v>
      </c>
      <c r="I73" s="1">
        <f>LM!$I15</f>
        <v>0</v>
      </c>
    </row>
    <row r="74" spans="1:9">
      <c r="A74" s="3">
        <v>11</v>
      </c>
      <c r="B74" s="3">
        <v>86</v>
      </c>
      <c r="C74" s="3">
        <f>'Firm Retail'!$L19</f>
        <v>1635</v>
      </c>
      <c r="D74" s="3">
        <f>LM!$L19</f>
        <v>14</v>
      </c>
      <c r="E74" s="3"/>
      <c r="F74" s="81">
        <v>9</v>
      </c>
      <c r="G74" s="81">
        <v>82</v>
      </c>
      <c r="H74" s="3">
        <f>'Firm Retail'!$J15</f>
        <v>1758</v>
      </c>
      <c r="I74" s="3">
        <f>LM!$J15</f>
        <v>0</v>
      </c>
    </row>
    <row r="75" spans="1:9">
      <c r="A75" s="1">
        <v>12</v>
      </c>
      <c r="B75" s="1">
        <v>86</v>
      </c>
      <c r="C75" s="1">
        <f>'Firm Retail'!$M19</f>
        <v>1506</v>
      </c>
      <c r="D75" s="1">
        <f>LM!$M19</f>
        <v>17</v>
      </c>
      <c r="F75" s="1">
        <v>10</v>
      </c>
      <c r="G75" s="1">
        <v>82</v>
      </c>
      <c r="H75" s="1">
        <f>'Firm Retail'!$K15</f>
        <v>1556</v>
      </c>
      <c r="I75" s="1">
        <f>LM!$K15</f>
        <v>0</v>
      </c>
    </row>
    <row r="76" spans="1:9">
      <c r="A76" s="1">
        <v>1</v>
      </c>
      <c r="B76" s="1">
        <v>87</v>
      </c>
      <c r="C76" s="1">
        <f>'Firm Retail'!$B20</f>
        <v>1957</v>
      </c>
      <c r="D76" s="1">
        <f>LM!$B20</f>
        <v>56</v>
      </c>
      <c r="F76" s="1">
        <v>4</v>
      </c>
      <c r="G76" s="1">
        <v>83</v>
      </c>
      <c r="H76" s="1">
        <f>'Firm Retail'!$E16</f>
        <v>1387</v>
      </c>
      <c r="I76" s="1">
        <f>LM!$E16</f>
        <v>0</v>
      </c>
    </row>
    <row r="77" spans="1:9">
      <c r="A77" s="102">
        <v>2</v>
      </c>
      <c r="B77" s="102">
        <v>87</v>
      </c>
      <c r="C77" s="3">
        <f>'Firm Retail'!$C20</f>
        <v>2036</v>
      </c>
      <c r="D77" s="3">
        <f>LM!$C20</f>
        <v>80</v>
      </c>
      <c r="E77" s="3"/>
      <c r="F77" s="3">
        <v>5</v>
      </c>
      <c r="G77" s="3">
        <v>83</v>
      </c>
      <c r="H77" s="3">
        <f>'Firm Retail'!$F16</f>
        <v>1584</v>
      </c>
      <c r="I77" s="3">
        <f>LM!$F16</f>
        <v>0</v>
      </c>
    </row>
    <row r="78" spans="1:9">
      <c r="A78" s="1">
        <v>3</v>
      </c>
      <c r="B78" s="1">
        <v>87</v>
      </c>
      <c r="C78" s="1">
        <f>'Firm Retail'!$D20</f>
        <v>1515</v>
      </c>
      <c r="D78" s="1">
        <f>LM!$D20</f>
        <v>36</v>
      </c>
      <c r="F78" s="1">
        <v>6</v>
      </c>
      <c r="G78" s="1">
        <v>83</v>
      </c>
      <c r="H78" s="1">
        <f>'Firm Retail'!$G16</f>
        <v>1682</v>
      </c>
      <c r="I78" s="1">
        <f>LM!$G16</f>
        <v>0</v>
      </c>
    </row>
    <row r="79" spans="1:9">
      <c r="A79" s="1">
        <v>11</v>
      </c>
      <c r="B79" s="1">
        <v>87</v>
      </c>
      <c r="C79" s="1">
        <f>'Firm Retail'!$L20</f>
        <v>1498</v>
      </c>
      <c r="D79" s="1">
        <f>LM!$L20</f>
        <v>17</v>
      </c>
      <c r="F79" s="1">
        <v>7</v>
      </c>
      <c r="G79" s="1">
        <v>83</v>
      </c>
      <c r="H79" s="1">
        <f>'Firm Retail'!$H16</f>
        <v>1851</v>
      </c>
      <c r="I79" s="1">
        <f>LM!$H16</f>
        <v>0</v>
      </c>
    </row>
    <row r="80" spans="1:9">
      <c r="A80" s="1">
        <v>12</v>
      </c>
      <c r="B80" s="1">
        <v>87</v>
      </c>
      <c r="C80" s="1">
        <f>'Firm Retail'!$M20</f>
        <v>1936</v>
      </c>
      <c r="D80" s="1">
        <f>LM!$M20</f>
        <v>94</v>
      </c>
      <c r="F80" s="1">
        <v>8</v>
      </c>
      <c r="G80" s="1">
        <v>83</v>
      </c>
      <c r="H80" s="1">
        <f>'Firm Retail'!$I16</f>
        <v>1833</v>
      </c>
      <c r="I80" s="1">
        <f>LM!$I16</f>
        <v>0</v>
      </c>
    </row>
    <row r="81" spans="1:9">
      <c r="A81" s="102">
        <v>1</v>
      </c>
      <c r="B81" s="102">
        <v>88</v>
      </c>
      <c r="C81" s="3">
        <f>'Firm Retail'!$B21</f>
        <v>2301</v>
      </c>
      <c r="D81" s="3">
        <f>LM!$B21</f>
        <v>114</v>
      </c>
      <c r="E81" s="3"/>
      <c r="F81" s="81">
        <v>9</v>
      </c>
      <c r="G81" s="81">
        <v>83</v>
      </c>
      <c r="H81" s="3">
        <f>'Firm Retail'!$J16</f>
        <v>1856</v>
      </c>
      <c r="I81" s="3">
        <f>LM!$J16</f>
        <v>0</v>
      </c>
    </row>
    <row r="82" spans="1:9">
      <c r="A82" s="1">
        <v>2</v>
      </c>
      <c r="B82" s="1">
        <v>88</v>
      </c>
      <c r="C82" s="1">
        <f>'Firm Retail'!$C21</f>
        <v>1948</v>
      </c>
      <c r="D82" s="1">
        <f>LM!$C21</f>
        <v>90</v>
      </c>
      <c r="F82" s="1">
        <v>10</v>
      </c>
      <c r="G82" s="1">
        <v>83</v>
      </c>
      <c r="H82" s="1">
        <f>'Firm Retail'!$K16</f>
        <v>1605</v>
      </c>
      <c r="I82" s="1">
        <f>LM!$K16</f>
        <v>0</v>
      </c>
    </row>
    <row r="83" spans="1:9">
      <c r="A83" s="1">
        <v>3</v>
      </c>
      <c r="B83" s="1">
        <v>88</v>
      </c>
      <c r="C83" s="1">
        <f>'Firm Retail'!$D21</f>
        <v>1933</v>
      </c>
      <c r="D83" s="1">
        <f>LM!$D21</f>
        <v>83</v>
      </c>
      <c r="F83" s="1">
        <v>4</v>
      </c>
      <c r="G83" s="1">
        <v>84</v>
      </c>
      <c r="H83" s="1">
        <f>'Firm Retail'!$E17</f>
        <v>1497</v>
      </c>
      <c r="I83" s="1">
        <f>LM!$E17</f>
        <v>0</v>
      </c>
    </row>
    <row r="84" spans="1:9">
      <c r="A84" s="1">
        <v>11</v>
      </c>
      <c r="B84" s="1">
        <v>88</v>
      </c>
      <c r="C84" s="1">
        <f>'Firm Retail'!$L21</f>
        <v>1687</v>
      </c>
      <c r="D84" s="1">
        <f>LM!$L21</f>
        <v>21</v>
      </c>
      <c r="F84" s="1">
        <v>5</v>
      </c>
      <c r="G84" s="1">
        <v>84</v>
      </c>
      <c r="H84" s="1">
        <f>'Firm Retail'!$F17</f>
        <v>1799</v>
      </c>
      <c r="I84" s="1">
        <f>LM!$F17</f>
        <v>0</v>
      </c>
    </row>
    <row r="85" spans="1:9">
      <c r="A85" s="102">
        <v>12</v>
      </c>
      <c r="B85" s="102">
        <v>88</v>
      </c>
      <c r="C85" s="3">
        <f>'Firm Retail'!$M21</f>
        <v>2270</v>
      </c>
      <c r="D85" s="3">
        <f>LM!$M21</f>
        <v>127</v>
      </c>
      <c r="E85" s="3"/>
      <c r="F85" s="3">
        <v>6</v>
      </c>
      <c r="G85" s="3">
        <v>84</v>
      </c>
      <c r="H85" s="3">
        <f>'Firm Retail'!$G17</f>
        <v>1807</v>
      </c>
      <c r="I85" s="3">
        <f>LM!$G17</f>
        <v>0</v>
      </c>
    </row>
    <row r="86" spans="1:9">
      <c r="A86" s="1">
        <v>1</v>
      </c>
      <c r="B86" s="1">
        <v>89</v>
      </c>
      <c r="C86" s="1">
        <f>'Firm Retail'!$B22</f>
        <v>1622</v>
      </c>
      <c r="D86" s="1">
        <f>LM!$B22</f>
        <v>101</v>
      </c>
      <c r="F86" s="1">
        <v>7</v>
      </c>
      <c r="G86" s="1">
        <v>84</v>
      </c>
      <c r="H86" s="1">
        <f>'Firm Retail'!$H17</f>
        <v>1850</v>
      </c>
      <c r="I86" s="1">
        <f>LM!$H17</f>
        <v>0</v>
      </c>
    </row>
    <row r="87" spans="1:9">
      <c r="A87" s="1">
        <v>2</v>
      </c>
      <c r="B87" s="1">
        <v>89</v>
      </c>
      <c r="C87" s="1">
        <f>'Firm Retail'!$C22</f>
        <v>2214</v>
      </c>
      <c r="D87" s="1">
        <f>LM!$C22</f>
        <v>128</v>
      </c>
      <c r="F87" s="1">
        <v>8</v>
      </c>
      <c r="G87" s="1">
        <v>84</v>
      </c>
      <c r="H87" s="1">
        <f>'Firm Retail'!$I17</f>
        <v>1865</v>
      </c>
      <c r="I87" s="1">
        <f>LM!$I17</f>
        <v>0</v>
      </c>
    </row>
    <row r="88" spans="1:9">
      <c r="A88" s="3">
        <v>3</v>
      </c>
      <c r="B88" s="3">
        <v>89</v>
      </c>
      <c r="C88" s="3">
        <f>'Firm Retail'!$D22</f>
        <v>1774</v>
      </c>
      <c r="D88" s="3">
        <f>LM!$D22</f>
        <v>104</v>
      </c>
      <c r="E88" s="3"/>
      <c r="F88" s="81">
        <v>9</v>
      </c>
      <c r="G88" s="81">
        <v>84</v>
      </c>
      <c r="H88" s="3">
        <f>'Firm Retail'!$J17</f>
        <v>1855</v>
      </c>
      <c r="I88" s="3">
        <f>LM!$J17</f>
        <v>0</v>
      </c>
    </row>
    <row r="89" spans="1:9">
      <c r="A89" s="1">
        <v>11</v>
      </c>
      <c r="B89" s="1">
        <v>89</v>
      </c>
      <c r="C89" s="1">
        <f>'Firm Retail'!$L22</f>
        <v>1700</v>
      </c>
      <c r="D89" s="1">
        <f>LM!$L22</f>
        <v>12</v>
      </c>
      <c r="F89" s="1">
        <v>10</v>
      </c>
      <c r="G89" s="1">
        <v>84</v>
      </c>
      <c r="H89" s="1">
        <f>'Firm Retail'!$K17</f>
        <v>1683</v>
      </c>
      <c r="I89" s="1">
        <f>LM!$K17</f>
        <v>0</v>
      </c>
    </row>
    <row r="90" spans="1:9">
      <c r="A90" s="102">
        <v>12</v>
      </c>
      <c r="B90" s="102">
        <v>89</v>
      </c>
      <c r="C90" s="3">
        <f>'Firm Retail'!$M22</f>
        <v>2547</v>
      </c>
      <c r="D90" s="3">
        <f>LM!$M22</f>
        <v>117</v>
      </c>
      <c r="E90" s="3"/>
      <c r="F90" s="3">
        <v>4</v>
      </c>
      <c r="G90" s="3">
        <v>85</v>
      </c>
      <c r="H90" s="3">
        <f>'Firm Retail'!$E18</f>
        <v>1508</v>
      </c>
      <c r="I90" s="3">
        <f>LM!$E18</f>
        <v>16</v>
      </c>
    </row>
    <row r="91" spans="1:9">
      <c r="A91" s="1">
        <v>1</v>
      </c>
      <c r="B91" s="1">
        <v>90</v>
      </c>
      <c r="C91" s="1">
        <f>'Firm Retail'!$B23</f>
        <v>1772</v>
      </c>
      <c r="D91" s="1">
        <f>LM!$B23</f>
        <v>91</v>
      </c>
      <c r="F91" s="1">
        <v>5</v>
      </c>
      <c r="G91" s="1">
        <v>85</v>
      </c>
      <c r="H91" s="1">
        <f>'Firm Retail'!$F18</f>
        <v>1891</v>
      </c>
      <c r="I91" s="1">
        <f>LM!$F18</f>
        <v>18</v>
      </c>
    </row>
    <row r="92" spans="1:9">
      <c r="A92" s="3">
        <v>2</v>
      </c>
      <c r="B92" s="3">
        <v>90</v>
      </c>
      <c r="C92" s="3">
        <f>'Firm Retail'!$C23</f>
        <v>1595</v>
      </c>
      <c r="D92" s="3">
        <f>LM!$C23</f>
        <v>79</v>
      </c>
      <c r="E92" s="3"/>
      <c r="F92" s="81">
        <v>6</v>
      </c>
      <c r="G92" s="81">
        <v>85</v>
      </c>
      <c r="H92" s="3">
        <f>'Firm Retail'!$G18</f>
        <v>2089</v>
      </c>
      <c r="I92" s="3">
        <f>LM!$G18</f>
        <v>26</v>
      </c>
    </row>
    <row r="93" spans="1:9">
      <c r="A93" s="1">
        <v>3</v>
      </c>
      <c r="B93" s="1">
        <v>90</v>
      </c>
      <c r="C93" s="1">
        <f>'Firm Retail'!$D23</f>
        <v>1653</v>
      </c>
      <c r="D93" s="1">
        <f>LM!$D23</f>
        <v>19</v>
      </c>
      <c r="F93" s="1">
        <v>7</v>
      </c>
      <c r="G93" s="1">
        <v>85</v>
      </c>
      <c r="H93" s="1">
        <f>'Firm Retail'!$H18</f>
        <v>1916</v>
      </c>
      <c r="I93" s="1">
        <f>LM!$H18</f>
        <v>20</v>
      </c>
    </row>
    <row r="94" spans="1:9">
      <c r="A94" s="1">
        <v>11</v>
      </c>
      <c r="B94" s="1">
        <v>90</v>
      </c>
      <c r="C94" s="1">
        <f>'Firm Retail'!$L23</f>
        <v>1753</v>
      </c>
      <c r="D94" s="1">
        <f>LM!$L23</f>
        <v>24</v>
      </c>
      <c r="F94" s="1">
        <v>8</v>
      </c>
      <c r="G94" s="1">
        <v>85</v>
      </c>
      <c r="H94" s="1">
        <f>'Firm Retail'!$I18</f>
        <v>1941</v>
      </c>
      <c r="I94" s="1">
        <f>LM!$I18</f>
        <v>25</v>
      </c>
    </row>
    <row r="95" spans="1:9">
      <c r="A95" s="1">
        <v>12</v>
      </c>
      <c r="B95" s="1">
        <v>90</v>
      </c>
      <c r="C95" s="1">
        <f>'Firm Retail'!$M23</f>
        <v>1859</v>
      </c>
      <c r="D95" s="1">
        <f>LM!$M23</f>
        <v>51</v>
      </c>
      <c r="F95" s="1">
        <v>9</v>
      </c>
      <c r="G95" s="1">
        <v>85</v>
      </c>
      <c r="H95" s="1">
        <f>'Firm Retail'!$J18</f>
        <v>1943</v>
      </c>
      <c r="I95" s="1">
        <f>LM!$J18</f>
        <v>26</v>
      </c>
    </row>
    <row r="96" spans="1:9">
      <c r="A96" s="1">
        <v>1</v>
      </c>
      <c r="B96" s="1">
        <v>91</v>
      </c>
      <c r="C96" s="1">
        <f>'Firm Retail'!$B24</f>
        <v>1933</v>
      </c>
      <c r="D96" s="1">
        <f>LM!$B24</f>
        <v>119</v>
      </c>
      <c r="F96" s="1">
        <v>10</v>
      </c>
      <c r="G96" s="1">
        <v>85</v>
      </c>
      <c r="H96" s="1">
        <f>'Firm Retail'!$K18</f>
        <v>1810</v>
      </c>
      <c r="I96" s="1">
        <f>LM!$K18</f>
        <v>23</v>
      </c>
    </row>
    <row r="97" spans="1:9">
      <c r="A97" s="102">
        <v>2</v>
      </c>
      <c r="B97" s="102">
        <v>91</v>
      </c>
      <c r="C97" s="3">
        <f>'Firm Retail'!$C24</f>
        <v>2056</v>
      </c>
      <c r="D97" s="3">
        <f>LM!$C24</f>
        <v>139</v>
      </c>
      <c r="E97" s="3"/>
      <c r="F97" s="3">
        <v>4</v>
      </c>
      <c r="G97" s="3">
        <v>86</v>
      </c>
      <c r="H97" s="3">
        <f>'Firm Retail'!$E19</f>
        <v>1526</v>
      </c>
      <c r="I97" s="3">
        <f>LM!$E19</f>
        <v>34</v>
      </c>
    </row>
    <row r="98" spans="1:9">
      <c r="A98" s="1">
        <v>3</v>
      </c>
      <c r="B98" s="1">
        <v>91</v>
      </c>
      <c r="C98" s="1">
        <f>'Firm Retail'!$D24</f>
        <v>1901</v>
      </c>
      <c r="D98" s="1">
        <f>LM!$D24</f>
        <v>73</v>
      </c>
      <c r="F98" s="1">
        <v>5</v>
      </c>
      <c r="G98" s="1">
        <v>86</v>
      </c>
      <c r="H98" s="1">
        <f>'Firm Retail'!$F19</f>
        <v>1867</v>
      </c>
      <c r="I98" s="1">
        <f>LM!$F19</f>
        <v>41</v>
      </c>
    </row>
    <row r="99" spans="1:9">
      <c r="A99" s="1">
        <v>11</v>
      </c>
      <c r="B99" s="1">
        <v>91</v>
      </c>
      <c r="C99" s="1">
        <f>'Firm Retail'!$L24</f>
        <v>2005</v>
      </c>
      <c r="D99" s="1">
        <f>LM!$L24</f>
        <v>83</v>
      </c>
      <c r="F99" s="1">
        <v>6</v>
      </c>
      <c r="G99" s="1">
        <v>86</v>
      </c>
      <c r="H99" s="1">
        <f>'Firm Retail'!$G19</f>
        <v>1923</v>
      </c>
      <c r="I99" s="1">
        <f>LM!$G19</f>
        <v>35</v>
      </c>
    </row>
    <row r="100" spans="1:9">
      <c r="A100" s="1">
        <v>12</v>
      </c>
      <c r="B100" s="1">
        <v>91</v>
      </c>
      <c r="C100" s="1">
        <f>'Firm Retail'!$M24</f>
        <v>2007</v>
      </c>
      <c r="D100" s="1">
        <f>LM!$M24</f>
        <v>100</v>
      </c>
      <c r="F100" s="1">
        <v>7</v>
      </c>
      <c r="G100" s="1">
        <v>86</v>
      </c>
      <c r="H100" s="1">
        <f>'Firm Retail'!$H19</f>
        <v>1945</v>
      </c>
      <c r="I100" s="1">
        <f>LM!$H19</f>
        <v>32</v>
      </c>
    </row>
    <row r="101" spans="1:9">
      <c r="A101" s="102">
        <v>1</v>
      </c>
      <c r="B101" s="102">
        <v>92</v>
      </c>
      <c r="C101" s="3">
        <f>'Firm Retail'!$B25</f>
        <v>2316</v>
      </c>
      <c r="D101" s="3">
        <f>LM!$B25</f>
        <v>152</v>
      </c>
      <c r="E101" s="3"/>
      <c r="F101" s="81">
        <v>8</v>
      </c>
      <c r="G101" s="81">
        <v>86</v>
      </c>
      <c r="H101" s="3">
        <f>'Firm Retail'!$I19</f>
        <v>2012</v>
      </c>
      <c r="I101" s="3">
        <f>LM!$I19</f>
        <v>37</v>
      </c>
    </row>
    <row r="102" spans="1:9">
      <c r="A102" s="1">
        <v>2</v>
      </c>
      <c r="B102" s="1">
        <v>92</v>
      </c>
      <c r="C102" s="1">
        <f>'Firm Retail'!$C25</f>
        <v>1733</v>
      </c>
      <c r="D102" s="1">
        <f>LM!$C25</f>
        <v>114</v>
      </c>
      <c r="F102" s="1">
        <v>9</v>
      </c>
      <c r="G102" s="1">
        <v>86</v>
      </c>
      <c r="H102" s="1">
        <f>'Firm Retail'!$J19</f>
        <v>1927</v>
      </c>
      <c r="I102" s="1">
        <f>LM!$J19</f>
        <v>43</v>
      </c>
    </row>
    <row r="103" spans="1:9">
      <c r="A103" s="1">
        <v>3</v>
      </c>
      <c r="B103" s="1">
        <v>92</v>
      </c>
      <c r="C103" s="1">
        <f>'Firm Retail'!$D25</f>
        <v>1730</v>
      </c>
      <c r="D103" s="1">
        <f>LM!$D25</f>
        <v>58</v>
      </c>
      <c r="F103" s="1">
        <v>10</v>
      </c>
      <c r="G103" s="1">
        <v>86</v>
      </c>
      <c r="H103" s="1">
        <f>'Firm Retail'!$K19</f>
        <v>1984</v>
      </c>
      <c r="I103" s="1">
        <f>LM!$K19</f>
        <v>45</v>
      </c>
    </row>
    <row r="104" spans="1:9">
      <c r="A104" s="1">
        <v>11</v>
      </c>
      <c r="B104" s="1">
        <v>92</v>
      </c>
      <c r="C104" s="1">
        <f>'Firm Retail'!$L25</f>
        <v>1947</v>
      </c>
      <c r="D104" s="1">
        <f>LM!$L25</f>
        <v>28</v>
      </c>
      <c r="F104" s="1">
        <v>4</v>
      </c>
      <c r="G104" s="1">
        <v>87</v>
      </c>
      <c r="H104" s="1">
        <f>'Firm Retail'!$E20</f>
        <v>1678</v>
      </c>
      <c r="I104" s="1">
        <f>LM!$E20</f>
        <v>18</v>
      </c>
    </row>
    <row r="105" spans="1:9">
      <c r="A105" s="1">
        <v>12</v>
      </c>
      <c r="B105" s="1">
        <v>92</v>
      </c>
      <c r="C105" s="1">
        <f>'Firm Retail'!$M25</f>
        <v>1831</v>
      </c>
      <c r="D105" s="1">
        <f>LM!$M25</f>
        <v>119</v>
      </c>
      <c r="F105" s="1">
        <v>5</v>
      </c>
      <c r="G105" s="1">
        <v>87</v>
      </c>
      <c r="H105" s="1">
        <f>'Firm Retail'!$F20</f>
        <v>1751</v>
      </c>
      <c r="I105" s="1">
        <f>LM!$F20</f>
        <v>44</v>
      </c>
    </row>
    <row r="106" spans="1:9">
      <c r="A106" s="1">
        <v>1</v>
      </c>
      <c r="B106" s="1">
        <v>93</v>
      </c>
      <c r="C106" s="1">
        <f>'Firm Retail'!$B26</f>
        <v>1949</v>
      </c>
      <c r="D106" s="1">
        <f>LM!$B26</f>
        <v>139</v>
      </c>
      <c r="F106" s="1">
        <v>6</v>
      </c>
      <c r="G106" s="1">
        <v>87</v>
      </c>
      <c r="H106" s="1">
        <f>'Firm Retail'!$G20</f>
        <v>2039</v>
      </c>
      <c r="I106" s="1">
        <f>LM!$G20</f>
        <v>48</v>
      </c>
    </row>
    <row r="107" spans="1:9">
      <c r="A107" s="1">
        <v>2</v>
      </c>
      <c r="B107" s="1">
        <v>93</v>
      </c>
      <c r="C107" s="1">
        <f>'Firm Retail'!$C26</f>
        <v>2050</v>
      </c>
      <c r="D107" s="1">
        <f>LM!$C26</f>
        <v>158</v>
      </c>
      <c r="F107" s="1">
        <v>7</v>
      </c>
      <c r="G107" s="1">
        <v>87</v>
      </c>
      <c r="H107" s="1">
        <f>'Firm Retail'!$H20</f>
        <v>2080</v>
      </c>
      <c r="I107" s="1">
        <f>LM!$H20</f>
        <v>57</v>
      </c>
    </row>
    <row r="108" spans="1:9">
      <c r="A108" s="102">
        <v>3</v>
      </c>
      <c r="B108" s="102">
        <v>93</v>
      </c>
      <c r="C108" s="3">
        <f>'Firm Retail'!$D26</f>
        <v>2370</v>
      </c>
      <c r="D108" s="3">
        <f>LM!$D26</f>
        <v>172</v>
      </c>
      <c r="E108" s="3"/>
      <c r="F108" s="81">
        <v>8</v>
      </c>
      <c r="G108" s="81">
        <v>87</v>
      </c>
      <c r="H108" s="3">
        <f>'Firm Retail'!$I20</f>
        <v>2154</v>
      </c>
      <c r="I108" s="3">
        <f>LM!$I20</f>
        <v>59</v>
      </c>
    </row>
    <row r="109" spans="1:9">
      <c r="A109" s="1">
        <v>11</v>
      </c>
      <c r="B109" s="1">
        <v>93</v>
      </c>
      <c r="C109" s="1">
        <f>'Firm Retail'!$L26</f>
        <v>1945</v>
      </c>
      <c r="D109" s="1">
        <f>LM!$L26</f>
        <v>36</v>
      </c>
      <c r="F109" s="1">
        <v>9</v>
      </c>
      <c r="G109" s="1">
        <v>87</v>
      </c>
      <c r="H109" s="1">
        <f>'Firm Retail'!$J20</f>
        <v>2080</v>
      </c>
      <c r="I109" s="1">
        <f>LM!$J20</f>
        <v>49</v>
      </c>
    </row>
    <row r="110" spans="1:9">
      <c r="A110" s="1">
        <v>12</v>
      </c>
      <c r="B110" s="1">
        <v>93</v>
      </c>
      <c r="C110" s="1">
        <f>'Firm Retail'!$M26</f>
        <v>2207</v>
      </c>
      <c r="D110" s="1">
        <f>LM!$M26</f>
        <v>142</v>
      </c>
      <c r="F110" s="1">
        <v>10</v>
      </c>
      <c r="G110" s="1">
        <v>87</v>
      </c>
      <c r="H110" s="1">
        <f>'Firm Retail'!$K20</f>
        <v>1651</v>
      </c>
      <c r="I110" s="1">
        <f>LM!$K20</f>
        <v>43</v>
      </c>
    </row>
    <row r="111" spans="1:9">
      <c r="A111" s="1">
        <v>1</v>
      </c>
      <c r="B111" s="1">
        <v>94</v>
      </c>
      <c r="C111" s="1">
        <f>'Firm Retail'!$B27</f>
        <v>2238</v>
      </c>
      <c r="D111" s="1">
        <f>LM!$B27</f>
        <v>150</v>
      </c>
      <c r="F111" s="1">
        <v>4</v>
      </c>
      <c r="G111" s="1">
        <v>88</v>
      </c>
      <c r="H111" s="1">
        <f>'Firm Retail'!$E21</f>
        <v>1739</v>
      </c>
      <c r="I111" s="1">
        <f>LM!$E21</f>
        <v>44</v>
      </c>
    </row>
    <row r="112" spans="1:9">
      <c r="A112" s="102">
        <v>2</v>
      </c>
      <c r="B112" s="102">
        <v>94</v>
      </c>
      <c r="C112" s="3">
        <f>'Firm Retail'!$C27</f>
        <v>2303</v>
      </c>
      <c r="D112" s="3">
        <f>LM!$C27</f>
        <v>184</v>
      </c>
      <c r="E112" s="3"/>
      <c r="F112" s="3">
        <v>5</v>
      </c>
      <c r="G112" s="3">
        <v>88</v>
      </c>
      <c r="H112" s="3">
        <f>'Firm Retail'!$F21</f>
        <v>1992</v>
      </c>
      <c r="I112" s="3">
        <f>LM!$F21</f>
        <v>57</v>
      </c>
    </row>
    <row r="113" spans="1:9">
      <c r="A113" s="1">
        <v>3</v>
      </c>
      <c r="B113" s="1">
        <v>94</v>
      </c>
      <c r="C113" s="1">
        <f>'Firm Retail'!$D27</f>
        <v>2058</v>
      </c>
      <c r="D113" s="1">
        <f>LM!$D27</f>
        <v>31</v>
      </c>
      <c r="F113" s="1">
        <v>6</v>
      </c>
      <c r="G113" s="1">
        <v>88</v>
      </c>
      <c r="H113" s="1">
        <f>'Firm Retail'!$G21</f>
        <v>2076</v>
      </c>
      <c r="I113" s="1">
        <f>LM!$G21</f>
        <v>54</v>
      </c>
    </row>
    <row r="114" spans="1:9">
      <c r="A114" s="3">
        <v>11</v>
      </c>
      <c r="B114" s="3">
        <v>94</v>
      </c>
      <c r="C114" s="3">
        <f>'Firm Retail'!$L27</f>
        <v>1993</v>
      </c>
      <c r="D114" s="3">
        <f>LM!$L27</f>
        <v>38</v>
      </c>
      <c r="E114" s="3"/>
      <c r="F114" s="81">
        <v>7</v>
      </c>
      <c r="G114" s="81">
        <v>88</v>
      </c>
      <c r="H114" s="3">
        <f>'Firm Retail'!$H21</f>
        <v>2179</v>
      </c>
      <c r="I114" s="3">
        <f>LM!$H21</f>
        <v>76</v>
      </c>
    </row>
    <row r="115" spans="1:9">
      <c r="A115" s="1">
        <v>12</v>
      </c>
      <c r="B115" s="1">
        <v>94</v>
      </c>
      <c r="C115" s="1">
        <f>'Firm Retail'!$M27</f>
        <v>1777</v>
      </c>
      <c r="D115" s="1">
        <f>LM!$M27</f>
        <v>42</v>
      </c>
      <c r="F115" s="1">
        <v>8</v>
      </c>
      <c r="G115" s="1">
        <v>88</v>
      </c>
      <c r="H115" s="1">
        <f>'Firm Retail'!$I21</f>
        <v>2135</v>
      </c>
      <c r="I115" s="1">
        <f>LM!$I21</f>
        <v>65</v>
      </c>
    </row>
    <row r="116" spans="1:9">
      <c r="A116" s="1">
        <v>1</v>
      </c>
      <c r="B116" s="1">
        <v>95</v>
      </c>
      <c r="C116" s="1">
        <f>'Firm Retail'!$B28</f>
        <v>2369</v>
      </c>
      <c r="D116" s="1">
        <f>LM!$B28</f>
        <v>179</v>
      </c>
      <c r="F116" s="1">
        <v>9</v>
      </c>
      <c r="G116" s="1">
        <v>88</v>
      </c>
      <c r="H116" s="1">
        <f>'Firm Retail'!$J21</f>
        <v>2079</v>
      </c>
      <c r="I116" s="1">
        <f>LM!$J21</f>
        <v>59</v>
      </c>
    </row>
    <row r="117" spans="1:9">
      <c r="A117" s="102">
        <v>2</v>
      </c>
      <c r="B117" s="102">
        <v>95</v>
      </c>
      <c r="C117" s="3">
        <f>'Firm Retail'!$C28</f>
        <v>2695</v>
      </c>
      <c r="D117" s="3">
        <f>LM!$C28</f>
        <v>235</v>
      </c>
      <c r="E117" s="3"/>
      <c r="F117" s="3">
        <v>10</v>
      </c>
      <c r="G117" s="3">
        <v>88</v>
      </c>
      <c r="H117" s="3">
        <f>'Firm Retail'!$K21</f>
        <v>1858</v>
      </c>
      <c r="I117" s="3">
        <f>LM!$K21</f>
        <v>60</v>
      </c>
    </row>
    <row r="118" spans="1:9">
      <c r="A118" s="1">
        <v>3</v>
      </c>
      <c r="B118" s="1">
        <v>95</v>
      </c>
      <c r="C118" s="1">
        <f>'Firm Retail'!$D28</f>
        <v>1801</v>
      </c>
      <c r="D118" s="1">
        <f>LM!$D28</f>
        <v>122</v>
      </c>
      <c r="F118" s="1">
        <v>4</v>
      </c>
      <c r="G118" s="1">
        <v>89</v>
      </c>
      <c r="H118" s="1">
        <f>'Firm Retail'!$E22</f>
        <v>1747</v>
      </c>
      <c r="I118" s="1">
        <f>LM!$E22</f>
        <v>51</v>
      </c>
    </row>
    <row r="119" spans="1:9">
      <c r="A119" s="1">
        <v>11</v>
      </c>
      <c r="B119" s="1">
        <v>95</v>
      </c>
      <c r="C119" s="1">
        <f>'Firm Retail'!$L28</f>
        <v>2137</v>
      </c>
      <c r="D119" s="1">
        <f>LM!$L28</f>
        <v>30</v>
      </c>
      <c r="F119" s="1">
        <v>5</v>
      </c>
      <c r="G119" s="1">
        <v>89</v>
      </c>
      <c r="H119" s="1">
        <f>'Firm Retail'!$F22</f>
        <v>2088</v>
      </c>
      <c r="I119" s="1">
        <f>LM!$F22</f>
        <v>80</v>
      </c>
    </row>
    <row r="120" spans="1:9">
      <c r="A120" s="1">
        <v>12</v>
      </c>
      <c r="B120" s="1">
        <v>95</v>
      </c>
      <c r="C120" s="1">
        <f>'Firm Retail'!$M28</f>
        <v>2255</v>
      </c>
      <c r="D120" s="1">
        <f>LM!$M28</f>
        <v>207</v>
      </c>
      <c r="F120" s="1">
        <v>6</v>
      </c>
      <c r="G120" s="1">
        <v>89</v>
      </c>
      <c r="H120" s="1">
        <f>'Firm Retail'!$G22</f>
        <v>2204</v>
      </c>
      <c r="I120" s="1">
        <f>LM!$G22</f>
        <v>81</v>
      </c>
    </row>
    <row r="121" spans="1:9">
      <c r="A121" s="1">
        <v>1</v>
      </c>
      <c r="B121" s="1">
        <v>96</v>
      </c>
      <c r="C121" s="1">
        <f>'Firm Retail'!$B29</f>
        <v>2870</v>
      </c>
      <c r="D121" s="1">
        <f>LM!$B29</f>
        <v>213</v>
      </c>
      <c r="F121" s="1">
        <v>7</v>
      </c>
      <c r="G121" s="1">
        <v>89</v>
      </c>
      <c r="H121" s="1">
        <f>'Firm Retail'!$H22</f>
        <v>2188</v>
      </c>
      <c r="I121" s="1">
        <f>LM!$H22</f>
        <v>81</v>
      </c>
    </row>
    <row r="122" spans="1:9">
      <c r="A122" s="102">
        <v>2</v>
      </c>
      <c r="B122" s="102">
        <v>96</v>
      </c>
      <c r="C122" s="3">
        <f>'Firm Retail'!$C29</f>
        <v>2946</v>
      </c>
      <c r="D122" s="3">
        <f>LM!$C29</f>
        <v>253</v>
      </c>
      <c r="E122" s="3"/>
      <c r="F122" s="81">
        <v>8</v>
      </c>
      <c r="G122" s="81">
        <v>89</v>
      </c>
      <c r="H122" s="3">
        <f>'Firm Retail'!$I22</f>
        <v>2233</v>
      </c>
      <c r="I122" s="3">
        <f>LM!$I22</f>
        <v>78</v>
      </c>
    </row>
    <row r="123" spans="1:9">
      <c r="A123" s="1">
        <v>3</v>
      </c>
      <c r="B123" s="1">
        <v>96</v>
      </c>
      <c r="C123" s="1">
        <f>'Firm Retail'!$D29</f>
        <v>2278</v>
      </c>
      <c r="D123" s="1">
        <f>LM!$D29</f>
        <v>197</v>
      </c>
      <c r="F123" s="1">
        <v>9</v>
      </c>
      <c r="G123" s="1">
        <v>89</v>
      </c>
      <c r="H123" s="1">
        <f>'Firm Retail'!$J22</f>
        <v>2161</v>
      </c>
      <c r="I123" s="1">
        <f>LM!$J22</f>
        <v>63</v>
      </c>
    </row>
    <row r="124" spans="1:9">
      <c r="A124" s="1">
        <v>11</v>
      </c>
      <c r="B124" s="1">
        <v>96</v>
      </c>
      <c r="C124" s="1">
        <f>'Firm Retail'!$L29</f>
        <v>2151</v>
      </c>
      <c r="D124" s="1">
        <f>LM!$L29</f>
        <v>45</v>
      </c>
      <c r="F124" s="1">
        <v>10</v>
      </c>
      <c r="G124" s="1">
        <v>89</v>
      </c>
      <c r="H124" s="1">
        <f>'Firm Retail'!$K22</f>
        <v>1978</v>
      </c>
      <c r="I124" s="1">
        <f>LM!$K22</f>
        <v>65</v>
      </c>
    </row>
    <row r="125" spans="1:9">
      <c r="A125" s="1">
        <v>12</v>
      </c>
      <c r="B125" s="1">
        <v>96</v>
      </c>
      <c r="C125" s="1">
        <f>'Firm Retail'!$M29</f>
        <v>2541</v>
      </c>
      <c r="D125" s="1">
        <f>LM!$M29</f>
        <v>227</v>
      </c>
      <c r="F125" s="1">
        <v>4</v>
      </c>
      <c r="G125" s="1">
        <v>90</v>
      </c>
      <c r="H125" s="1">
        <f>'Firm Retail'!$E23</f>
        <v>1930</v>
      </c>
      <c r="I125" s="1">
        <f>LM!$E23</f>
        <v>65</v>
      </c>
    </row>
    <row r="126" spans="1:9">
      <c r="A126" s="102">
        <v>1</v>
      </c>
      <c r="B126" s="102">
        <v>97</v>
      </c>
      <c r="C126" s="3">
        <f>'Firm Retail'!$B30</f>
        <v>2719</v>
      </c>
      <c r="D126" s="3">
        <f>LM!$B30</f>
        <v>171</v>
      </c>
      <c r="E126" s="3"/>
      <c r="F126" s="3">
        <v>5</v>
      </c>
      <c r="G126" s="3">
        <v>90</v>
      </c>
      <c r="H126" s="3">
        <f>'Firm Retail'!$F23</f>
        <v>2135</v>
      </c>
      <c r="I126" s="3">
        <f>LM!$F23</f>
        <v>76</v>
      </c>
    </row>
    <row r="127" spans="1:9">
      <c r="A127" s="1">
        <v>2</v>
      </c>
      <c r="B127" s="1">
        <v>97</v>
      </c>
      <c r="C127" s="1">
        <f>'Firm Retail'!$C30</f>
        <v>1989</v>
      </c>
      <c r="D127" s="1">
        <f>LM!$C30</f>
        <v>168</v>
      </c>
      <c r="F127" s="1">
        <v>6</v>
      </c>
      <c r="G127" s="1">
        <v>90</v>
      </c>
      <c r="H127" s="1">
        <f>'Firm Retail'!$G23</f>
        <v>2252</v>
      </c>
      <c r="I127" s="1">
        <f>LM!$G23</f>
        <v>71</v>
      </c>
    </row>
    <row r="128" spans="1:9">
      <c r="A128" s="1">
        <v>3</v>
      </c>
      <c r="B128" s="1">
        <v>97</v>
      </c>
      <c r="C128" s="1">
        <f>'Firm Retail'!$D30</f>
        <v>2054</v>
      </c>
      <c r="D128" s="1">
        <f>LM!$D30</f>
        <v>48</v>
      </c>
      <c r="F128" s="1">
        <v>7</v>
      </c>
      <c r="G128" s="1">
        <v>90</v>
      </c>
      <c r="H128" s="1">
        <f>'Firm Retail'!$H23</f>
        <v>2214</v>
      </c>
      <c r="I128" s="1">
        <f>LM!$H23</f>
        <v>69</v>
      </c>
    </row>
    <row r="129" spans="1:9">
      <c r="A129" s="3">
        <v>11</v>
      </c>
      <c r="B129" s="3">
        <v>97</v>
      </c>
      <c r="C129" s="3">
        <f>'Firm Retail'!$L30</f>
        <v>1808</v>
      </c>
      <c r="D129" s="3">
        <f>LM!$L30</f>
        <v>46</v>
      </c>
      <c r="E129" s="3"/>
      <c r="F129" s="81">
        <v>8</v>
      </c>
      <c r="G129" s="81">
        <v>90</v>
      </c>
      <c r="H129" s="3">
        <f>'Firm Retail'!$I23</f>
        <v>2279</v>
      </c>
      <c r="I129" s="3">
        <f>LM!$I23</f>
        <v>68</v>
      </c>
    </row>
    <row r="130" spans="1:9">
      <c r="A130" s="1">
        <v>12</v>
      </c>
      <c r="B130" s="1">
        <v>97</v>
      </c>
      <c r="C130" s="1">
        <f>'Firm Retail'!$M30</f>
        <v>2175</v>
      </c>
      <c r="D130" s="1">
        <f>LM!$M30</f>
        <v>85</v>
      </c>
      <c r="F130" s="1">
        <v>9</v>
      </c>
      <c r="G130" s="1">
        <v>90</v>
      </c>
      <c r="H130" s="1">
        <f>'Firm Retail'!$J23</f>
        <v>2216</v>
      </c>
      <c r="I130" s="1">
        <f>LM!$J23</f>
        <v>74</v>
      </c>
    </row>
    <row r="131" spans="1:9">
      <c r="A131" s="1">
        <v>1</v>
      </c>
      <c r="B131" s="1">
        <v>98</v>
      </c>
      <c r="C131" s="1">
        <f>'Firm Retail'!$B31</f>
        <v>2001</v>
      </c>
      <c r="D131" s="1">
        <f>LM!$B31</f>
        <v>132</v>
      </c>
      <c r="F131" s="1">
        <v>10</v>
      </c>
      <c r="G131" s="1">
        <v>90</v>
      </c>
      <c r="H131" s="1">
        <f>'Firm Retail'!$K23</f>
        <v>2187</v>
      </c>
      <c r="I131" s="1">
        <f>LM!$K23</f>
        <v>66</v>
      </c>
    </row>
    <row r="132" spans="1:9">
      <c r="A132" s="102">
        <v>2</v>
      </c>
      <c r="B132" s="102">
        <v>98</v>
      </c>
      <c r="C132" s="3">
        <f>'Firm Retail'!$C31</f>
        <v>2184</v>
      </c>
      <c r="D132" s="3">
        <f>LM!$C31</f>
        <v>150</v>
      </c>
      <c r="E132" s="3"/>
      <c r="F132" s="3">
        <v>4</v>
      </c>
      <c r="G132" s="3">
        <v>91</v>
      </c>
      <c r="H132" s="3">
        <f>'Firm Retail'!$E24</f>
        <v>2165</v>
      </c>
      <c r="I132" s="3">
        <f>LM!$E24</f>
        <v>69</v>
      </c>
    </row>
    <row r="133" spans="1:9">
      <c r="A133" s="1">
        <v>3</v>
      </c>
      <c r="B133" s="1">
        <v>98</v>
      </c>
      <c r="C133" s="1">
        <f>'Firm Retail'!$D31</f>
        <v>2332</v>
      </c>
      <c r="D133" s="1">
        <f>LM!$D31</f>
        <v>168</v>
      </c>
      <c r="F133" s="1">
        <v>5</v>
      </c>
      <c r="G133" s="1">
        <v>91</v>
      </c>
      <c r="H133" s="1">
        <f>'Firm Retail'!$F24</f>
        <v>2120</v>
      </c>
      <c r="I133" s="1">
        <f>LM!$F24</f>
        <v>68</v>
      </c>
    </row>
    <row r="134" spans="1:9">
      <c r="A134" s="1">
        <v>11</v>
      </c>
      <c r="B134" s="1">
        <v>98</v>
      </c>
      <c r="C134" s="1">
        <f>'Firm Retail'!$L31</f>
        <v>2189</v>
      </c>
      <c r="D134" s="1">
        <f>LM!$L31</f>
        <v>49</v>
      </c>
      <c r="F134" s="1">
        <v>6</v>
      </c>
      <c r="G134" s="1">
        <v>91</v>
      </c>
      <c r="H134" s="1">
        <f>'Firm Retail'!$G24</f>
        <v>2238</v>
      </c>
      <c r="I134" s="1">
        <f>LM!$G24</f>
        <v>57</v>
      </c>
    </row>
    <row r="135" spans="1:9">
      <c r="A135" s="1">
        <v>12</v>
      </c>
      <c r="B135" s="1">
        <v>98</v>
      </c>
      <c r="C135" s="1">
        <f>'Firm Retail'!$M31</f>
        <v>2064</v>
      </c>
      <c r="D135" s="1">
        <f>LM!$M31</f>
        <v>167</v>
      </c>
      <c r="F135" s="1">
        <v>7</v>
      </c>
      <c r="G135" s="1">
        <v>91</v>
      </c>
      <c r="H135" s="1">
        <f>'Firm Retail'!$H24</f>
        <v>2317</v>
      </c>
      <c r="I135" s="1">
        <f>LM!$H24</f>
        <v>64</v>
      </c>
    </row>
    <row r="136" spans="1:9">
      <c r="A136" s="3">
        <v>1</v>
      </c>
      <c r="B136" s="3">
        <v>99</v>
      </c>
      <c r="C136" s="3">
        <f>'Firm Retail'!$B32</f>
        <v>2990</v>
      </c>
      <c r="D136" s="3">
        <f>LM!$B32</f>
        <v>267</v>
      </c>
      <c r="E136" s="3"/>
      <c r="F136" s="81">
        <v>8</v>
      </c>
      <c r="G136" s="81">
        <v>91</v>
      </c>
      <c r="H136" s="3">
        <f>'Firm Retail'!$I24</f>
        <v>2341</v>
      </c>
      <c r="I136" s="3">
        <f>LM!$I24</f>
        <v>72</v>
      </c>
    </row>
    <row r="137" spans="1:9">
      <c r="A137" s="1">
        <v>2</v>
      </c>
      <c r="B137" s="1">
        <v>99</v>
      </c>
      <c r="C137" s="1">
        <f>'Firm Retail'!$C32</f>
        <v>2386</v>
      </c>
      <c r="D137" s="1">
        <f>LM!$C32</f>
        <v>169</v>
      </c>
      <c r="F137" s="1">
        <v>9</v>
      </c>
      <c r="G137" s="1">
        <v>91</v>
      </c>
      <c r="H137" s="1">
        <f>'Firm Retail'!$J24</f>
        <v>2321</v>
      </c>
      <c r="I137" s="1">
        <f>LM!$J24</f>
        <v>64</v>
      </c>
    </row>
    <row r="138" spans="1:9">
      <c r="A138" s="1">
        <v>3</v>
      </c>
      <c r="B138" s="1">
        <v>99</v>
      </c>
      <c r="C138" s="1">
        <f>'Firm Retail'!$D32</f>
        <v>2084</v>
      </c>
      <c r="D138" s="1">
        <f>LM!$D32</f>
        <v>138</v>
      </c>
      <c r="F138" s="1">
        <v>10</v>
      </c>
      <c r="G138" s="1">
        <v>91</v>
      </c>
      <c r="H138" s="1">
        <f>'Firm Retail'!$K24</f>
        <v>2059</v>
      </c>
      <c r="I138" s="1">
        <f>LM!$K24</f>
        <v>53</v>
      </c>
    </row>
    <row r="139" spans="1:9">
      <c r="A139" s="1">
        <v>11</v>
      </c>
      <c r="B139" s="1">
        <v>99</v>
      </c>
      <c r="C139" s="1">
        <f>'Firm Retail'!$L32</f>
        <v>2086</v>
      </c>
      <c r="D139" s="1">
        <f>LM!$L32</f>
        <v>53</v>
      </c>
      <c r="F139" s="1">
        <v>4</v>
      </c>
      <c r="G139" s="1">
        <v>92</v>
      </c>
      <c r="H139" s="1">
        <f>'Firm Retail'!$E25</f>
        <v>1813</v>
      </c>
      <c r="I139" s="1">
        <f>LM!$E25</f>
        <v>67</v>
      </c>
    </row>
    <row r="140" spans="1:9">
      <c r="A140" s="1">
        <v>12</v>
      </c>
      <c r="B140" s="1">
        <v>99</v>
      </c>
      <c r="C140" s="1">
        <f>'Firm Retail'!$M32</f>
        <v>2250</v>
      </c>
      <c r="D140" s="1">
        <f>LM!$M32</f>
        <v>191</v>
      </c>
      <c r="F140" s="1">
        <v>5</v>
      </c>
      <c r="G140" s="1">
        <v>92</v>
      </c>
      <c r="H140" s="1">
        <f>'Firm Retail'!$F25</f>
        <v>2015</v>
      </c>
      <c r="I140" s="1">
        <f>LM!$F25</f>
        <v>71</v>
      </c>
    </row>
    <row r="141" spans="1:9">
      <c r="A141" s="3">
        <v>1</v>
      </c>
      <c r="B141" s="10" t="s">
        <v>1</v>
      </c>
      <c r="C141" s="3">
        <f>'Firm Retail'!$B33</f>
        <v>3009</v>
      </c>
      <c r="D141" s="3">
        <f>LM!$B33</f>
        <v>215</v>
      </c>
      <c r="E141" s="3"/>
      <c r="F141" s="3">
        <v>6</v>
      </c>
      <c r="G141" s="3">
        <v>92</v>
      </c>
      <c r="H141" s="3">
        <f>'Firm Retail'!$G25</f>
        <v>2328</v>
      </c>
      <c r="I141" s="3">
        <f>LM!$G25</f>
        <v>81</v>
      </c>
    </row>
    <row r="142" spans="1:9">
      <c r="A142" s="3">
        <v>2</v>
      </c>
      <c r="B142" s="10" t="s">
        <v>1</v>
      </c>
      <c r="C142" s="3">
        <f>'Firm Retail'!$C33</f>
        <v>2536</v>
      </c>
      <c r="D142" s="3">
        <f>LM!$C33</f>
        <v>101</v>
      </c>
      <c r="E142" s="3"/>
      <c r="F142" s="81">
        <v>7</v>
      </c>
      <c r="G142" s="81">
        <v>92</v>
      </c>
      <c r="H142" s="3">
        <f>'Firm Retail'!$H25</f>
        <v>2401</v>
      </c>
      <c r="I142" s="3">
        <f>LM!$H25</f>
        <v>80</v>
      </c>
    </row>
    <row r="143" spans="1:9">
      <c r="A143" s="3">
        <v>3</v>
      </c>
      <c r="B143" s="10" t="s">
        <v>1</v>
      </c>
      <c r="C143" s="3">
        <f>'Firm Retail'!$D33</f>
        <v>2392</v>
      </c>
      <c r="D143" s="3">
        <f>LM!$D33</f>
        <v>43</v>
      </c>
      <c r="E143" s="3"/>
      <c r="F143" s="3">
        <v>8</v>
      </c>
      <c r="G143" s="3">
        <v>92</v>
      </c>
      <c r="H143" s="3">
        <f>'Firm Retail'!$I25</f>
        <v>2349</v>
      </c>
      <c r="I143" s="3">
        <f>LM!$I25</f>
        <v>83</v>
      </c>
    </row>
    <row r="144" spans="1:9">
      <c r="A144" s="3">
        <v>11</v>
      </c>
      <c r="B144" s="10" t="s">
        <v>1</v>
      </c>
      <c r="C144" s="28">
        <f>'Firm Retail'!$L33</f>
        <v>2297.63</v>
      </c>
      <c r="D144" s="3">
        <f>LM!$L33</f>
        <v>170</v>
      </c>
      <c r="E144" s="3"/>
      <c r="F144" s="3">
        <v>9</v>
      </c>
      <c r="G144" s="3">
        <v>92</v>
      </c>
      <c r="H144" s="3">
        <f>'Firm Retail'!$J25</f>
        <v>2259</v>
      </c>
      <c r="I144" s="3">
        <f>LM!$J25</f>
        <v>74</v>
      </c>
    </row>
    <row r="145" spans="1:9">
      <c r="A145" s="3">
        <v>12</v>
      </c>
      <c r="B145" s="10" t="s">
        <v>1</v>
      </c>
      <c r="C145" s="28">
        <f>'Firm Retail'!$M33</f>
        <v>2972.8168999999998</v>
      </c>
      <c r="D145" s="3">
        <f>LM!$M33</f>
        <v>200</v>
      </c>
      <c r="E145" s="3"/>
      <c r="F145" s="3">
        <v>10</v>
      </c>
      <c r="G145" s="3">
        <v>92</v>
      </c>
      <c r="H145" s="3">
        <f>'Firm Retail'!$K25</f>
        <v>1925</v>
      </c>
      <c r="I145" s="3">
        <f>LM!$K25</f>
        <v>60</v>
      </c>
    </row>
    <row r="146" spans="1:9">
      <c r="F146" s="1">
        <v>4</v>
      </c>
      <c r="G146" s="1">
        <v>93</v>
      </c>
      <c r="H146" s="1">
        <f>'Firm Retail'!$E26</f>
        <v>1674</v>
      </c>
      <c r="I146" s="1">
        <f>LM!$E26</f>
        <v>71</v>
      </c>
    </row>
    <row r="147" spans="1:9">
      <c r="F147" s="1">
        <v>5</v>
      </c>
      <c r="G147" s="1">
        <v>93</v>
      </c>
      <c r="H147" s="1">
        <f>'Firm Retail'!$F26</f>
        <v>2024</v>
      </c>
      <c r="I147" s="1">
        <f>LM!$F26</f>
        <v>67</v>
      </c>
    </row>
    <row r="148" spans="1:9">
      <c r="F148" s="1">
        <v>6</v>
      </c>
      <c r="G148" s="1">
        <v>93</v>
      </c>
      <c r="H148" s="1">
        <f>'Firm Retail'!$G26</f>
        <v>2411</v>
      </c>
      <c r="I148" s="1">
        <f>LM!$G26</f>
        <v>95</v>
      </c>
    </row>
    <row r="149" spans="1:9">
      <c r="F149" s="1">
        <v>7</v>
      </c>
      <c r="G149" s="1">
        <v>93</v>
      </c>
      <c r="H149" s="1">
        <f>'Firm Retail'!$H26</f>
        <v>2458</v>
      </c>
      <c r="I149" s="1">
        <f>LM!$H26</f>
        <v>86</v>
      </c>
    </row>
    <row r="150" spans="1:9">
      <c r="A150" s="3"/>
      <c r="B150" s="3"/>
      <c r="C150" s="3"/>
      <c r="D150" s="3"/>
      <c r="E150" s="3"/>
      <c r="F150" s="81">
        <v>8</v>
      </c>
      <c r="G150" s="81">
        <v>93</v>
      </c>
      <c r="H150" s="3">
        <f>'Firm Retail'!$I26</f>
        <v>2492</v>
      </c>
      <c r="I150" s="3">
        <f>LM!$I26</f>
        <v>95</v>
      </c>
    </row>
    <row r="151" spans="1:9">
      <c r="F151" s="1">
        <v>9</v>
      </c>
      <c r="G151" s="1">
        <v>93</v>
      </c>
      <c r="H151" s="1">
        <f>'Firm Retail'!$J26</f>
        <v>2359</v>
      </c>
      <c r="I151" s="1">
        <f>LM!$J26</f>
        <v>88</v>
      </c>
    </row>
    <row r="152" spans="1:9">
      <c r="F152" s="1">
        <v>10</v>
      </c>
      <c r="G152" s="1">
        <v>93</v>
      </c>
      <c r="H152" s="1">
        <f>'Firm Retail'!$K26</f>
        <v>2154</v>
      </c>
      <c r="I152" s="1">
        <f>LM!$K26</f>
        <v>86</v>
      </c>
    </row>
    <row r="153" spans="1:9">
      <c r="F153" s="1">
        <v>4</v>
      </c>
      <c r="G153" s="1">
        <v>94</v>
      </c>
      <c r="H153" s="1">
        <f>'Firm Retail'!$E27</f>
        <v>2094</v>
      </c>
      <c r="I153" s="1">
        <f>LM!$E27</f>
        <v>82</v>
      </c>
    </row>
    <row r="154" spans="1:9">
      <c r="F154" s="1">
        <v>5</v>
      </c>
      <c r="G154" s="1">
        <v>94</v>
      </c>
      <c r="H154" s="1">
        <f>'Firm Retail'!$F27</f>
        <v>2290</v>
      </c>
      <c r="I154" s="1">
        <f>LM!$F27</f>
        <v>93</v>
      </c>
    </row>
    <row r="155" spans="1:9">
      <c r="A155" s="3"/>
      <c r="B155" s="3"/>
      <c r="C155" s="3"/>
      <c r="D155" s="3"/>
      <c r="E155" s="3"/>
      <c r="F155" s="81">
        <v>6</v>
      </c>
      <c r="G155" s="81">
        <v>94</v>
      </c>
      <c r="H155" s="3">
        <f>'Firm Retail'!$G27</f>
        <v>2451</v>
      </c>
      <c r="I155" s="3">
        <f>LM!$G27</f>
        <v>105</v>
      </c>
    </row>
    <row r="156" spans="1:9">
      <c r="F156" s="1">
        <v>7</v>
      </c>
      <c r="G156" s="1">
        <v>94</v>
      </c>
      <c r="H156" s="1">
        <f>'Firm Retail'!$H27</f>
        <v>2369</v>
      </c>
      <c r="I156" s="1">
        <f>LM!$H27</f>
        <v>101</v>
      </c>
    </row>
    <row r="157" spans="1:9">
      <c r="F157" s="1">
        <v>8</v>
      </c>
      <c r="G157" s="1">
        <v>94</v>
      </c>
      <c r="H157" s="1">
        <f>'Firm Retail'!$I27</f>
        <v>2342</v>
      </c>
      <c r="I157" s="1">
        <f>LM!$I27</f>
        <v>94</v>
      </c>
    </row>
    <row r="158" spans="1:9">
      <c r="F158" s="1">
        <v>9</v>
      </c>
      <c r="G158" s="1">
        <v>94</v>
      </c>
      <c r="H158" s="1">
        <f>'Firm Retail'!$J27</f>
        <v>2341</v>
      </c>
      <c r="I158" s="1">
        <f>LM!$J27</f>
        <v>87</v>
      </c>
    </row>
    <row r="159" spans="1:9">
      <c r="F159" s="1">
        <v>10</v>
      </c>
      <c r="G159" s="1">
        <v>94</v>
      </c>
      <c r="H159" s="1">
        <f>'Firm Retail'!$K27</f>
        <v>2126</v>
      </c>
      <c r="I159" s="1">
        <f>LM!$K27</f>
        <v>75</v>
      </c>
    </row>
    <row r="160" spans="1:9">
      <c r="F160" s="1">
        <v>4</v>
      </c>
      <c r="G160" s="1">
        <v>95</v>
      </c>
      <c r="H160" s="1">
        <f>'Firm Retail'!$E28</f>
        <v>2202</v>
      </c>
      <c r="I160" s="1">
        <f>LM!$E28</f>
        <v>93</v>
      </c>
    </row>
    <row r="161" spans="1:9">
      <c r="F161" s="1">
        <v>5</v>
      </c>
      <c r="G161" s="1">
        <v>95</v>
      </c>
      <c r="H161" s="1">
        <f>'Firm Retail'!$F28</f>
        <v>2594</v>
      </c>
      <c r="I161" s="1">
        <f>LM!$F28</f>
        <v>108</v>
      </c>
    </row>
    <row r="162" spans="1:9">
      <c r="F162" s="1">
        <v>6</v>
      </c>
      <c r="G162" s="1">
        <v>95</v>
      </c>
      <c r="H162" s="1">
        <f>'Firm Retail'!$G28</f>
        <v>2532</v>
      </c>
      <c r="I162" s="1">
        <f>LM!$G28</f>
        <v>95</v>
      </c>
    </row>
    <row r="163" spans="1:9">
      <c r="F163" s="1">
        <v>7</v>
      </c>
      <c r="G163" s="1">
        <v>95</v>
      </c>
      <c r="H163" s="1">
        <f>'Firm Retail'!$H28</f>
        <v>2595</v>
      </c>
      <c r="I163" s="1">
        <f>LM!$H28</f>
        <v>100</v>
      </c>
    </row>
    <row r="164" spans="1:9">
      <c r="A164" s="3"/>
      <c r="B164" s="3"/>
      <c r="C164" s="3"/>
      <c r="D164" s="3"/>
      <c r="E164" s="3"/>
      <c r="F164" s="81">
        <v>8</v>
      </c>
      <c r="G164" s="81">
        <v>95</v>
      </c>
      <c r="H164" s="3">
        <f>'Firm Retail'!$I28</f>
        <v>2624</v>
      </c>
      <c r="I164" s="3">
        <f>LM!$I28</f>
        <v>106</v>
      </c>
    </row>
    <row r="165" spans="1:9">
      <c r="F165" s="1">
        <v>9</v>
      </c>
      <c r="G165" s="1">
        <v>95</v>
      </c>
      <c r="H165" s="1">
        <f>'Firm Retail'!$J28</f>
        <v>2507</v>
      </c>
      <c r="I165" s="1">
        <f>LM!$J28</f>
        <v>93</v>
      </c>
    </row>
    <row r="166" spans="1:9">
      <c r="F166" s="1">
        <v>10</v>
      </c>
      <c r="G166" s="1">
        <v>95</v>
      </c>
      <c r="H166" s="1">
        <f>'Firm Retail'!$K28</f>
        <v>2338</v>
      </c>
      <c r="I166" s="1">
        <f>LM!$K28</f>
        <v>86</v>
      </c>
    </row>
    <row r="167" spans="1:9">
      <c r="F167" s="1">
        <v>4</v>
      </c>
      <c r="G167" s="1">
        <v>96</v>
      </c>
      <c r="H167" s="1">
        <f>'Firm Retail'!$E29</f>
        <v>2210</v>
      </c>
      <c r="I167" s="1">
        <f>LM!$E29</f>
        <v>90</v>
      </c>
    </row>
    <row r="168" spans="1:9">
      <c r="F168" s="1">
        <v>5</v>
      </c>
      <c r="G168" s="1">
        <v>96</v>
      </c>
      <c r="H168" s="1">
        <f>'Firm Retail'!$F29</f>
        <v>2406</v>
      </c>
      <c r="I168" s="1">
        <f>LM!$F29</f>
        <v>107</v>
      </c>
    </row>
    <row r="169" spans="1:9">
      <c r="F169" s="1">
        <v>6</v>
      </c>
      <c r="G169" s="1">
        <v>96</v>
      </c>
      <c r="H169" s="1">
        <f>'Firm Retail'!$G29</f>
        <v>2515</v>
      </c>
      <c r="I169" s="1">
        <f>LM!$G29</f>
        <v>86</v>
      </c>
    </row>
    <row r="170" spans="1:9">
      <c r="A170" s="3"/>
      <c r="B170" s="3"/>
      <c r="C170" s="3"/>
      <c r="D170" s="3"/>
      <c r="E170" s="3"/>
      <c r="F170" s="81">
        <v>7</v>
      </c>
      <c r="G170" s="81">
        <v>96</v>
      </c>
      <c r="H170" s="3">
        <f>'Firm Retail'!$H29</f>
        <v>2647</v>
      </c>
      <c r="I170" s="3">
        <f>LM!$H29</f>
        <v>116</v>
      </c>
    </row>
    <row r="171" spans="1:9">
      <c r="F171" s="1">
        <v>8</v>
      </c>
      <c r="G171" s="1">
        <v>96</v>
      </c>
      <c r="H171" s="1">
        <f>'Firm Retail'!$I29</f>
        <v>2579</v>
      </c>
      <c r="I171" s="1">
        <f>LM!$I29</f>
        <v>119</v>
      </c>
    </row>
    <row r="172" spans="1:9">
      <c r="F172" s="1">
        <v>9</v>
      </c>
      <c r="G172" s="1">
        <v>96</v>
      </c>
      <c r="H172" s="1">
        <f>'Firm Retail'!$J29</f>
        <v>2638</v>
      </c>
      <c r="I172" s="1">
        <f>LM!$J29</f>
        <v>109</v>
      </c>
    </row>
    <row r="173" spans="1:9">
      <c r="F173" s="1">
        <v>10</v>
      </c>
      <c r="G173" s="1">
        <v>96</v>
      </c>
      <c r="H173" s="1">
        <f>'Firm Retail'!$K29</f>
        <v>2369</v>
      </c>
      <c r="I173" s="1">
        <f>LM!$K29</f>
        <v>93</v>
      </c>
    </row>
    <row r="174" spans="1:9">
      <c r="F174" s="1">
        <v>4</v>
      </c>
      <c r="G174" s="1">
        <v>97</v>
      </c>
      <c r="H174" s="1">
        <f>'Firm Retail'!$E30</f>
        <v>2109</v>
      </c>
      <c r="I174" s="1">
        <f>LM!$E30</f>
        <v>50</v>
      </c>
    </row>
    <row r="175" spans="1:9">
      <c r="F175" s="1">
        <v>5</v>
      </c>
      <c r="G175" s="1">
        <v>97</v>
      </c>
      <c r="H175" s="1">
        <f>'Firm Retail'!$F30</f>
        <v>2670</v>
      </c>
      <c r="I175" s="1">
        <f>LM!$F30</f>
        <v>106</v>
      </c>
    </row>
    <row r="176" spans="1:9">
      <c r="F176" s="1">
        <v>6</v>
      </c>
      <c r="G176" s="1">
        <v>97</v>
      </c>
      <c r="H176" s="1">
        <f>'Firm Retail'!$G30</f>
        <v>2669</v>
      </c>
      <c r="I176" s="1">
        <f>LM!$G30</f>
        <v>110</v>
      </c>
    </row>
    <row r="177" spans="1:9">
      <c r="A177" s="3"/>
      <c r="B177" s="3"/>
      <c r="C177" s="3"/>
      <c r="D177" s="3"/>
      <c r="E177" s="3"/>
      <c r="F177" s="81">
        <v>7</v>
      </c>
      <c r="G177" s="81">
        <v>97</v>
      </c>
      <c r="H177" s="3">
        <f>'Firm Retail'!$H30</f>
        <v>2677</v>
      </c>
      <c r="I177" s="3">
        <f>LM!$H30</f>
        <v>94</v>
      </c>
    </row>
    <row r="178" spans="1:9">
      <c r="F178" s="1">
        <v>8</v>
      </c>
      <c r="G178" s="1">
        <v>97</v>
      </c>
      <c r="H178" s="1">
        <f>'Firm Retail'!$I30</f>
        <v>2649</v>
      </c>
      <c r="I178" s="1">
        <f>LM!$I30</f>
        <v>110</v>
      </c>
    </row>
    <row r="179" spans="1:9">
      <c r="F179" s="1">
        <v>9</v>
      </c>
      <c r="G179" s="1">
        <v>97</v>
      </c>
      <c r="H179" s="1">
        <f>'Firm Retail'!$J30</f>
        <v>2607</v>
      </c>
      <c r="I179" s="1">
        <f>LM!$J30</f>
        <v>107</v>
      </c>
    </row>
    <row r="180" spans="1:9">
      <c r="F180" s="1">
        <v>10</v>
      </c>
      <c r="G180" s="1">
        <v>97</v>
      </c>
      <c r="H180" s="1">
        <f>'Firm Retail'!$K30</f>
        <v>2452</v>
      </c>
      <c r="I180" s="1">
        <f>LM!$K30</f>
        <v>38</v>
      </c>
    </row>
    <row r="181" spans="1:9">
      <c r="F181" s="1">
        <v>4</v>
      </c>
      <c r="G181" s="1">
        <v>98</v>
      </c>
      <c r="H181" s="1">
        <f>'Firm Retail'!$E31</f>
        <v>2210</v>
      </c>
      <c r="I181" s="1">
        <f>LM!$E31</f>
        <v>87</v>
      </c>
    </row>
    <row r="182" spans="1:9">
      <c r="F182" s="1">
        <v>5</v>
      </c>
      <c r="G182" s="1">
        <v>98</v>
      </c>
      <c r="H182" s="1">
        <f>'Firm Retail'!$F31</f>
        <v>2601</v>
      </c>
      <c r="I182" s="1">
        <f>LM!$F31</f>
        <v>110</v>
      </c>
    </row>
    <row r="183" spans="1:9">
      <c r="F183" s="1">
        <v>6</v>
      </c>
      <c r="G183" s="1">
        <v>98</v>
      </c>
      <c r="H183" s="1">
        <f>'Firm Retail'!$G31</f>
        <v>2921</v>
      </c>
      <c r="I183" s="1">
        <f>LM!$G31</f>
        <v>115</v>
      </c>
    </row>
    <row r="184" spans="1:9">
      <c r="F184" s="1">
        <v>7</v>
      </c>
      <c r="G184" s="1">
        <v>98</v>
      </c>
      <c r="H184" s="1">
        <f>'Firm Retail'!$H31</f>
        <v>2891</v>
      </c>
      <c r="I184" s="1">
        <f>LM!$H31</f>
        <v>108</v>
      </c>
    </row>
    <row r="185" spans="1:9">
      <c r="A185" s="3"/>
      <c r="B185" s="3"/>
      <c r="C185" s="3"/>
      <c r="D185" s="3"/>
      <c r="E185" s="3"/>
      <c r="F185" s="81">
        <v>8</v>
      </c>
      <c r="G185" s="81">
        <v>98</v>
      </c>
      <c r="H185" s="3">
        <f>'Firm Retail'!$I31</f>
        <v>2945</v>
      </c>
      <c r="I185" s="3">
        <f>LM!$I31</f>
        <v>117</v>
      </c>
    </row>
    <row r="186" spans="1:9">
      <c r="F186" s="1">
        <v>9</v>
      </c>
      <c r="G186" s="1">
        <v>98</v>
      </c>
      <c r="H186" s="1">
        <f>'Firm Retail'!$J31</f>
        <v>2688</v>
      </c>
      <c r="I186" s="1">
        <f>LM!$J31</f>
        <v>95</v>
      </c>
    </row>
    <row r="187" spans="1:9">
      <c r="F187" s="1">
        <v>10</v>
      </c>
      <c r="G187" s="1">
        <v>98</v>
      </c>
      <c r="H187" s="1">
        <f>'Firm Retail'!$K31</f>
        <v>2665</v>
      </c>
      <c r="I187" s="1">
        <f>LM!$K31</f>
        <v>104</v>
      </c>
    </row>
    <row r="188" spans="1:9">
      <c r="F188" s="1">
        <v>4</v>
      </c>
      <c r="G188" s="1">
        <v>99</v>
      </c>
      <c r="H188" s="1">
        <f>'Firm Retail'!$E32</f>
        <v>2661</v>
      </c>
      <c r="I188" s="1">
        <f>LM!$E32</f>
        <v>107</v>
      </c>
    </row>
    <row r="189" spans="1:9">
      <c r="F189" s="1">
        <v>5</v>
      </c>
      <c r="G189" s="1">
        <v>99</v>
      </c>
      <c r="H189" s="1">
        <f>'Firm Retail'!$F32</f>
        <v>2644</v>
      </c>
      <c r="I189" s="1">
        <f>LM!$F32</f>
        <v>98</v>
      </c>
    </row>
    <row r="190" spans="1:9">
      <c r="F190" s="1">
        <v>6</v>
      </c>
      <c r="G190" s="1">
        <v>99</v>
      </c>
      <c r="H190" s="1">
        <f>'Firm Retail'!$G32</f>
        <v>2712</v>
      </c>
      <c r="I190" s="1">
        <f>LM!$G32</f>
        <v>101</v>
      </c>
    </row>
    <row r="191" spans="1:9">
      <c r="F191" s="1">
        <v>7</v>
      </c>
      <c r="G191" s="1">
        <v>99</v>
      </c>
      <c r="H191" s="1">
        <f>'Firm Retail'!$H32</f>
        <v>2984</v>
      </c>
      <c r="I191" s="1">
        <f>LM!$H32</f>
        <v>113</v>
      </c>
    </row>
    <row r="192" spans="1:9">
      <c r="F192" s="1">
        <v>8</v>
      </c>
      <c r="G192" s="1">
        <v>99</v>
      </c>
      <c r="H192" s="1">
        <f>'Firm Retail'!$I32</f>
        <v>3069</v>
      </c>
      <c r="I192" s="1">
        <f>LM!$I32</f>
        <v>110</v>
      </c>
    </row>
    <row r="193" spans="1:9">
      <c r="F193" s="1">
        <v>9</v>
      </c>
      <c r="G193" s="1">
        <v>99</v>
      </c>
      <c r="H193" s="1">
        <f>'Firm Retail'!$J32</f>
        <v>2802</v>
      </c>
      <c r="I193" s="1">
        <f>LM!$J32</f>
        <v>109</v>
      </c>
    </row>
    <row r="194" spans="1:9">
      <c r="F194" s="1">
        <v>10</v>
      </c>
      <c r="G194" s="1">
        <v>99</v>
      </c>
      <c r="H194" s="1">
        <f>'Firm Retail'!$K32</f>
        <v>2550</v>
      </c>
      <c r="I194" s="1">
        <f>LM!$K32</f>
        <v>100</v>
      </c>
    </row>
    <row r="195" spans="1:9">
      <c r="A195" s="3"/>
      <c r="B195" s="3"/>
      <c r="C195" s="3"/>
      <c r="D195" s="3"/>
      <c r="E195" s="3"/>
      <c r="F195" s="3">
        <v>4</v>
      </c>
      <c r="G195" s="10" t="s">
        <v>1</v>
      </c>
      <c r="H195" s="3">
        <f>'Firm Retail'!$E33</f>
        <v>2280</v>
      </c>
      <c r="I195" s="3">
        <f>LM!$E33</f>
        <v>80</v>
      </c>
    </row>
    <row r="196" spans="1:9">
      <c r="A196" s="3"/>
      <c r="B196" s="3"/>
      <c r="C196" s="3"/>
      <c r="D196" s="3"/>
      <c r="E196" s="3"/>
      <c r="F196" s="3">
        <v>5</v>
      </c>
      <c r="G196" s="10" t="s">
        <v>1</v>
      </c>
      <c r="H196" s="3">
        <f>'Firm Retail'!$F33</f>
        <v>2847</v>
      </c>
      <c r="I196" s="3">
        <f>LM!$F33</f>
        <v>98</v>
      </c>
    </row>
    <row r="197" spans="1:9">
      <c r="A197" s="3"/>
      <c r="B197" s="3"/>
      <c r="C197" s="3"/>
      <c r="D197" s="3"/>
      <c r="E197" s="3"/>
      <c r="F197" s="3">
        <v>6</v>
      </c>
      <c r="G197" s="10" t="s">
        <v>1</v>
      </c>
      <c r="H197" s="3">
        <f>'Firm Retail'!$G33</f>
        <v>2914</v>
      </c>
      <c r="I197" s="3">
        <f>LM!$G33</f>
        <v>98</v>
      </c>
    </row>
    <row r="198" spans="1:9">
      <c r="A198" s="3"/>
      <c r="B198" s="3"/>
      <c r="C198" s="3"/>
      <c r="D198" s="3"/>
      <c r="E198" s="3"/>
      <c r="F198" s="3">
        <v>7</v>
      </c>
      <c r="G198" s="10" t="s">
        <v>1</v>
      </c>
      <c r="H198" s="3">
        <f>'Firm Retail'!$H33</f>
        <v>3067</v>
      </c>
      <c r="I198" s="3">
        <f>LM!$H33</f>
        <v>96</v>
      </c>
    </row>
    <row r="199" spans="1:9">
      <c r="A199" s="3"/>
      <c r="B199" s="3"/>
      <c r="C199" s="3"/>
      <c r="D199" s="3"/>
      <c r="E199" s="3"/>
      <c r="F199" s="3">
        <v>8</v>
      </c>
      <c r="G199" s="10" t="s">
        <v>1</v>
      </c>
      <c r="H199" s="3">
        <f>'Firm Retail'!$I33</f>
        <v>3028</v>
      </c>
      <c r="I199" s="3">
        <f>LM!$I33</f>
        <v>93</v>
      </c>
    </row>
    <row r="200" spans="1:9">
      <c r="A200" s="3"/>
      <c r="B200" s="3"/>
      <c r="C200" s="3"/>
      <c r="D200" s="3"/>
      <c r="E200" s="3"/>
      <c r="F200" s="3">
        <v>9</v>
      </c>
      <c r="G200" s="10" t="s">
        <v>1</v>
      </c>
      <c r="H200" s="3">
        <f>'Firm Retail'!$J33</f>
        <v>2875</v>
      </c>
      <c r="I200" s="3">
        <f>LM!$J33</f>
        <v>96</v>
      </c>
    </row>
    <row r="201" spans="1:9">
      <c r="A201" s="3"/>
      <c r="B201" s="3"/>
      <c r="C201" s="3"/>
      <c r="D201" s="3"/>
      <c r="E201" s="3"/>
      <c r="F201" s="3">
        <v>10</v>
      </c>
      <c r="G201" s="10" t="s">
        <v>1</v>
      </c>
      <c r="H201" s="3">
        <f>'Firm Retail'!$K33</f>
        <v>2849</v>
      </c>
      <c r="I201" s="3">
        <f>LM!$K33</f>
        <v>88</v>
      </c>
    </row>
  </sheetData>
  <phoneticPr fontId="9" type="noConversion"/>
  <pageMargins left="0.25" right="0.25694444444444442" top="0.25" bottom="0.25" header="0" footer="0"/>
  <pageSetup scale="71" orientation="landscape" horizontalDpi="0" verticalDpi="0" copies="0"/>
  <headerFooter alignWithMargins="0"/>
  <customProperties>
    <customPr name="_pios_id" r:id="rId1"/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IV174"/>
  <sheetViews>
    <sheetView zoomScale="87" zoomScaleNormal="87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27" sqref="C27"/>
    </sheetView>
  </sheetViews>
  <sheetFormatPr defaultColWidth="9.6640625" defaultRowHeight="15"/>
  <cols>
    <col min="1" max="1" width="9.6640625" style="1" customWidth="1"/>
    <col min="2" max="13" width="6.6640625" style="1" customWidth="1"/>
    <col min="14" max="16384" width="9.6640625" style="1"/>
  </cols>
  <sheetData>
    <row r="3" spans="1:13" ht="15.75">
      <c r="A3" s="3"/>
      <c r="B3" s="5" t="s">
        <v>167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spans="1:13">
      <c r="A5" s="10"/>
      <c r="B5" s="10" t="s">
        <v>4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</row>
    <row r="6" spans="1:13">
      <c r="A6" s="3">
        <f>'Instant Old no Delete'!A7</f>
        <v>1973</v>
      </c>
      <c r="B6" s="110">
        <f>'Instant Old no Delete'!B7/'Total Retail'!B7</f>
        <v>1.0748792270531402</v>
      </c>
      <c r="C6" s="111">
        <f>'Instant Old no Delete'!C7/'Total Retail'!C7</f>
        <v>1.0807692307692307</v>
      </c>
      <c r="D6" s="111">
        <f>'Instant Old no Delete'!D7/'Total Retail'!D7</f>
        <v>1.0816681146828844</v>
      </c>
      <c r="E6" s="111">
        <f>'Instant Old no Delete'!E7/'Total Retail'!E7</f>
        <v>1.0837887067395264</v>
      </c>
      <c r="F6" s="111">
        <f>'Instant Old no Delete'!F7/'Total Retail'!F7</f>
        <v>1.0722100656455142</v>
      </c>
      <c r="G6" s="111">
        <f>'Instant Old no Delete'!G7/'Total Retail'!G7</f>
        <v>1.0706560922855084</v>
      </c>
      <c r="H6" s="111">
        <f>'Instant Old no Delete'!H7/'Total Retail'!H7</f>
        <v>1.0706482155863073</v>
      </c>
      <c r="I6" s="111">
        <f>'Instant Old no Delete'!I7/'Total Retail'!I7</f>
        <v>1.0704323570432357</v>
      </c>
      <c r="J6" s="111">
        <f>'Instant Old no Delete'!J7/'Total Retail'!J7</f>
        <v>1.0707841776544067</v>
      </c>
      <c r="K6" s="111">
        <f>'Instant Old no Delete'!K7/'Total Retail'!K7</f>
        <v>1.0691915513474144</v>
      </c>
      <c r="L6" s="111">
        <f>'Instant Old no Delete'!L7/'Total Retail'!L7</f>
        <v>1.0751818916734035</v>
      </c>
      <c r="M6" s="111">
        <f>'Instant Old no Delete'!M7/'Total Retail'!M7</f>
        <v>1.061493411420205</v>
      </c>
    </row>
    <row r="7" spans="1:13">
      <c r="A7" s="3">
        <f>'Instant Old no Delete'!A8</f>
        <v>1974</v>
      </c>
      <c r="B7" s="112">
        <f>'Instant Old no Delete'!B8/'Total Retail'!B8</f>
        <v>1.0708117443868739</v>
      </c>
      <c r="C7" s="113">
        <f>'Instant Old no Delete'!C8/'Total Retail'!C8</f>
        <v>1.0830188679245283</v>
      </c>
      <c r="D7" s="113">
        <f>'Instant Old no Delete'!D8/'Total Retail'!D8</f>
        <v>1.0659694288012873</v>
      </c>
      <c r="E7" s="113">
        <f>'Instant Old no Delete'!E8/'Total Retail'!E8</f>
        <v>1.0644677661169415</v>
      </c>
      <c r="F7" s="113">
        <f>'Instant Old no Delete'!F8/'Total Retail'!F8</f>
        <v>1.0688665710186513</v>
      </c>
      <c r="G7" s="113">
        <f>'Instant Old no Delete'!G8/'Total Retail'!G8</f>
        <v>1.0800807537012114</v>
      </c>
      <c r="H7" s="113">
        <f>'Instant Old no Delete'!H8/'Total Retail'!H8</f>
        <v>1.0737065910701631</v>
      </c>
      <c r="I7" s="113">
        <f>'Instant Old no Delete'!I8/'Total Retail'!I8</f>
        <v>1.0768175582990398</v>
      </c>
      <c r="J7" s="113">
        <f>'Instant Old no Delete'!J8/'Total Retail'!J8</f>
        <v>1.0641781270464965</v>
      </c>
      <c r="K7" s="113">
        <f>'Instant Old no Delete'!K8/'Total Retail'!K8</f>
        <v>1.0739030023094689</v>
      </c>
      <c r="L7" s="113">
        <f>'Instant Old no Delete'!L8/'Total Retail'!L8</f>
        <v>1.0666666666666667</v>
      </c>
      <c r="M7" s="113">
        <f>'Instant Old no Delete'!M8/'Total Retail'!M8</f>
        <v>1.0706787963610918</v>
      </c>
    </row>
    <row r="8" spans="1:13">
      <c r="A8" s="3">
        <f>'Instant Old no Delete'!A9</f>
        <v>1975</v>
      </c>
      <c r="B8" s="112">
        <f>'Instant Old no Delete'!B9/'Total Retail'!B9</f>
        <v>1.0836762688614541</v>
      </c>
      <c r="C8" s="113">
        <f>'Instant Old no Delete'!C9/'Total Retail'!C9</f>
        <v>1.0745440126883425</v>
      </c>
      <c r="D8" s="113">
        <f>'Instant Old no Delete'!D9/'Total Retail'!D9</f>
        <v>1.0695970695970696</v>
      </c>
      <c r="E8" s="113">
        <f>'Instant Old no Delete'!E9/'Total Retail'!E9</f>
        <v>1.0663021189336979</v>
      </c>
      <c r="F8" s="113">
        <f>'Instant Old no Delete'!F9/'Total Retail'!F9</f>
        <v>1.0624169986719787</v>
      </c>
      <c r="G8" s="113">
        <f>'Instant Old no Delete'!G9/'Total Retail'!G9</f>
        <v>1.060702875399361</v>
      </c>
      <c r="H8" s="113">
        <f>'Instant Old no Delete'!H9/'Total Retail'!H9</f>
        <v>1.0643236074270557</v>
      </c>
      <c r="I8" s="113">
        <f>'Instant Old no Delete'!I9/'Total Retail'!I9</f>
        <v>1.0590163934426229</v>
      </c>
      <c r="J8" s="113">
        <f>'Instant Old no Delete'!J9/'Total Retail'!J9</f>
        <v>1.0799726589200274</v>
      </c>
      <c r="K8" s="113">
        <f>'Instant Old no Delete'!K9/'Total Retail'!K9</f>
        <v>1.0731707317073171</v>
      </c>
      <c r="L8" s="113">
        <f>'Instant Old no Delete'!L9/'Total Retail'!L9</f>
        <v>1.0814708002883922</v>
      </c>
      <c r="M8" s="113">
        <f>'Instant Old no Delete'!M9/'Total Retail'!M9</f>
        <v>1.0645780051150895</v>
      </c>
    </row>
    <row r="9" spans="1:13">
      <c r="A9" s="3">
        <f>'Instant Old no Delete'!A10</f>
        <v>1976</v>
      </c>
      <c r="B9" s="112">
        <f>'Instant Old no Delete'!B10/'Total Retail'!B10</f>
        <v>1.0750147666863556</v>
      </c>
      <c r="C9" s="113">
        <f>'Instant Old no Delete'!C10/'Total Retail'!C10</f>
        <v>1.0794297352342159</v>
      </c>
      <c r="D9" s="113">
        <f>'Instant Old no Delete'!D10/'Total Retail'!D10</f>
        <v>1.0725308641975309</v>
      </c>
      <c r="E9" s="113">
        <f>'Instant Old no Delete'!E10/'Total Retail'!E10</f>
        <v>1.0717069368667187</v>
      </c>
      <c r="F9" s="113">
        <f>'Instant Old no Delete'!F10/'Total Retail'!F10</f>
        <v>1.0659340659340659</v>
      </c>
      <c r="G9" s="113">
        <f>'Instant Old no Delete'!G10/'Total Retail'!G10</f>
        <v>1.0640495867768596</v>
      </c>
      <c r="H9" s="113">
        <f>'Instant Old no Delete'!H10/'Total Retail'!H10</f>
        <v>1.0656793303283967</v>
      </c>
      <c r="I9" s="113">
        <f>'Instant Old no Delete'!I10/'Total Retail'!I10</f>
        <v>1.0670535138620245</v>
      </c>
      <c r="J9" s="113">
        <f>'Instant Old no Delete'!J10/'Total Retail'!J10</f>
        <v>1.0650510204081634</v>
      </c>
      <c r="K9" s="113">
        <f>'Instant Old no Delete'!K10/'Total Retail'!K10</f>
        <v>1.0756972111553784</v>
      </c>
      <c r="L9" s="113">
        <f>'Instant Old no Delete'!L10/'Total Retail'!L10</f>
        <v>1.0632530120481927</v>
      </c>
      <c r="M9" s="113">
        <f>'Instant Old no Delete'!M10/'Total Retail'!M10</f>
        <v>1.0621605310802655</v>
      </c>
    </row>
    <row r="10" spans="1:13">
      <c r="A10" s="3">
        <f>'Instant Old no Delete'!A11</f>
        <v>1977</v>
      </c>
      <c r="B10" s="112">
        <f>'Instant Old no Delete'!B11/'Total Retail'!B11</f>
        <v>1.0818385650224216</v>
      </c>
      <c r="C10" s="113">
        <f>'Instant Old no Delete'!C11/'Total Retail'!C11</f>
        <v>1.0639534883720929</v>
      </c>
      <c r="D10" s="113">
        <f>'Instant Old no Delete'!D11/'Total Retail'!D11</f>
        <v>1.1012747875354107</v>
      </c>
      <c r="E10" s="113">
        <f>'Instant Old no Delete'!E11/'Total Retail'!E11</f>
        <v>1.1005830903790088</v>
      </c>
      <c r="F10" s="113">
        <f>'Instant Old no Delete'!F11/'Total Retail'!F11</f>
        <v>1.0896455872133426</v>
      </c>
      <c r="G10" s="113">
        <f>'Instant Old no Delete'!G11/'Total Retail'!G11</f>
        <v>1.066860465116279</v>
      </c>
      <c r="H10" s="113">
        <f>'Instant Old no Delete'!H11/'Total Retail'!H11</f>
        <v>1.0612492419648272</v>
      </c>
      <c r="I10" s="113">
        <f>'Instant Old no Delete'!I11/'Total Retail'!I11</f>
        <v>1.0740971357409714</v>
      </c>
      <c r="J10" s="113">
        <f>'Instant Old no Delete'!J11/'Total Retail'!J11</f>
        <v>1.0676156583629892</v>
      </c>
      <c r="K10" s="113">
        <f>'Instant Old no Delete'!K11/'Total Retail'!K11</f>
        <v>1.064243997404283</v>
      </c>
      <c r="L10" s="113">
        <f>'Instant Old no Delete'!L11/'Total Retail'!L11</f>
        <v>1.0682148040638606</v>
      </c>
      <c r="M10" s="113">
        <f>'Instant Old no Delete'!M11/'Total Retail'!M11</f>
        <v>1.0652818991097923</v>
      </c>
    </row>
    <row r="11" spans="1:13">
      <c r="A11" s="3">
        <f>'Instant Old no Delete'!A12</f>
        <v>1978</v>
      </c>
      <c r="B11" s="112">
        <f>'Instant Old no Delete'!B12/'Total Retail'!B12</f>
        <v>1.0881246641590543</v>
      </c>
      <c r="C11" s="113">
        <f>'Instant Old no Delete'!C12/'Total Retail'!C12</f>
        <v>1.0666314119513485</v>
      </c>
      <c r="D11" s="113">
        <f>'Instant Old no Delete'!D12/'Total Retail'!D12</f>
        <v>1.0828025477707006</v>
      </c>
      <c r="E11" s="113">
        <f>'Instant Old no Delete'!E12/'Total Retail'!E12</f>
        <v>1.069703243616287</v>
      </c>
      <c r="F11" s="113">
        <f>'Instant Old no Delete'!F12/'Total Retail'!F12</f>
        <v>1.0771889400921659</v>
      </c>
      <c r="G11" s="113">
        <f>'Instant Old no Delete'!G12/'Total Retail'!G12</f>
        <v>1.0674157303370786</v>
      </c>
      <c r="H11" s="113">
        <f>'Instant Old no Delete'!H12/'Total Retail'!H12</f>
        <v>1.0691458454386984</v>
      </c>
      <c r="I11" s="113">
        <f>'Instant Old no Delete'!I12/'Total Retail'!I12</f>
        <v>1.0777084515031197</v>
      </c>
      <c r="J11" s="113">
        <f>'Instant Old no Delete'!J12/'Total Retail'!J12</f>
        <v>1.0762070971495055</v>
      </c>
      <c r="K11" s="113">
        <f>'Instant Old no Delete'!K12/'Total Retail'!K12</f>
        <v>1.0817610062893082</v>
      </c>
      <c r="L11" s="113">
        <f>'Instant Old no Delete'!L12/'Total Retail'!L12</f>
        <v>1.0613207547169812</v>
      </c>
      <c r="M11" s="113">
        <f>'Instant Old no Delete'!M12/'Total Retail'!M12</f>
        <v>1.0633066994468348</v>
      </c>
    </row>
    <row r="12" spans="1:13">
      <c r="A12" s="3">
        <f>'Instant Old no Delete'!A13</f>
        <v>1979</v>
      </c>
      <c r="B12" s="112">
        <f>'Instant Old no Delete'!B13/'Total Retail'!B13</f>
        <v>1.0613682092555332</v>
      </c>
      <c r="C12" s="113">
        <f>'Instant Old no Delete'!C13/'Total Retail'!C13</f>
        <v>1.075268817204301</v>
      </c>
      <c r="D12" s="113">
        <f>'Instant Old no Delete'!D13/'Total Retail'!D13</f>
        <v>1.0714285714285714</v>
      </c>
      <c r="E12" s="113">
        <f>'Instant Old no Delete'!E13/'Total Retail'!E13</f>
        <v>1.0702976567447753</v>
      </c>
      <c r="F12" s="113">
        <f>'Instant Old no Delete'!F13/'Total Retail'!F13</f>
        <v>1.0654725138974677</v>
      </c>
      <c r="G12" s="113">
        <f>'Instant Old no Delete'!G13/'Total Retail'!G13</f>
        <v>1.0746606334841629</v>
      </c>
      <c r="H12" s="113">
        <f>'Instant Old no Delete'!H13/'Total Retail'!H13</f>
        <v>1.0692520775623269</v>
      </c>
      <c r="I12" s="113">
        <f>'Instant Old no Delete'!I13/'Total Retail'!I13</f>
        <v>1.0580681183696259</v>
      </c>
      <c r="J12" s="113">
        <f>'Instant Old no Delete'!J13/'Total Retail'!J13</f>
        <v>1.0521932259855635</v>
      </c>
      <c r="K12" s="113">
        <f>'Instant Old no Delete'!K13/'Total Retail'!K13</f>
        <v>1.0544815465729349</v>
      </c>
      <c r="L12" s="113">
        <f>'Instant Old no Delete'!L13/'Total Retail'!L13</f>
        <v>1.0584795321637428</v>
      </c>
      <c r="M12" s="113">
        <f>'Instant Old no Delete'!M13/'Total Retail'!M13</f>
        <v>1.0718673218673218</v>
      </c>
    </row>
    <row r="13" spans="1:13">
      <c r="A13" s="3">
        <f>'Instant Old no Delete'!A14</f>
        <v>1980</v>
      </c>
      <c r="B13" s="112">
        <f>'Instant Old no Delete'!B14/'Total Retail'!B14</f>
        <v>1.0558188520273828</v>
      </c>
      <c r="C13" s="113">
        <f>'Instant Old no Delete'!C14/'Total Retail'!C14</f>
        <v>1.0603715170278638</v>
      </c>
      <c r="D13" s="113">
        <f>'Instant Old no Delete'!D14/'Total Retail'!D14</f>
        <v>1.0626283367556468</v>
      </c>
      <c r="E13" s="113">
        <f>'Instant Old no Delete'!E14/'Total Retail'!E14</f>
        <v>1.0562913907284768</v>
      </c>
      <c r="F13" s="113">
        <f>'Instant Old no Delete'!F14/'Total Retail'!F14</f>
        <v>1.0532276330690826</v>
      </c>
      <c r="G13" s="113">
        <f>'Instant Old no Delete'!G14/'Total Retail'!G14</f>
        <v>1.0804851157662625</v>
      </c>
      <c r="H13" s="113">
        <f>'Instant Old no Delete'!H14/'Total Retail'!H14</f>
        <v>1.0834207764952781</v>
      </c>
      <c r="I13" s="113">
        <f>'Instant Old no Delete'!I14/'Total Retail'!I14</f>
        <v>1.053312629399586</v>
      </c>
      <c r="J13" s="113">
        <f>'Instant Old no Delete'!J14/'Total Retail'!J14</f>
        <v>1.0606060606060606</v>
      </c>
      <c r="K13" s="113">
        <f>'Instant Old no Delete'!K14/'Total Retail'!K14</f>
        <v>1.0593998775260258</v>
      </c>
      <c r="L13" s="113">
        <f>'Instant Old no Delete'!L14/'Total Retail'!L14</f>
        <v>1.0631229235880399</v>
      </c>
      <c r="M13" s="113">
        <f>'Instant Old no Delete'!M14/'Total Retail'!M14</f>
        <v>1.0781078107810782</v>
      </c>
    </row>
    <row r="14" spans="1:13">
      <c r="A14" s="3">
        <f>'Instant Old no Delete'!A15</f>
        <v>1981</v>
      </c>
      <c r="B14" s="112">
        <f>'Instant Old no Delete'!B15/'Total Retail'!B15</f>
        <v>1.0514117151285294</v>
      </c>
      <c r="C14" s="113">
        <f>'Instant Old no Delete'!C15/'Total Retail'!C15</f>
        <v>1.0397784491440081</v>
      </c>
      <c r="D14" s="113">
        <f>'Instant Old no Delete'!D15/'Total Retail'!D15</f>
        <v>1.0601163542340013</v>
      </c>
      <c r="E14" s="113">
        <f>'Instant Old no Delete'!E15/'Total Retail'!E15</f>
        <v>1.0618363522798251</v>
      </c>
      <c r="F14" s="113">
        <f>'Instant Old no Delete'!F15/'Total Retail'!F15</f>
        <v>1.0582737768004398</v>
      </c>
      <c r="G14" s="113">
        <f>'Instant Old no Delete'!G15/'Total Retail'!G15</f>
        <v>1.0467380720545278</v>
      </c>
      <c r="H14" s="113">
        <f>'Instant Old no Delete'!H15/'Total Retail'!H15</f>
        <v>1.0623732251521298</v>
      </c>
      <c r="I14" s="113">
        <f>'Instant Old no Delete'!I15/'Total Retail'!I15</f>
        <v>1.0515135422198618</v>
      </c>
      <c r="J14" s="113">
        <f>'Instant Old no Delete'!J15/'Total Retail'!J15</f>
        <v>1.0471148755955533</v>
      </c>
      <c r="K14" s="113">
        <f>'Instant Old no Delete'!K15/'Total Retail'!K15</f>
        <v>1.0621301775147929</v>
      </c>
      <c r="L14" s="113">
        <f>'Instant Old no Delete'!L15/'Total Retail'!L15</f>
        <v>1.0592459605026929</v>
      </c>
      <c r="M14" s="113">
        <f>'Instant Old no Delete'!M15/'Total Retail'!M15</f>
        <v>1.0607569721115537</v>
      </c>
    </row>
    <row r="15" spans="1:13">
      <c r="A15" s="3">
        <f>'Instant Old no Delete'!A16</f>
        <v>1982</v>
      </c>
      <c r="B15" s="112">
        <f>'Instant Old no Delete'!B16/'Total Retail'!B16</f>
        <v>1.0850310008857396</v>
      </c>
      <c r="C15" s="113">
        <f>'Instant Old no Delete'!C16/'Total Retail'!C16</f>
        <v>1.0561497326203209</v>
      </c>
      <c r="D15" s="113">
        <f>'Instant Old no Delete'!D16/'Total Retail'!D16</f>
        <v>1.0707576706324358</v>
      </c>
      <c r="E15" s="113">
        <f>'Instant Old no Delete'!E16/'Total Retail'!E16</f>
        <v>1.0623896409652738</v>
      </c>
      <c r="F15" s="113">
        <f>'Instant Old no Delete'!F16/'Total Retail'!F16</f>
        <v>1.0729104919976289</v>
      </c>
      <c r="G15" s="113">
        <f>'Instant Old no Delete'!G16/'Total Retail'!G16</f>
        <v>1.0527747551686615</v>
      </c>
      <c r="H15" s="113">
        <f>'Instant Old no Delete'!H16/'Total Retail'!H16</f>
        <v>1.0643015521064301</v>
      </c>
      <c r="I15" s="113">
        <f>'Instant Old no Delete'!I16/'Total Retail'!I16</f>
        <v>1.0530590146182999</v>
      </c>
      <c r="J15" s="113">
        <f>'Instant Old no Delete'!J16/'Total Retail'!J16</f>
        <v>1.055672268907563</v>
      </c>
      <c r="K15" s="113">
        <f>'Instant Old no Delete'!K16/'Total Retail'!K16</f>
        <v>1.0914285714285714</v>
      </c>
      <c r="L15" s="113">
        <f>'Instant Old no Delete'!L16/'Total Retail'!L16</f>
        <v>1.0828440965427266</v>
      </c>
      <c r="M15" s="113">
        <f>'Instant Old no Delete'!M16/'Total Retail'!M16</f>
        <v>1.087088915956151</v>
      </c>
    </row>
    <row r="16" spans="1:13">
      <c r="A16" s="3">
        <f>'Instant Old no Delete'!A17</f>
        <v>1983</v>
      </c>
      <c r="B16" s="112">
        <f>'Instant Old no Delete'!B17/'Total Retail'!B17</f>
        <v>1.0743602124577498</v>
      </c>
      <c r="C16" s="113">
        <f>'Instant Old no Delete'!C17/'Total Retail'!C17</f>
        <v>1.0699588477366255</v>
      </c>
      <c r="D16" s="113">
        <f>'Instant Old no Delete'!D17/'Total Retail'!D17</f>
        <v>1.0902255639097744</v>
      </c>
      <c r="E16" s="113">
        <f>'Instant Old no Delete'!E17/'Total Retail'!E17</f>
        <v>1.0753380553766902</v>
      </c>
      <c r="F16" s="113">
        <f>'Instant Old no Delete'!F17/'Total Retail'!F17</f>
        <v>1.0638297872340425</v>
      </c>
      <c r="G16" s="113">
        <f>'Instant Old no Delete'!G17/'Total Retail'!G17</f>
        <v>1.0710498409331919</v>
      </c>
      <c r="H16" s="113">
        <f>'Instant Old no Delete'!H17/'Total Retail'!H17</f>
        <v>1.0743801652892562</v>
      </c>
      <c r="I16" s="113">
        <f>'Instant Old no Delete'!I17/'Total Retail'!I17</f>
        <v>1.0748367654445004</v>
      </c>
      <c r="J16" s="113">
        <f>'Instant Old no Delete'!J17/'Total Retail'!J17</f>
        <v>1.069676153091266</v>
      </c>
      <c r="K16" s="113">
        <f>'Instant Old no Delete'!K17/'Total Retail'!K17</f>
        <v>1.0639470782800442</v>
      </c>
      <c r="L16" s="113">
        <f>'Instant Old no Delete'!L17/'Total Retail'!L17</f>
        <v>1.0571260306242638</v>
      </c>
      <c r="M16" s="113">
        <f>'Instant Old no Delete'!M17/'Total Retail'!M17</f>
        <v>1.0444550669216062</v>
      </c>
    </row>
    <row r="17" spans="1:13">
      <c r="A17" s="3">
        <f>'Instant Old no Delete'!A18</f>
        <v>1984</v>
      </c>
      <c r="B17" s="112">
        <f>'Instant Old no Delete'!B18/'Total Retail'!B18</f>
        <v>1.0495002379819134</v>
      </c>
      <c r="C17" s="113">
        <f>'Instant Old no Delete'!C18/'Total Retail'!C18</f>
        <v>1.0704419889502763</v>
      </c>
      <c r="D17" s="113">
        <f>'Instant Old no Delete'!D18/'Total Retail'!D18</f>
        <v>1.0729821169647173</v>
      </c>
      <c r="E17" s="113">
        <f>'Instant Old no Delete'!E18/'Total Retail'!E18</f>
        <v>1.0619469026548674</v>
      </c>
      <c r="F17" s="113">
        <f>'Instant Old no Delete'!F18/'Total Retail'!F18</f>
        <v>1.0573566084788031</v>
      </c>
      <c r="G17" s="113">
        <f>'Instant Old no Delete'!G18/'Total Retail'!G18</f>
        <v>1.0617949975478176</v>
      </c>
      <c r="H17" s="113">
        <f>'Instant Old no Delete'!H18/'Total Retail'!H18</f>
        <v>1.0603899191631003</v>
      </c>
      <c r="I17" s="113">
        <f>'Instant Old no Delete'!I18/'Total Retail'!I18</f>
        <v>1.0600285850404956</v>
      </c>
      <c r="J17" s="113">
        <f>'Instant Old no Delete'!J18/'Total Retail'!J18</f>
        <v>1.0765550239234449</v>
      </c>
      <c r="K17" s="113">
        <f>'Instant Old no Delete'!K18/'Total Retail'!K18</f>
        <v>1.0531201650335225</v>
      </c>
      <c r="L17" s="113">
        <f>'Instant Old no Delete'!L18/'Total Retail'!L18</f>
        <v>1.084070796460177</v>
      </c>
      <c r="M17" s="113">
        <f>'Instant Old no Delete'!M18/'Total Retail'!M18</f>
        <v>1.0562347188264058</v>
      </c>
    </row>
    <row r="18" spans="1:13">
      <c r="A18" s="3">
        <f>'Instant Old no Delete'!A19</f>
        <v>1985</v>
      </c>
      <c r="B18" s="112">
        <f>'Instant Old no Delete'!B19/'Total Retail'!B19</f>
        <v>1.0682980277574872</v>
      </c>
      <c r="C18" s="113">
        <f>'Instant Old no Delete'!C19/'Total Retail'!C19</f>
        <v>1.079494128274616</v>
      </c>
      <c r="D18" s="113">
        <f>'Instant Old no Delete'!D19/'Total Retail'!D19</f>
        <v>1.0987442922374429</v>
      </c>
      <c r="E18" s="113">
        <f>'Instant Old no Delete'!E19/'Total Retail'!E19</f>
        <v>1.0686164229471316</v>
      </c>
      <c r="F18" s="113">
        <f>'Instant Old no Delete'!F19/'Total Retail'!F19</f>
        <v>1.0712600283152431</v>
      </c>
      <c r="G18" s="113">
        <f>'Instant Old no Delete'!G19/'Total Retail'!G19</f>
        <v>1.0657453936348409</v>
      </c>
      <c r="H18" s="113">
        <f>'Instant Old no Delete'!H19/'Total Retail'!H19</f>
        <v>1.0775661867162099</v>
      </c>
      <c r="I18" s="113">
        <f>'Instant Old no Delete'!I19/'Total Retail'!I19</f>
        <v>1.0739030023094689</v>
      </c>
      <c r="J18" s="113">
        <f>'Instant Old no Delete'!J19/'Total Retail'!J19</f>
        <v>1.0772452303396929</v>
      </c>
      <c r="K18" s="113">
        <f>'Instant Old no Delete'!K19/'Total Retail'!K19</f>
        <v>1.0716001922152811</v>
      </c>
      <c r="L18" s="113">
        <f>'Instant Old no Delete'!L19/'Total Retail'!L19</f>
        <v>1.069459757442117</v>
      </c>
      <c r="M18" s="113">
        <f>'Instant Old no Delete'!M19/'Total Retail'!M19</f>
        <v>1.0717372515125325</v>
      </c>
    </row>
    <row r="19" spans="1:13">
      <c r="A19" s="3">
        <f>'Instant Old no Delete'!A20</f>
        <v>1986</v>
      </c>
      <c r="B19" s="112">
        <f>'Instant Old no Delete'!B20/'Total Retail'!B20</f>
        <v>1.0700538876058507</v>
      </c>
      <c r="C19" s="113">
        <f>'Instant Old no Delete'!C20/'Total Retail'!C20</f>
        <v>1.0876404494382022</v>
      </c>
      <c r="D19" s="113">
        <f>'Instant Old no Delete'!D20/'Total Retail'!D20</f>
        <v>1.0796365579903795</v>
      </c>
      <c r="E19" s="113">
        <f>'Instant Old no Delete'!E20/'Total Retail'!E20</f>
        <v>1.0578034682080926</v>
      </c>
      <c r="F19" s="113">
        <f>'Instant Old no Delete'!F20/'Total Retail'!F20</f>
        <v>1.0513796384395813</v>
      </c>
      <c r="G19" s="113">
        <f>'Instant Old no Delete'!G20/'Total Retail'!G20</f>
        <v>1.0650329877474081</v>
      </c>
      <c r="H19" s="113">
        <f>'Instant Old no Delete'!H20/'Total Retail'!H20</f>
        <v>1.0783388390750355</v>
      </c>
      <c r="I19" s="113">
        <f>'Instant Old no Delete'!I20/'Total Retail'!I20</f>
        <v>1.0568181818181819</v>
      </c>
      <c r="J19" s="113">
        <f>'Instant Old no Delete'!J20/'Total Retail'!J20</f>
        <v>1.0587147480351364</v>
      </c>
      <c r="K19" s="113">
        <f>'Instant Old no Delete'!K20/'Total Retail'!K20</f>
        <v>1.0839483394833949</v>
      </c>
      <c r="L19" s="113">
        <f>'Instant Old no Delete'!L20/'Total Retail'!L20</f>
        <v>1.0638297872340425</v>
      </c>
      <c r="M19" s="113">
        <f>'Instant Old no Delete'!M20/'Total Retail'!M20</f>
        <v>1.0705950991831972</v>
      </c>
    </row>
    <row r="20" spans="1:13">
      <c r="A20" s="3">
        <f>'Instant Old no Delete'!A21</f>
        <v>1987</v>
      </c>
      <c r="B20" s="112">
        <f>'Instant Old no Delete'!B21/'Total Retail'!B21</f>
        <v>1.0830656264341441</v>
      </c>
      <c r="C20" s="113">
        <f>'Instant Old no Delete'!C21/'Total Retail'!C21</f>
        <v>1.0714285714285714</v>
      </c>
      <c r="D20" s="113">
        <f>'Instant Old no Delete'!D21/'Total Retail'!D21</f>
        <v>1.0681024447031431</v>
      </c>
      <c r="E20" s="113">
        <f>'Instant Old no Delete'!E21/'Total Retail'!E21</f>
        <v>1.0991957104557641</v>
      </c>
      <c r="F20" s="113">
        <f>'Instant Old no Delete'!F21/'Total Retail'!F21</f>
        <v>1.0595533498759304</v>
      </c>
      <c r="G20" s="113">
        <f>'Instant Old no Delete'!G21/'Total Retail'!G21</f>
        <v>1.0652463382157125</v>
      </c>
      <c r="H20" s="113">
        <f>'Instant Old no Delete'!H21/'Total Retail'!H21</f>
        <v>1.0488013698630136</v>
      </c>
      <c r="I20" s="113">
        <f>'Instant Old no Delete'!I21/'Total Retail'!I21</f>
        <v>1.0553705245628642</v>
      </c>
      <c r="J20" s="113">
        <f>'Instant Old no Delete'!J21/'Total Retail'!J21</f>
        <v>1.0622551153678712</v>
      </c>
      <c r="K20" s="113">
        <f>'Instant Old no Delete'!K21/'Total Retail'!K21</f>
        <v>1.054138469547111</v>
      </c>
      <c r="L20" s="113">
        <f>'Instant Old no Delete'!L21/'Total Retail'!L21</f>
        <v>1.0912240184757507</v>
      </c>
      <c r="M20" s="113">
        <f>'Instant Old no Delete'!M21/'Total Retail'!M21</f>
        <v>1.064773735581189</v>
      </c>
    </row>
    <row r="21" spans="1:13">
      <c r="A21" s="3">
        <f>'Instant Old no Delete'!A22</f>
        <v>1988</v>
      </c>
      <c r="B21" s="112">
        <f>'Instant Old no Delete'!B22/'Total Retail'!B22</f>
        <v>1.0610687022900764</v>
      </c>
      <c r="C21" s="113">
        <f>'Instant Old no Delete'!C22/'Total Retail'!C22</f>
        <v>1.0643564356435644</v>
      </c>
      <c r="D21" s="113">
        <f>'Instant Old no Delete'!D22/'Total Retail'!D22</f>
        <v>1.0801080108010801</v>
      </c>
      <c r="E21" s="113">
        <f>'Instant Old no Delete'!E22/'Total Retail'!E22</f>
        <v>1.0643070787637088</v>
      </c>
      <c r="F21" s="113">
        <f>'Instant Old no Delete'!F22/'Total Retail'!F22</f>
        <v>1.0528615115771078</v>
      </c>
      <c r="G21" s="113">
        <f>'Instant Old no Delete'!G22/'Total Retail'!G22</f>
        <v>1.0570325900514579</v>
      </c>
      <c r="H21" s="113">
        <f>'Instant Old no Delete'!H22/'Total Retail'!H22</f>
        <v>1.054119547657512</v>
      </c>
      <c r="I21" s="113">
        <f>'Instant Old no Delete'!I22/'Total Retail'!I22</f>
        <v>1.0503685503685503</v>
      </c>
      <c r="J21" s="113">
        <f>'Instant Old no Delete'!J22/'Total Retail'!J22</f>
        <v>1.0627916843445058</v>
      </c>
      <c r="K21" s="113">
        <f>'Instant Old no Delete'!K22/'Total Retail'!K22</f>
        <v>1.0614793467819403</v>
      </c>
      <c r="L21" s="113">
        <f>'Instant Old no Delete'!L22/'Total Retail'!L22</f>
        <v>1.0749868904037756</v>
      </c>
      <c r="M21" s="113">
        <f>'Instant Old no Delete'!M22/'Total Retail'!M22</f>
        <v>1.0543818466353678</v>
      </c>
    </row>
    <row r="22" spans="1:13">
      <c r="A22" s="3">
        <f>'Instant Old no Delete'!A23</f>
        <v>1989</v>
      </c>
      <c r="B22" s="112">
        <f>'Instant Old no Delete'!B23/'Total Retail'!B23</f>
        <v>1.059670781893004</v>
      </c>
      <c r="C22" s="113">
        <f>'Instant Old no Delete'!C23/'Total Retail'!C23</f>
        <v>1.0565015479876161</v>
      </c>
      <c r="D22" s="113">
        <f>'Instant Old no Delete'!D23/'Total Retail'!D23</f>
        <v>1.0677328316086547</v>
      </c>
      <c r="E22" s="113">
        <f>'Instant Old no Delete'!E23/'Total Retail'!E23</f>
        <v>1.0664081434803685</v>
      </c>
      <c r="F22" s="113">
        <f>'Instant Old no Delete'!F23/'Total Retail'!F23</f>
        <v>1.0700876095118899</v>
      </c>
      <c r="G22" s="113">
        <f>'Instant Old no Delete'!G23/'Total Retail'!G23</f>
        <v>1.0606653620352251</v>
      </c>
      <c r="H22" s="113">
        <f>'Instant Old no Delete'!H23/'Total Retail'!H23</f>
        <v>1.0475628930817611</v>
      </c>
      <c r="I22" s="113">
        <f>'Instant Old no Delete'!I23/'Total Retail'!I23</f>
        <v>1.066562255285826</v>
      </c>
      <c r="J22" s="113">
        <f>'Instant Old no Delete'!J23/'Total Retail'!J23</f>
        <v>1.0642126789366053</v>
      </c>
      <c r="K22" s="113">
        <f>'Instant Old no Delete'!K23/'Total Retail'!K23</f>
        <v>1.0596689895470384</v>
      </c>
      <c r="L22" s="113">
        <f>'Instant Old no Delete'!L23/'Total Retail'!L23</f>
        <v>1.0714285714285714</v>
      </c>
      <c r="M22" s="113">
        <f>'Instant Old no Delete'!M23/'Total Retail'!M23</f>
        <v>1.0589970501474926</v>
      </c>
    </row>
    <row r="23" spans="1:13">
      <c r="A23" s="3">
        <f>'Instant Old no Delete'!A24</f>
        <v>1990</v>
      </c>
      <c r="B23" s="112">
        <f>'Instant Old no Delete'!B24/'Total Retail'!B24</f>
        <v>1.0682261208576997</v>
      </c>
      <c r="C23" s="113">
        <f>'Instant Old no Delete'!C24/'Total Retail'!C24</f>
        <v>1.0832025117739403</v>
      </c>
      <c r="D23" s="113">
        <f>'Instant Old no Delete'!D24/'Total Retail'!D24</f>
        <v>1.0842872008324662</v>
      </c>
      <c r="E23" s="113">
        <f>'Instant Old no Delete'!E24/'Total Retail'!E24</f>
        <v>1.0600706713780919</v>
      </c>
      <c r="F23" s="113">
        <f>'Instant Old no Delete'!F24/'Total Retail'!F24</f>
        <v>1.0516693163751987</v>
      </c>
      <c r="G23" s="113">
        <f>'Instant Old no Delete'!G24/'Total Retail'!G24</f>
        <v>1.055893536121673</v>
      </c>
      <c r="H23" s="113">
        <f>'Instant Old no Delete'!H24/'Total Retail'!H24</f>
        <v>1.0554254488680719</v>
      </c>
      <c r="I23" s="113">
        <f>'Instant Old no Delete'!I24/'Total Retail'!I24</f>
        <v>1.05329754601227</v>
      </c>
      <c r="J23" s="113">
        <f>'Instant Old no Delete'!J24/'Total Retail'!J24</f>
        <v>1.0537301894085813</v>
      </c>
      <c r="K23" s="113">
        <f>'Instant Old no Delete'!K24/'Total Retail'!K24</f>
        <v>1.0512214342001576</v>
      </c>
      <c r="L23" s="113">
        <f>'Instant Old no Delete'!L24/'Total Retail'!L24</f>
        <v>1.0408653846153846</v>
      </c>
      <c r="M23" s="113">
        <f>'Instant Old no Delete'!M24/'Total Retail'!M24</f>
        <v>1.0715281003251278</v>
      </c>
    </row>
    <row r="24" spans="1:13">
      <c r="A24" s="3">
        <f>'Instant Old no Delete'!A25</f>
        <v>1991</v>
      </c>
      <c r="B24" s="112">
        <f>'Instant Old no Delete'!B25/'Total Retail'!B25</f>
        <v>1.0799823243482103</v>
      </c>
      <c r="C24" s="113">
        <f>'Instant Old no Delete'!C25/'Total Retail'!C25</f>
        <v>1.0578034682080926</v>
      </c>
      <c r="D24" s="113">
        <f>'Instant Old no Delete'!D25/'Total Retail'!D25</f>
        <v>1.0580357142857142</v>
      </c>
      <c r="E24" s="113">
        <f>'Instant Old no Delete'!E25/'Total Retail'!E25</f>
        <v>1.0572472594397078</v>
      </c>
      <c r="F24" s="113">
        <f>'Instant Old no Delete'!F25/'Total Retail'!F25</f>
        <v>1.0573042776432606</v>
      </c>
      <c r="G24" s="113">
        <f>'Instant Old no Delete'!G25/'Total Retail'!G25</f>
        <v>1.0633520449077787</v>
      </c>
      <c r="H24" s="113">
        <f>'Instant Old no Delete'!H25/'Total Retail'!H25</f>
        <v>1.0605355064027939</v>
      </c>
      <c r="I24" s="113">
        <f>'Instant Old no Delete'!I25/'Total Retail'!I25</f>
        <v>1.0440627333831218</v>
      </c>
      <c r="J24" s="113">
        <f>'Instant Old no Delete'!J25/'Total Retail'!J25</f>
        <v>1.0529500756429653</v>
      </c>
      <c r="K24" s="113">
        <f>'Instant Old no Delete'!K25/'Total Retail'!K25</f>
        <v>1.058972198820556</v>
      </c>
      <c r="L24" s="113">
        <f>'Instant Old no Delete'!L25/'Total Retail'!L25</f>
        <v>1.0685279187817258</v>
      </c>
      <c r="M24" s="113">
        <f>'Instant Old no Delete'!M25/'Total Retail'!M25</f>
        <v>1.0736751400258508</v>
      </c>
    </row>
    <row r="25" spans="1:13">
      <c r="A25" s="3">
        <f>'Instant Old no Delete'!A26</f>
        <v>1992</v>
      </c>
      <c r="B25" s="112">
        <f>'Instant Old no Delete'!B26/'Total Retail'!B26</f>
        <v>1.05756698044895</v>
      </c>
      <c r="C25" s="113">
        <f>'Instant Old no Delete'!C26/'Total Retail'!C26</f>
        <v>1.0670079106561192</v>
      </c>
      <c r="D25" s="113">
        <f>'Instant Old no Delete'!D26/'Total Retail'!D26</f>
        <v>1.0739868049010368</v>
      </c>
      <c r="E25" s="113">
        <f>'Instant Old no Delete'!E26/'Total Retail'!E26</f>
        <v>1.0650295588904046</v>
      </c>
      <c r="F25" s="113">
        <f>'Instant Old no Delete'!F26/'Total Retail'!F26</f>
        <v>1.0673076923076923</v>
      </c>
      <c r="G25" s="113">
        <f>'Instant Old no Delete'!G26/'Total Retail'!G26</f>
        <v>1.0628092881614009</v>
      </c>
      <c r="H25" s="113">
        <f>'Instant Old no Delete'!H26/'Total Retail'!H26</f>
        <v>1.0786719595813785</v>
      </c>
      <c r="I25" s="113">
        <f>'Instant Old no Delete'!I26/'Total Retail'!I26</f>
        <v>1.0645756457564575</v>
      </c>
      <c r="J25" s="113">
        <f>'Instant Old no Delete'!J26/'Total Retail'!J26</f>
        <v>1.0847975553857907</v>
      </c>
      <c r="K25" s="113">
        <f>'Instant Old no Delete'!K26/'Total Retail'!K26</f>
        <v>1.0888594164456233</v>
      </c>
      <c r="L25" s="113">
        <f>'Instant Old no Delete'!L26/'Total Retail'!L26</f>
        <v>1.0896739130434783</v>
      </c>
      <c r="M25" s="113">
        <f>'Instant Old no Delete'!M26/'Total Retail'!M26</f>
        <v>1.0953038674033149</v>
      </c>
    </row>
    <row r="26" spans="1:13">
      <c r="A26" s="3">
        <f>'Instant Old no Delete'!A27</f>
        <v>1993</v>
      </c>
      <c r="B26" s="112">
        <f>'Instant Old no Delete'!B27/'Total Retail'!B27</f>
        <v>1.0964378801042571</v>
      </c>
      <c r="C26" s="113">
        <f>'Instant Old no Delete'!C27/'Total Retail'!C27</f>
        <v>1.0923266311038162</v>
      </c>
      <c r="D26" s="113">
        <f>'Instant Old no Delete'!D27/'Total Retail'!D27</f>
        <v>1.0226709174636912</v>
      </c>
      <c r="E26" s="113">
        <f>'Instant Old no Delete'!E27/'Total Retail'!E27</f>
        <v>1.1025901472828847</v>
      </c>
      <c r="F26" s="113">
        <f>'Instant Old no Delete'!F27/'Total Retail'!F27</f>
        <v>1.0787641427328112</v>
      </c>
      <c r="G26" s="113">
        <f>'Instant Old no Delete'!G27/'Total Retail'!G27</f>
        <v>1.0710259301014655</v>
      </c>
      <c r="H26" s="113">
        <f>'Instant Old no Delete'!H27/'Total Retail'!H27</f>
        <v>1.0785019805545553</v>
      </c>
      <c r="I26" s="113">
        <f>'Instant Old no Delete'!I27/'Total Retail'!I27</f>
        <v>1.0820476858345021</v>
      </c>
      <c r="J26" s="113">
        <f>'Instant Old no Delete'!J27/'Total Retail'!J27</f>
        <v>1.066590995081347</v>
      </c>
      <c r="K26" s="113">
        <f>'Instant Old no Delete'!K27/'Total Retail'!K27</f>
        <v>1.0572016460905349</v>
      </c>
      <c r="L26" s="113">
        <f>'Instant Old no Delete'!L27/'Total Retail'!L27</f>
        <v>1.0731046931407942</v>
      </c>
      <c r="M26" s="113">
        <f>'Instant Old no Delete'!M27/'Total Retail'!M27</f>
        <v>1.0785571142284569</v>
      </c>
    </row>
    <row r="27" spans="1:13">
      <c r="A27" s="3">
        <f>'Instant Old no Delete'!A28</f>
        <v>1994</v>
      </c>
      <c r="B27" s="112">
        <f>'Instant Old no Delete'!B28/'Total Retail'!B28</f>
        <v>1.0772870662460567</v>
      </c>
      <c r="C27" s="113">
        <f>'Instant Old no Delete'!C28/'Total Retail'!C28</f>
        <v>1.0625937031484258</v>
      </c>
      <c r="D27" s="113">
        <f>'Instant Old no Delete'!D28/'Total Retail'!D28</f>
        <v>1.0673728813559322</v>
      </c>
      <c r="E27" s="113">
        <f>'Instant Old no Delete'!E28/'Total Retail'!E28</f>
        <v>1.0786375105130361</v>
      </c>
      <c r="F27" s="113">
        <f>'Instant Old no Delete'!F28/'Total Retail'!F28</f>
        <v>1.0713450292397662</v>
      </c>
      <c r="G27" s="113">
        <f>'Instant Old no Delete'!G28/'Total Retail'!G28</f>
        <v>1.0679012345679013</v>
      </c>
      <c r="H27" s="113">
        <f>'Instant Old no Delete'!H28/'Total Retail'!H28</f>
        <v>1.066616484757245</v>
      </c>
      <c r="I27" s="113">
        <f>'Instant Old no Delete'!I28/'Total Retail'!I28</f>
        <v>1.0740740740740742</v>
      </c>
      <c r="J27" s="113">
        <f>'Instant Old no Delete'!J28/'Total Retail'!J28</f>
        <v>1.0588682111659704</v>
      </c>
      <c r="K27" s="113">
        <f>'Instant Old no Delete'!K28/'Total Retail'!K28</f>
        <v>1.0687655343827671</v>
      </c>
      <c r="L27" s="113">
        <f>'Instant Old no Delete'!L28/'Total Retail'!L28</f>
        <v>1.0600896860986546</v>
      </c>
      <c r="M27" s="113">
        <f>'Instant Old no Delete'!M28/'Total Retail'!M28</f>
        <v>1.0792801556420233</v>
      </c>
    </row>
    <row r="28" spans="1:13">
      <c r="A28" s="3">
        <f>'Instant Old no Delete'!A29</f>
        <v>1995</v>
      </c>
      <c r="B28" s="112">
        <f>'Instant Old no Delete'!B29/'Total Retail'!B29</f>
        <v>1.0568840579710146</v>
      </c>
      <c r="C28" s="113">
        <f>'Instant Old no Delete'!C29/'Total Retail'!C29</f>
        <v>1.0533123028391167</v>
      </c>
      <c r="D28" s="113">
        <f>'Instant Old no Delete'!D29/'Total Retail'!D29</f>
        <v>1.0591575958353052</v>
      </c>
      <c r="E28" s="113">
        <f>'Instant Old no Delete'!E29/'Total Retail'!E29</f>
        <v>1.0343725019984014</v>
      </c>
      <c r="F28" s="113">
        <f>'Instant Old no Delete'!F29/'Total Retail'!F29</f>
        <v>1.0603656433252846</v>
      </c>
      <c r="G28" s="113">
        <f>'Instant Old no Delete'!G29/'Total Retail'!G29</f>
        <v>1.0617678381256657</v>
      </c>
      <c r="H28" s="113">
        <f>'Instant Old no Delete'!H29/'Total Retail'!H29</f>
        <v>1.0585180055401662</v>
      </c>
      <c r="I28" s="113">
        <f>'Instant Old no Delete'!I29/'Total Retail'!I29</f>
        <v>1.0848275862068966</v>
      </c>
      <c r="J28" s="113">
        <f>'Instant Old no Delete'!J29/'Total Retail'!J29</f>
        <v>1.0577540106951873</v>
      </c>
      <c r="K28" s="113">
        <f>'Instant Old no Delete'!K29/'Total Retail'!K29</f>
        <v>1.0526512322628827</v>
      </c>
      <c r="L28" s="113">
        <f>'Instant Old no Delete'!L29/'Total Retail'!L29</f>
        <v>1.0770512286547271</v>
      </c>
      <c r="M28" s="113">
        <f>'Instant Old no Delete'!M29/'Total Retail'!M29</f>
        <v>1.0605722779635822</v>
      </c>
    </row>
    <row r="29" spans="1:13">
      <c r="A29" s="3">
        <f>'Instant Old no Delete'!A30</f>
        <v>1996</v>
      </c>
      <c r="B29" s="112">
        <f>'Instant Old no Delete'!B30/'Total Retail'!B30</f>
        <v>1.0825913417255142</v>
      </c>
      <c r="C29" s="113">
        <f>'Instant Old no Delete'!C30/'Total Retail'!C30</f>
        <v>1.0862429125634139</v>
      </c>
      <c r="D29" s="113">
        <f>'Instant Old no Delete'!D30/'Total Retail'!D30</f>
        <v>1.0690041029466617</v>
      </c>
      <c r="E29" s="113">
        <f>'Instant Old no Delete'!E30/'Total Retail'!E30</f>
        <v>1.0747663551401869</v>
      </c>
      <c r="F29" s="113">
        <f>'Instant Old no Delete'!F30/'Total Retail'!F30</f>
        <v>1.0598006644518272</v>
      </c>
      <c r="G29" s="113">
        <f>'Instant Old no Delete'!G30/'Total Retail'!G30</f>
        <v>1.0718861209964412</v>
      </c>
      <c r="H29" s="113">
        <f>'Instant Old no Delete'!H30/'Total Retail'!H30</f>
        <v>1.0603937270603938</v>
      </c>
      <c r="I29" s="113">
        <f>'Instant Old no Delete'!I30/'Total Retail'!I30</f>
        <v>1.0574829931972789</v>
      </c>
      <c r="J29" s="113">
        <f>'Instant Old no Delete'!J30/'Total Retail'!J30</f>
        <v>1.0473313192346425</v>
      </c>
      <c r="K29" s="113">
        <f>'Instant Old no Delete'!K30/'Total Retail'!K30</f>
        <v>1.0389032975175991</v>
      </c>
      <c r="L29" s="113">
        <f>'Instant Old no Delete'!L30/'Total Retail'!L30</f>
        <v>1.0353398058252428</v>
      </c>
      <c r="M29" s="113">
        <f>'Instant Old no Delete'!M30/'Total Retail'!M30</f>
        <v>1.0752435337588175</v>
      </c>
    </row>
    <row r="30" spans="1:13">
      <c r="A30" s="3">
        <f>'Instant Old no Delete'!A31</f>
        <v>1997</v>
      </c>
      <c r="B30" s="112">
        <f>'Instant Old no Delete'!B31/'Total Retail'!B31</f>
        <v>1.0660679923027583</v>
      </c>
      <c r="C30" s="113">
        <f>'Instant Old no Delete'!C31/'Total Retail'!C31</f>
        <v>1.0746905676483141</v>
      </c>
      <c r="D30" s="113">
        <f>'Instant Old no Delete'!D31/'Total Retail'!D31</f>
        <v>1.0952991452991454</v>
      </c>
      <c r="E30" s="113">
        <f>'Instant Old no Delete'!E31/'Total Retail'!E31</f>
        <v>1.0468879668049793</v>
      </c>
      <c r="F30" s="113">
        <f>'Instant Old no Delete'!F31/'Total Retail'!F31</f>
        <v>1.0413195601466179</v>
      </c>
      <c r="G30" s="113">
        <f>'Instant Old no Delete'!G31/'Total Retail'!G31</f>
        <v>1.0623324396782843</v>
      </c>
      <c r="H30" s="113">
        <f>'Instant Old no Delete'!H31/'Total Retail'!H31</f>
        <v>1.0766902119071644</v>
      </c>
      <c r="I30" s="113">
        <f>'Instant Old no Delete'!I31/'Total Retail'!I31</f>
        <v>1.0868394479973074</v>
      </c>
      <c r="J30" s="113">
        <f>'Instant Old no Delete'!J31/'Total Retail'!J31</f>
        <v>1.0654109589041096</v>
      </c>
      <c r="K30" s="113">
        <f>'Instant Old no Delete'!K31/'Total Retail'!K31</f>
        <v>1.095629435935749</v>
      </c>
      <c r="L30" s="113">
        <f>'Instant Old no Delete'!L31/'Total Retail'!L31</f>
        <v>1.1155682903533906</v>
      </c>
      <c r="M30" s="113">
        <f>'Instant Old no Delete'!M31/'Total Retail'!M31</f>
        <v>1.1011688835147118</v>
      </c>
    </row>
    <row r="31" spans="1:13">
      <c r="A31" s="3">
        <f>'Instant Old no Delete'!A32</f>
        <v>1998</v>
      </c>
      <c r="B31" s="112">
        <f>'Instant Old no Delete'!B32/'Total Retail'!B32</f>
        <v>1.1198979591836735</v>
      </c>
      <c r="C31" s="113">
        <f>'Instant Old no Delete'!C32/'Total Retail'!C32</f>
        <v>1.1014263074484945</v>
      </c>
      <c r="D31" s="113">
        <f>'Instant Old no Delete'!D32/'Total Retail'!D32</f>
        <v>1.1070110701107012</v>
      </c>
      <c r="E31" s="113">
        <f>'Instant Old no Delete'!E32/'Total Retail'!E32</f>
        <v>1.0601503759398496</v>
      </c>
      <c r="F31" s="113">
        <f>'Instant Old no Delete'!F32/'Total Retail'!F32</f>
        <v>1.0438356164383562</v>
      </c>
      <c r="G31" s="113">
        <f>'Instant Old no Delete'!G32/'Total Retail'!G32</f>
        <v>1.0786691542288558</v>
      </c>
      <c r="H31" s="113">
        <f>'Instant Old no Delete'!H32/'Total Retail'!H32</f>
        <v>1.0754716981132075</v>
      </c>
      <c r="I31" s="113">
        <f>'Instant Old no Delete'!I32/'Total Retail'!I32</f>
        <v>1.0642988364972443</v>
      </c>
      <c r="J31" s="113">
        <f>'Instant Old no Delete'!J32/'Total Retail'!J32</f>
        <v>1.0875790875790876</v>
      </c>
      <c r="K31" s="113">
        <f>'Instant Old no Delete'!K32/'Total Retail'!K32</f>
        <v>1.0600929614873837</v>
      </c>
      <c r="L31" s="113">
        <f>'Instant Old no Delete'!L32/'Total Retail'!L32</f>
        <v>1.0722940226171245</v>
      </c>
      <c r="M31" s="113">
        <f>'Instant Old no Delete'!M32/'Total Retail'!M32</f>
        <v>1.0857749469214437</v>
      </c>
    </row>
    <row r="32" spans="1:13">
      <c r="A32" s="3">
        <f>'Instant Old no Delete'!A33</f>
        <v>1999</v>
      </c>
      <c r="B32" s="112">
        <f>'Instant Old no Delete'!B33/'Total Retail'!B33</f>
        <v>1.0140803754766794</v>
      </c>
      <c r="C32" s="113">
        <f>'Instant Old no Delete'!C33/'Total Retail'!C33</f>
        <v>1.0957095709570956</v>
      </c>
      <c r="D32" s="113">
        <f>'Instant Old no Delete'!D33/'Total Retail'!D33</f>
        <v>1.0924927416009955</v>
      </c>
      <c r="E32" s="113">
        <f>'Instant Old no Delete'!E33/'Total Retail'!E33</f>
        <v>1.008816547982367</v>
      </c>
      <c r="F32" s="113">
        <f>'Instant Old no Delete'!F33/'Total Retail'!F33</f>
        <v>1.0722433460076046</v>
      </c>
      <c r="G32" s="113">
        <f>'Instant Old no Delete'!G33/'Total Retail'!G33</f>
        <v>1.0637805684071382</v>
      </c>
      <c r="H32" s="113">
        <f>'Instant Old no Delete'!H33/'Total Retail'!H33</f>
        <v>1.0343373493975903</v>
      </c>
      <c r="I32" s="113">
        <f>'Instant Old no Delete'!I33/'Total Retail'!I33</f>
        <v>1.0237247924080664</v>
      </c>
      <c r="J32" s="113">
        <f>'Instant Old no Delete'!J33/'Total Retail'!J33</f>
        <v>1.0804710500490677</v>
      </c>
      <c r="K32" s="113">
        <f>'Instant Old no Delete'!K33/'Total Retail'!K33</f>
        <v>1.0805084745762712</v>
      </c>
      <c r="L32" s="113">
        <f>'Instant Old no Delete'!L33/'Total Retail'!L33</f>
        <v>1.0798101811906817</v>
      </c>
      <c r="M32" s="113">
        <f>'Instant Old no Delete'!M33/'Total Retail'!M33</f>
        <v>1.1015325670498084</v>
      </c>
    </row>
    <row r="33" spans="1:256">
      <c r="A33" s="3">
        <f>'Instant Old no Delete'!A34</f>
        <v>2000</v>
      </c>
      <c r="B33" s="112">
        <f>'Instant Old no Delete'!B34/'Total Retail'!B34</f>
        <v>1.0873362445414847</v>
      </c>
      <c r="C33" s="113">
        <f>'Instant Old no Delete'!C34/'Total Retail'!C34</f>
        <v>1.0888422525358517</v>
      </c>
      <c r="D33" s="113">
        <f>'Instant Old no Delete'!D34/'Total Retail'!D34</f>
        <v>1.0753424657534247</v>
      </c>
      <c r="E33" s="113">
        <f>'Instant Old no Delete'!E34/'Total Retail'!E34</f>
        <v>1.0748432601880877</v>
      </c>
      <c r="F33" s="113">
        <f>'Instant Old no Delete'!F34/'Total Retail'!F34</f>
        <v>1.0812598425196851</v>
      </c>
      <c r="G33" s="113">
        <f>'Instant Old no Delete'!G34/'Total Retail'!G34</f>
        <v>1.0764252696456087</v>
      </c>
      <c r="H33" s="113">
        <f>'Instant Old no Delete'!H34/'Total Retail'!H34</f>
        <v>1.0701483312731768</v>
      </c>
      <c r="I33" s="113">
        <f>'Instant Old no Delete'!I34/'Total Retail'!I34</f>
        <v>1.0765970330003027</v>
      </c>
      <c r="J33" s="113">
        <f>'Instant Old no Delete'!J34/'Total Retail'!J34</f>
        <v>1.0535769588107773</v>
      </c>
      <c r="K33" s="113">
        <f>'Instant Old no Delete'!K34/'Total Retail'!K34</f>
        <v>1.0964224872231687</v>
      </c>
      <c r="L33" s="113">
        <f>'Instant Old no Delete'!L34/'Total Retail'!L34</f>
        <v>1.0748377243222604</v>
      </c>
      <c r="M33" s="113">
        <f>'Instant Old no Delete'!M34/'Total Retail'!M34</f>
        <v>1.0742633794347565</v>
      </c>
    </row>
    <row r="34" spans="1:256">
      <c r="A34" s="3">
        <f>'Instant Old no Delete'!A35</f>
        <v>2001</v>
      </c>
      <c r="B34" s="112">
        <f>'Instant Old no Delete'!B35/'Total Retail'!B35</f>
        <v>1.0499868455669561</v>
      </c>
      <c r="C34" s="113">
        <f>'Instant Old no Delete'!C35/'Total Retail'!C35</f>
        <v>1.0680319333564734</v>
      </c>
      <c r="D34" s="113">
        <f>'Instant Old no Delete'!D35/'Total Retail'!D35</f>
        <v>1.075268817204301</v>
      </c>
      <c r="E34" s="113">
        <f>'Instant Old no Delete'!E35/'Total Retail'!E35</f>
        <v>1.0699276610403032</v>
      </c>
      <c r="F34" s="113">
        <f>'Instant Old no Delete'!F35/'Total Retail'!F35</f>
        <v>1.0607921400061406</v>
      </c>
      <c r="G34" s="113">
        <f>'Instant Old no Delete'!G35/'Total Retail'!G35</f>
        <v>1.0504814706740588</v>
      </c>
      <c r="H34" s="113">
        <f>'Instant Old no Delete'!H35/'Total Retail'!H35</f>
        <v>1.0414523449319213</v>
      </c>
      <c r="I34" s="113">
        <f>'Instant Old no Delete'!I35/'Total Retail'!I35</f>
        <v>1.0545243619489559</v>
      </c>
      <c r="J34" s="113">
        <f>'Instant Old no Delete'!J35/'Total Retail'!J35</f>
        <v>1.0409285277947464</v>
      </c>
      <c r="K34" s="113">
        <f>'Instant Old no Delete'!K35/'Total Retail'!K35</f>
        <v>1.0387032748924909</v>
      </c>
      <c r="L34" s="113">
        <f>'Instant Old no Delete'!L35/'Total Retail'!L35</f>
        <v>1.0969055374592833</v>
      </c>
      <c r="M34" s="113">
        <f>'Instant Old no Delete'!M35/'Total Retail'!M35</f>
        <v>1.1345698500394632</v>
      </c>
    </row>
    <row r="35" spans="1:256">
      <c r="A35" s="3">
        <f>'Instant Old no Delete'!A36</f>
        <v>2002</v>
      </c>
      <c r="B35" s="112">
        <f>'Instant Old no Delete'!B36/'Total Retail'!B36</f>
        <v>1.0780730897009967</v>
      </c>
      <c r="C35" s="113">
        <f>'Instant Old no Delete'!C36/'Total Retail'!C36</f>
        <v>1.0905438813349815</v>
      </c>
      <c r="D35" s="113">
        <f>'Instant Old no Delete'!D36/'Total Retail'!D36</f>
        <v>1.0883311603650587</v>
      </c>
      <c r="E35" s="113">
        <f>'Instant Old no Delete'!E36/'Total Retail'!E36</f>
        <v>1.0442156268927922</v>
      </c>
      <c r="F35" s="113">
        <f>'Instant Old no Delete'!F36/'Total Retail'!F36</f>
        <v>1.0348571428571429</v>
      </c>
      <c r="G35" s="113">
        <f>'Instant Old no Delete'!G36/'Total Retail'!G36</f>
        <v>1.0630239953743856</v>
      </c>
      <c r="H35" s="113">
        <f>'Instant Old no Delete'!H36/'Total Retail'!H36</f>
        <v>1.0696202531645569</v>
      </c>
      <c r="I35" s="113">
        <f>'Instant Old no Delete'!I36/'Total Retail'!I36</f>
        <v>1.0746658919233003</v>
      </c>
      <c r="J35" s="113">
        <f>'Instant Old no Delete'!J36/'Total Retail'!J36</f>
        <v>1.081174438687392</v>
      </c>
      <c r="K35" s="113">
        <f>'Instant Old no Delete'!K36/'Total Retail'!K36</f>
        <v>1.0774818401937045</v>
      </c>
      <c r="L35" s="113">
        <f>'Instant Old no Delete'!L36/'Total Retail'!L36</f>
        <v>1.0517928286852589</v>
      </c>
      <c r="M35" s="113">
        <f>'Instant Old no Delete'!M36/'Total Retail'!M36</f>
        <v>1.0711898395721926</v>
      </c>
      <c r="N35" s="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3"/>
      <c r="AB35" s="112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3"/>
      <c r="AO35" s="112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3"/>
      <c r="BB35" s="112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3"/>
      <c r="BO35" s="112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3"/>
      <c r="CB35" s="112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3"/>
      <c r="CO35" s="112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3"/>
      <c r="DB35" s="112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3"/>
      <c r="DO35" s="112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3"/>
      <c r="EB35" s="112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3"/>
      <c r="EO35" s="112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3"/>
      <c r="FB35" s="112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3"/>
      <c r="FO35" s="112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3"/>
      <c r="GB35" s="112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3"/>
      <c r="GO35" s="112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  <c r="GZ35" s="113"/>
      <c r="HA35" s="3"/>
      <c r="HB35" s="112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3"/>
      <c r="HO35" s="112"/>
      <c r="HP35" s="113"/>
      <c r="HQ35" s="113"/>
      <c r="HR35" s="113"/>
      <c r="HS35" s="113"/>
      <c r="HT35" s="113"/>
      <c r="HU35" s="113"/>
      <c r="HV35" s="113"/>
      <c r="HW35" s="113"/>
      <c r="HX35" s="113"/>
      <c r="HY35" s="113"/>
      <c r="HZ35" s="113"/>
      <c r="IA35" s="3"/>
      <c r="IB35" s="112"/>
      <c r="IC35" s="113"/>
      <c r="ID35" s="113"/>
      <c r="IE35" s="113"/>
      <c r="IF35" s="113"/>
      <c r="IG35" s="113"/>
      <c r="IH35" s="113"/>
      <c r="II35" s="113"/>
      <c r="IJ35" s="113"/>
      <c r="IK35" s="113"/>
      <c r="IL35" s="113"/>
      <c r="IM35" s="113"/>
      <c r="IN35" s="3"/>
      <c r="IO35" s="112"/>
      <c r="IP35" s="113"/>
      <c r="IQ35" s="113"/>
      <c r="IR35" s="113"/>
      <c r="IS35" s="113"/>
      <c r="IT35" s="113"/>
      <c r="IU35" s="113"/>
      <c r="IV35" s="113"/>
    </row>
    <row r="36" spans="1:256">
      <c r="A36" s="3">
        <f>'Instant Old no Delete'!A37</f>
        <v>2003</v>
      </c>
      <c r="B36" s="112">
        <f>'Instant Old no Delete'!B37/'Total Retail'!B37</f>
        <v>1.0543674310744653</v>
      </c>
      <c r="C36" s="113">
        <f>'Instant Old no Delete'!C37/'Total Retail'!C37</f>
        <v>1.0771266540642721</v>
      </c>
      <c r="D36" s="113">
        <f>'Instant Old no Delete'!D37/'Total Retail'!D37</f>
        <v>1.0632069194943445</v>
      </c>
      <c r="E36" s="113">
        <f>'Instant Old no Delete'!E37/'Total Retail'!E37</f>
        <v>1.0646412411118293</v>
      </c>
      <c r="F36" s="113">
        <f>'Instant Old no Delete'!F37/'Total Retail'!F37</f>
        <v>1.0604142692750287</v>
      </c>
      <c r="G36" s="113">
        <f>'Instant Old no Delete'!G37/'Total Retail'!G37</f>
        <v>1.0676843317972351</v>
      </c>
      <c r="H36" s="113">
        <f>'Instant Old no Delete'!H37/'Total Retail'!H37</f>
        <v>1.0725917747722882</v>
      </c>
      <c r="I36" s="113">
        <f>'Instant Old no Delete'!I37/'Total Retail'!I37</f>
        <v>1.0721471687266455</v>
      </c>
      <c r="J36" s="113">
        <f>'Instant Old no Delete'!J37/'Total Retail'!J37</f>
        <v>1.0568678915135608</v>
      </c>
      <c r="K36" s="113">
        <f>'Instant Old no Delete'!K37/'Total Retail'!K37</f>
        <v>1.0555555555555556</v>
      </c>
      <c r="L36" s="113">
        <f>'Instant Old no Delete'!L37/'Total Retail'!L37</f>
        <v>1.0669025410099711</v>
      </c>
      <c r="M36" s="113">
        <f>'Instant Old no Delete'!M37/'Total Retail'!M37</f>
        <v>1.0774172823642789</v>
      </c>
      <c r="N36" s="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3"/>
      <c r="AB36" s="112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3"/>
      <c r="AO36" s="112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3"/>
      <c r="BB36" s="112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3"/>
      <c r="BO36" s="112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3"/>
      <c r="CB36" s="112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3"/>
      <c r="CO36" s="112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3"/>
      <c r="DB36" s="112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3"/>
      <c r="DO36" s="112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3"/>
      <c r="EB36" s="112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3"/>
      <c r="EO36" s="112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3"/>
      <c r="FB36" s="112"/>
      <c r="FC36" s="113"/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3"/>
      <c r="FO36" s="112"/>
      <c r="FP36" s="113"/>
      <c r="FQ36" s="113"/>
      <c r="FR36" s="113"/>
      <c r="FS36" s="113"/>
      <c r="FT36" s="113"/>
      <c r="FU36" s="113"/>
      <c r="FV36" s="113"/>
      <c r="FW36" s="113"/>
      <c r="FX36" s="113"/>
      <c r="FY36" s="113"/>
      <c r="FZ36" s="113"/>
      <c r="GA36" s="3"/>
      <c r="GB36" s="112"/>
      <c r="GC36" s="113"/>
      <c r="GD36" s="113"/>
      <c r="GE36" s="113"/>
      <c r="GF36" s="113"/>
      <c r="GG36" s="113"/>
      <c r="GH36" s="113"/>
      <c r="GI36" s="113"/>
      <c r="GJ36" s="113"/>
      <c r="GK36" s="113"/>
      <c r="GL36" s="113"/>
      <c r="GM36" s="113"/>
      <c r="GN36" s="3"/>
      <c r="GO36" s="112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3"/>
      <c r="HB36" s="112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3"/>
      <c r="HO36" s="112"/>
      <c r="HP36" s="113"/>
      <c r="HQ36" s="113"/>
      <c r="HR36" s="113"/>
      <c r="HS36" s="113"/>
      <c r="HT36" s="113"/>
      <c r="HU36" s="113"/>
      <c r="HV36" s="113"/>
      <c r="HW36" s="113"/>
      <c r="HX36" s="113"/>
      <c r="HY36" s="113"/>
      <c r="HZ36" s="113"/>
      <c r="IA36" s="3"/>
      <c r="IB36" s="112"/>
      <c r="IC36" s="113"/>
      <c r="ID36" s="113"/>
      <c r="IE36" s="113"/>
      <c r="IF36" s="113"/>
      <c r="IG36" s="113"/>
      <c r="IH36" s="113"/>
      <c r="II36" s="113"/>
      <c r="IJ36" s="113"/>
      <c r="IK36" s="113"/>
      <c r="IL36" s="113"/>
      <c r="IM36" s="113"/>
      <c r="IN36" s="3"/>
      <c r="IO36" s="112"/>
      <c r="IP36" s="113"/>
      <c r="IQ36" s="113"/>
      <c r="IR36" s="113"/>
      <c r="IS36" s="113"/>
      <c r="IT36" s="113"/>
      <c r="IU36" s="113"/>
      <c r="IV36" s="113"/>
    </row>
    <row r="37" spans="1:256">
      <c r="A37" s="3">
        <f>'Instant Old no Delete'!A38</f>
        <v>2004</v>
      </c>
      <c r="B37" s="112">
        <f>'Instant Old no Delete'!B38/'Total Retail'!B38</f>
        <v>1.0726674641148326</v>
      </c>
      <c r="C37" s="113">
        <f>'Instant Old no Delete'!C38/'Total Retail'!C38</f>
        <v>1.0867998689813299</v>
      </c>
      <c r="D37" s="113">
        <f>'Instant Old no Delete'!D38/'Total Retail'!D38</f>
        <v>1.0816087465833659</v>
      </c>
      <c r="E37" s="113">
        <f>'Instant Old no Delete'!E38/'Total Retail'!E38</f>
        <v>1.0583964646464648</v>
      </c>
      <c r="F37" s="113">
        <f>'Instant Old no Delete'!F38/'Total Retail'!F38</f>
        <v>1.0647831050228311</v>
      </c>
      <c r="G37" s="113">
        <f>'Instant Old no Delete'!G38/'Total Retail'!G38</f>
        <v>1.0607439122290607</v>
      </c>
      <c r="H37" s="113">
        <f>'Instant Old no Delete'!H38/'Total Retail'!H38</f>
        <v>1.069394525850152</v>
      </c>
      <c r="I37" s="113">
        <f>'Instant Old no Delete'!I38/'Total Retail'!I38</f>
        <v>1.0654307524536533</v>
      </c>
      <c r="J37" s="113">
        <f>'Instant Old no Delete'!J38/'Total Retail'!J38</f>
        <v>1.0734590486912468</v>
      </c>
      <c r="K37" s="113">
        <f>'Instant Old no Delete'!K38/'Total Retail'!K38</f>
        <v>1.0663716814159292</v>
      </c>
      <c r="L37" s="113">
        <f>'Instant Old no Delete'!L38/'Total Retail'!L38</f>
        <v>1.0795006570302235</v>
      </c>
      <c r="M37" s="113">
        <f>'Instant Old no Delete'!M38/'Total Retail'!M38</f>
        <v>1.0766656525707332</v>
      </c>
      <c r="N37" s="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3"/>
      <c r="AB37" s="112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3"/>
      <c r="AO37" s="112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3"/>
      <c r="BB37" s="112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3"/>
      <c r="BO37" s="112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3"/>
      <c r="CB37" s="112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3"/>
      <c r="CO37" s="112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3"/>
      <c r="DB37" s="112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3"/>
      <c r="DO37" s="112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3"/>
      <c r="EB37" s="112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3"/>
      <c r="EO37" s="112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3"/>
      <c r="FB37" s="112"/>
      <c r="FC37" s="113"/>
      <c r="FD37" s="113"/>
      <c r="FE37" s="113"/>
      <c r="FF37" s="113"/>
      <c r="FG37" s="113"/>
      <c r="FH37" s="113"/>
      <c r="FI37" s="113"/>
      <c r="FJ37" s="113"/>
      <c r="FK37" s="113"/>
      <c r="FL37" s="113"/>
      <c r="FM37" s="113"/>
      <c r="FN37" s="3"/>
      <c r="FO37" s="112"/>
      <c r="FP37" s="113"/>
      <c r="FQ37" s="113"/>
      <c r="FR37" s="113"/>
      <c r="FS37" s="113"/>
      <c r="FT37" s="113"/>
      <c r="FU37" s="113"/>
      <c r="FV37" s="113"/>
      <c r="FW37" s="113"/>
      <c r="FX37" s="113"/>
      <c r="FY37" s="113"/>
      <c r="FZ37" s="113"/>
      <c r="GA37" s="3"/>
      <c r="GB37" s="112"/>
      <c r="GC37" s="113"/>
      <c r="GD37" s="113"/>
      <c r="GE37" s="113"/>
      <c r="GF37" s="113"/>
      <c r="GG37" s="113"/>
      <c r="GH37" s="113"/>
      <c r="GI37" s="113"/>
      <c r="GJ37" s="113"/>
      <c r="GK37" s="113"/>
      <c r="GL37" s="113"/>
      <c r="GM37" s="113"/>
      <c r="GN37" s="3"/>
      <c r="GO37" s="112"/>
      <c r="GP37" s="113"/>
      <c r="GQ37" s="113"/>
      <c r="GR37" s="113"/>
      <c r="GS37" s="113"/>
      <c r="GT37" s="113"/>
      <c r="GU37" s="113"/>
      <c r="GV37" s="113"/>
      <c r="GW37" s="113"/>
      <c r="GX37" s="113"/>
      <c r="GY37" s="113"/>
      <c r="GZ37" s="113"/>
      <c r="HA37" s="3"/>
      <c r="HB37" s="112"/>
      <c r="HC37" s="113"/>
      <c r="HD37" s="113"/>
      <c r="HE37" s="113"/>
      <c r="HF37" s="113"/>
      <c r="HG37" s="113"/>
      <c r="HH37" s="113"/>
      <c r="HI37" s="113"/>
      <c r="HJ37" s="113"/>
      <c r="HK37" s="113"/>
      <c r="HL37" s="113"/>
      <c r="HM37" s="113"/>
      <c r="HN37" s="3"/>
      <c r="HO37" s="112"/>
      <c r="HP37" s="113"/>
      <c r="HQ37" s="113"/>
      <c r="HR37" s="113"/>
      <c r="HS37" s="113"/>
      <c r="HT37" s="113"/>
      <c r="HU37" s="113"/>
      <c r="HV37" s="113"/>
      <c r="HW37" s="113"/>
      <c r="HX37" s="113"/>
      <c r="HY37" s="113"/>
      <c r="HZ37" s="113"/>
      <c r="IA37" s="3"/>
      <c r="IB37" s="112"/>
      <c r="IC37" s="113"/>
      <c r="ID37" s="113"/>
      <c r="IE37" s="113"/>
      <c r="IF37" s="113"/>
      <c r="IG37" s="113"/>
      <c r="IH37" s="113"/>
      <c r="II37" s="113"/>
      <c r="IJ37" s="113"/>
      <c r="IK37" s="113"/>
      <c r="IL37" s="113"/>
      <c r="IM37" s="113"/>
      <c r="IN37" s="3"/>
      <c r="IO37" s="112"/>
      <c r="IP37" s="113"/>
      <c r="IQ37" s="113"/>
      <c r="IR37" s="113"/>
      <c r="IS37" s="113"/>
      <c r="IT37" s="113"/>
      <c r="IU37" s="113"/>
      <c r="IV37" s="113"/>
    </row>
    <row r="38" spans="1:256">
      <c r="A38" s="3">
        <f>'Instant Old no Delete'!A39</f>
        <v>2005</v>
      </c>
      <c r="B38" s="112">
        <f>'Instant Old no Delete'!B39/'Total Retail'!B39</f>
        <v>1.0512750949538796</v>
      </c>
      <c r="C38" s="113">
        <f>'Instant Old no Delete'!C39/'Total Retail'!C39</f>
        <v>1.0639204545454546</v>
      </c>
      <c r="D38" s="113">
        <f>'Instant Old no Delete'!D39/'Total Retail'!D39</f>
        <v>1.0419627749576987</v>
      </c>
      <c r="E38" s="113">
        <f>'Instant Old no Delete'!E39/'Total Retail'!E39</f>
        <v>1.0730795377294358</v>
      </c>
      <c r="F38" s="113">
        <f>'Instant Old no Delete'!F39/'Total Retail'!F39</f>
        <v>1.0542324246771879</v>
      </c>
      <c r="G38" s="113">
        <f>'Instant Old no Delete'!G39/'Total Retail'!G39</f>
        <v>1.0646964856230032</v>
      </c>
      <c r="H38" s="113">
        <f>'Instant Old no Delete'!H39/'Total Retail'!H39</f>
        <v>1.0623409669211197</v>
      </c>
      <c r="I38" s="113">
        <f>'Instant Old no Delete'!I39/'Total Retail'!I39</f>
        <v>1.059475806451613</v>
      </c>
      <c r="J38" s="113">
        <f>'Instant Old no Delete'!J39/'Total Retail'!J39</f>
        <v>1.0647520997019777</v>
      </c>
      <c r="K38" s="113">
        <f>'Instant Old no Delete'!K39/'Total Retail'!K39</f>
        <v>1.062320505456634</v>
      </c>
      <c r="L38" s="113">
        <f>'Instant Old no Delete'!L39/'Total Retail'!L39</f>
        <v>1.0788177339901477</v>
      </c>
      <c r="M38" s="113">
        <f>'Instant Old no Delete'!M39/'Total Retail'!M39</f>
        <v>1.0753221010901883</v>
      </c>
      <c r="N38" s="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3"/>
      <c r="AB38" s="112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3"/>
      <c r="AO38" s="112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3"/>
      <c r="BB38" s="112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3"/>
      <c r="BO38" s="112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3"/>
      <c r="CB38" s="112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3"/>
      <c r="CO38" s="112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3"/>
      <c r="DB38" s="112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3"/>
      <c r="DO38" s="112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3"/>
      <c r="EB38" s="112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3"/>
      <c r="EO38" s="112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3"/>
      <c r="FB38" s="112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3"/>
      <c r="FO38" s="112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3"/>
      <c r="GB38" s="112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13"/>
      <c r="GN38" s="3"/>
      <c r="GO38" s="112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3"/>
      <c r="HB38" s="112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3"/>
      <c r="HO38" s="112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3"/>
      <c r="IB38" s="112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3"/>
      <c r="IO38" s="112"/>
      <c r="IP38" s="113"/>
      <c r="IQ38" s="113"/>
      <c r="IR38" s="113"/>
      <c r="IS38" s="113"/>
      <c r="IT38" s="113"/>
      <c r="IU38" s="113"/>
      <c r="IV38" s="113"/>
    </row>
    <row r="39" spans="1:256">
      <c r="A39" s="3">
        <f>'Instant Old no Delete'!A40</f>
        <v>2006</v>
      </c>
      <c r="B39" s="112">
        <f>'Instant Old no Delete'!B40/'Total Retail'!B40</f>
        <v>1.098322920092075</v>
      </c>
      <c r="C39" s="113">
        <f>'Instant Old no Delete'!C40/'Total Retail'!C40</f>
        <v>1.0602248394004283</v>
      </c>
      <c r="D39" s="113">
        <f>'Instant Old no Delete'!D40/'Total Retail'!D40</f>
        <v>1.0807319698600646</v>
      </c>
      <c r="E39" s="113">
        <f>'Instant Old no Delete'!E40/'Total Retail'!E40</f>
        <v>1.0425284008156133</v>
      </c>
      <c r="F39" s="113">
        <f>'Instant Old no Delete'!F40/'Total Retail'!F40</f>
        <v>1.0639470782800442</v>
      </c>
      <c r="G39" s="113">
        <f>'Instant Old no Delete'!G40/'Total Retail'!G40</f>
        <v>1.0625</v>
      </c>
      <c r="H39" s="113">
        <f>'Instant Old no Delete'!H40/'Total Retail'!H40</f>
        <v>1.06710895636642</v>
      </c>
      <c r="I39" s="113">
        <f>'Instant Old no Delete'!I40/'Total Retail'!I40</f>
        <v>1.0556109725685785</v>
      </c>
      <c r="J39" s="113">
        <f>'Instant Old no Delete'!J40/'Total Retail'!J40</f>
        <v>1.063274098007539</v>
      </c>
      <c r="K39" s="113">
        <f>'Instant Old no Delete'!K40/'Total Retail'!K40</f>
        <v>1.065819209039548</v>
      </c>
      <c r="L39" s="113">
        <f>'Instant Old no Delete'!L40/'Total Retail'!L40</f>
        <v>1.0533915379449295</v>
      </c>
      <c r="M39" s="113">
        <f>'Instant Old no Delete'!M40/'Total Retail'!M40</f>
        <v>1.0754012691302726</v>
      </c>
      <c r="N39" s="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3"/>
      <c r="AB39" s="112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3"/>
      <c r="AO39" s="112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3"/>
      <c r="BB39" s="112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3"/>
      <c r="BO39" s="112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3"/>
      <c r="CB39" s="112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3"/>
      <c r="CO39" s="112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3"/>
      <c r="DB39" s="112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3"/>
      <c r="DO39" s="112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3"/>
      <c r="EB39" s="112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3"/>
      <c r="EO39" s="112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3"/>
      <c r="FB39" s="112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3"/>
      <c r="FO39" s="112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3"/>
      <c r="GB39" s="112"/>
      <c r="GC39" s="113"/>
      <c r="GD39" s="113"/>
      <c r="GE39" s="113"/>
      <c r="GF39" s="113"/>
      <c r="GG39" s="113"/>
      <c r="GH39" s="113"/>
      <c r="GI39" s="113"/>
      <c r="GJ39" s="113"/>
      <c r="GK39" s="113"/>
      <c r="GL39" s="113"/>
      <c r="GM39" s="113"/>
      <c r="GN39" s="3"/>
      <c r="GO39" s="112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3"/>
      <c r="HB39" s="112"/>
      <c r="HC39" s="113"/>
      <c r="HD39" s="113"/>
      <c r="HE39" s="113"/>
      <c r="HF39" s="113"/>
      <c r="HG39" s="113"/>
      <c r="HH39" s="113"/>
      <c r="HI39" s="113"/>
      <c r="HJ39" s="113"/>
      <c r="HK39" s="113"/>
      <c r="HL39" s="113"/>
      <c r="HM39" s="113"/>
      <c r="HN39" s="3"/>
      <c r="HO39" s="112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3"/>
      <c r="IB39" s="112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3"/>
      <c r="IO39" s="112"/>
      <c r="IP39" s="113"/>
      <c r="IQ39" s="113"/>
      <c r="IR39" s="113"/>
      <c r="IS39" s="113"/>
      <c r="IT39" s="113"/>
      <c r="IU39" s="113"/>
      <c r="IV39" s="113"/>
    </row>
    <row r="40" spans="1:256">
      <c r="A40" s="3">
        <f>'Instant Old no Delete'!A41</f>
        <v>2007</v>
      </c>
      <c r="B40" s="112">
        <f>'Instant Old no Delete'!B41/'Total Retail'!B41</f>
        <v>1.0742748953558541</v>
      </c>
      <c r="C40" s="113">
        <f>'Instant Old no Delete'!C41/'Total Retail'!C41</f>
        <v>1.0754549531681741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3"/>
      <c r="AB40" s="112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3"/>
      <c r="AO40" s="112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3"/>
      <c r="BB40" s="112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3"/>
      <c r="BO40" s="112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3"/>
      <c r="CB40" s="112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3"/>
      <c r="CO40" s="112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3"/>
      <c r="DB40" s="112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3"/>
      <c r="DO40" s="112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3"/>
      <c r="EB40" s="112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3"/>
      <c r="EO40" s="112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3"/>
      <c r="FB40" s="112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3"/>
      <c r="FO40" s="112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3"/>
      <c r="GB40" s="112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3"/>
      <c r="GO40" s="112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3"/>
      <c r="HB40" s="112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3"/>
      <c r="HO40" s="112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3"/>
      <c r="IB40" s="112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3"/>
      <c r="IO40" s="112"/>
      <c r="IP40" s="113"/>
      <c r="IQ40" s="113"/>
      <c r="IR40" s="113"/>
      <c r="IS40" s="113"/>
      <c r="IT40" s="113"/>
      <c r="IU40" s="113"/>
      <c r="IV40" s="113"/>
    </row>
    <row r="41" spans="1:256">
      <c r="A41" s="3">
        <f>'Instant Old no Delete'!A42</f>
        <v>2008</v>
      </c>
      <c r="B41" s="112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3"/>
      <c r="AB41" s="112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3"/>
      <c r="AO41" s="112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3"/>
      <c r="BB41" s="112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3"/>
      <c r="BO41" s="112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3"/>
      <c r="CB41" s="112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3"/>
      <c r="CO41" s="112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3"/>
      <c r="DB41" s="112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3"/>
      <c r="DO41" s="112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3"/>
      <c r="EB41" s="112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3"/>
      <c r="EO41" s="112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3"/>
      <c r="FB41" s="112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3"/>
      <c r="FO41" s="112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3"/>
      <c r="GB41" s="112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3"/>
      <c r="GO41" s="112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3"/>
      <c r="HB41" s="112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3"/>
      <c r="HO41" s="112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3"/>
      <c r="IB41" s="112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3"/>
      <c r="IO41" s="112"/>
      <c r="IP41" s="113"/>
      <c r="IQ41" s="113"/>
      <c r="IR41" s="113"/>
      <c r="IS41" s="113"/>
      <c r="IT41" s="113"/>
      <c r="IU41" s="113"/>
      <c r="IV41" s="113"/>
    </row>
    <row r="42" spans="1:256">
      <c r="A42" s="3">
        <f>'Instant Old no Delete'!A43</f>
        <v>2009</v>
      </c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3"/>
      <c r="AB42" s="112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3"/>
      <c r="AO42" s="112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3"/>
      <c r="BB42" s="112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3"/>
      <c r="BO42" s="112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3"/>
      <c r="CB42" s="112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3"/>
      <c r="CO42" s="112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3"/>
      <c r="DB42" s="112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3"/>
      <c r="DO42" s="112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3"/>
      <c r="EB42" s="112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3"/>
      <c r="EO42" s="112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3"/>
      <c r="FB42" s="112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3"/>
      <c r="FO42" s="112"/>
      <c r="FP42" s="113"/>
      <c r="FQ42" s="113"/>
      <c r="FR42" s="113"/>
      <c r="FS42" s="113"/>
      <c r="FT42" s="113"/>
      <c r="FU42" s="113"/>
      <c r="FV42" s="113"/>
      <c r="FW42" s="113"/>
      <c r="FX42" s="113"/>
      <c r="FY42" s="113"/>
      <c r="FZ42" s="113"/>
      <c r="GA42" s="3"/>
      <c r="GB42" s="112"/>
      <c r="GC42" s="113"/>
      <c r="GD42" s="113"/>
      <c r="GE42" s="113"/>
      <c r="GF42" s="113"/>
      <c r="GG42" s="113"/>
      <c r="GH42" s="113"/>
      <c r="GI42" s="113"/>
      <c r="GJ42" s="113"/>
      <c r="GK42" s="113"/>
      <c r="GL42" s="113"/>
      <c r="GM42" s="113"/>
      <c r="GN42" s="3"/>
      <c r="GO42" s="112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3"/>
      <c r="HB42" s="112"/>
      <c r="HC42" s="113"/>
      <c r="HD42" s="113"/>
      <c r="HE42" s="113"/>
      <c r="HF42" s="113"/>
      <c r="HG42" s="113"/>
      <c r="HH42" s="113"/>
      <c r="HI42" s="113"/>
      <c r="HJ42" s="113"/>
      <c r="HK42" s="113"/>
      <c r="HL42" s="113"/>
      <c r="HM42" s="113"/>
      <c r="HN42" s="3"/>
      <c r="HO42" s="112"/>
      <c r="HP42" s="113"/>
      <c r="HQ42" s="113"/>
      <c r="HR42" s="113"/>
      <c r="HS42" s="113"/>
      <c r="HT42" s="113"/>
      <c r="HU42" s="113"/>
      <c r="HV42" s="113"/>
      <c r="HW42" s="113"/>
      <c r="HX42" s="113"/>
      <c r="HY42" s="113"/>
      <c r="HZ42" s="113"/>
      <c r="IA42" s="3"/>
      <c r="IB42" s="112"/>
      <c r="IC42" s="113"/>
      <c r="ID42" s="113"/>
      <c r="IE42" s="113"/>
      <c r="IF42" s="113"/>
      <c r="IG42" s="113"/>
      <c r="IH42" s="113"/>
      <c r="II42" s="113"/>
      <c r="IJ42" s="113"/>
      <c r="IK42" s="113"/>
      <c r="IL42" s="113"/>
      <c r="IM42" s="113"/>
      <c r="IN42" s="3"/>
      <c r="IO42" s="112"/>
      <c r="IP42" s="113"/>
      <c r="IQ42" s="113"/>
      <c r="IR42" s="113"/>
      <c r="IS42" s="113"/>
      <c r="IT42" s="113"/>
      <c r="IU42" s="113"/>
      <c r="IV42" s="113"/>
    </row>
    <row r="43" spans="1:256">
      <c r="A43" s="3">
        <f>'Instant Old no Delete'!A49</f>
        <v>2015</v>
      </c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3"/>
      <c r="AB43" s="112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3"/>
      <c r="AO43" s="112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3"/>
      <c r="BB43" s="112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3"/>
      <c r="BO43" s="112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3"/>
      <c r="CB43" s="112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3"/>
      <c r="CO43" s="112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3"/>
      <c r="DB43" s="112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3"/>
      <c r="DO43" s="112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3"/>
      <c r="EB43" s="112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3"/>
      <c r="EO43" s="112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3"/>
      <c r="FB43" s="112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3"/>
      <c r="FO43" s="112"/>
      <c r="FP43" s="113"/>
      <c r="FQ43" s="113"/>
      <c r="FR43" s="113"/>
      <c r="FS43" s="113"/>
      <c r="FT43" s="113"/>
      <c r="FU43" s="113"/>
      <c r="FV43" s="113"/>
      <c r="FW43" s="113"/>
      <c r="FX43" s="113"/>
      <c r="FY43" s="113"/>
      <c r="FZ43" s="113"/>
      <c r="GA43" s="3"/>
      <c r="GB43" s="112"/>
      <c r="GC43" s="113"/>
      <c r="GD43" s="113"/>
      <c r="GE43" s="113"/>
      <c r="GF43" s="113"/>
      <c r="GG43" s="113"/>
      <c r="GH43" s="113"/>
      <c r="GI43" s="113"/>
      <c r="GJ43" s="113"/>
      <c r="GK43" s="113"/>
      <c r="GL43" s="113"/>
      <c r="GM43" s="113"/>
      <c r="GN43" s="3"/>
      <c r="GO43" s="112"/>
      <c r="GP43" s="113"/>
      <c r="GQ43" s="113"/>
      <c r="GR43" s="113"/>
      <c r="GS43" s="113"/>
      <c r="GT43" s="113"/>
      <c r="GU43" s="113"/>
      <c r="GV43" s="113"/>
      <c r="GW43" s="113"/>
      <c r="GX43" s="113"/>
      <c r="GY43" s="113"/>
      <c r="GZ43" s="113"/>
      <c r="HA43" s="3"/>
      <c r="HB43" s="112"/>
      <c r="HC43" s="113"/>
      <c r="HD43" s="113"/>
      <c r="HE43" s="113"/>
      <c r="HF43" s="113"/>
      <c r="HG43" s="113"/>
      <c r="HH43" s="113"/>
      <c r="HI43" s="113"/>
      <c r="HJ43" s="113"/>
      <c r="HK43" s="113"/>
      <c r="HL43" s="113"/>
      <c r="HM43" s="113"/>
      <c r="HN43" s="3"/>
      <c r="HO43" s="112"/>
      <c r="HP43" s="113"/>
      <c r="HQ43" s="113"/>
      <c r="HR43" s="113"/>
      <c r="HS43" s="113"/>
      <c r="HT43" s="113"/>
      <c r="HU43" s="113"/>
      <c r="HV43" s="113"/>
      <c r="HW43" s="113"/>
      <c r="HX43" s="113"/>
      <c r="HY43" s="113"/>
      <c r="HZ43" s="113"/>
      <c r="IA43" s="3"/>
      <c r="IB43" s="112"/>
      <c r="IC43" s="113"/>
      <c r="ID43" s="113"/>
      <c r="IE43" s="113"/>
      <c r="IF43" s="113"/>
      <c r="IG43" s="113"/>
      <c r="IH43" s="113"/>
      <c r="II43" s="113"/>
      <c r="IJ43" s="113"/>
      <c r="IK43" s="113"/>
      <c r="IL43" s="113"/>
      <c r="IM43" s="113"/>
      <c r="IN43" s="3"/>
      <c r="IO43" s="112"/>
      <c r="IP43" s="113"/>
      <c r="IQ43" s="113"/>
      <c r="IR43" s="113"/>
      <c r="IS43" s="113"/>
      <c r="IT43" s="113"/>
      <c r="IU43" s="113"/>
      <c r="IV43" s="113"/>
    </row>
    <row r="44" spans="1:256">
      <c r="A44" s="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</row>
    <row r="45" spans="1:256">
      <c r="A45" s="218" t="s">
        <v>249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</row>
    <row r="46" spans="1:256" ht="15.75">
      <c r="A46" s="173" t="s">
        <v>248</v>
      </c>
    </row>
    <row r="47" spans="1:256">
      <c r="A47" s="3" t="s">
        <v>165</v>
      </c>
      <c r="B47" s="19">
        <f>MEDIAN(B30:B39)</f>
        <v>1.0693677282087954</v>
      </c>
      <c r="C47" s="19">
        <f t="shared" ref="C47:M47" si="0">MEDIAN(C30:C39)</f>
        <v>1.081963261522801</v>
      </c>
      <c r="D47" s="19">
        <f t="shared" si="0"/>
        <v>1.0811703582217151</v>
      </c>
      <c r="E47" s="19">
        <f t="shared" si="0"/>
        <v>1.0592734202931573</v>
      </c>
      <c r="F47" s="19">
        <f t="shared" si="0"/>
        <v>1.0606032046405847</v>
      </c>
      <c r="G47" s="19">
        <f t="shared" si="0"/>
        <v>1.0634022818907618</v>
      </c>
      <c r="H47" s="19">
        <f t="shared" si="0"/>
        <v>1.0695073895073546</v>
      </c>
      <c r="I47" s="19">
        <f t="shared" si="0"/>
        <v>1.0648647944754488</v>
      </c>
      <c r="J47" s="19">
        <f t="shared" si="0"/>
        <v>1.0650815293030438</v>
      </c>
      <c r="K47" s="19">
        <f t="shared" si="0"/>
        <v>1.0660954452277385</v>
      </c>
      <c r="L47" s="19">
        <f t="shared" si="0"/>
        <v>1.0768277291562041</v>
      </c>
      <c r="M47" s="19">
        <f t="shared" si="0"/>
        <v>1.077041467467506</v>
      </c>
    </row>
    <row r="48" spans="1:256">
      <c r="A48" s="3" t="s">
        <v>54</v>
      </c>
      <c r="B48" s="19">
        <f>AVERAGE(B30:B39)</f>
        <v>1.06920754170078</v>
      </c>
      <c r="C48" s="19">
        <f t="shared" ref="C48:M48" si="1">AVERAGE(C30:C39)</f>
        <v>1.0807316330272696</v>
      </c>
      <c r="D48" s="19">
        <f t="shared" si="1"/>
        <v>1.08012558112291</v>
      </c>
      <c r="E48" s="19">
        <f t="shared" si="1"/>
        <v>1.0543487083151724</v>
      </c>
      <c r="F48" s="19">
        <f t="shared" si="1"/>
        <v>1.057768452523064</v>
      </c>
      <c r="G48" s="19">
        <f t="shared" si="1"/>
        <v>1.0650337627657631</v>
      </c>
      <c r="H48" s="19">
        <f t="shared" si="1"/>
        <v>1.0639156412697597</v>
      </c>
      <c r="I48" s="19">
        <f t="shared" si="1"/>
        <v>1.0633315063975668</v>
      </c>
      <c r="J48" s="19">
        <f t="shared" si="1"/>
        <v>1.0667494159739506</v>
      </c>
      <c r="K48" s="19">
        <f t="shared" si="1"/>
        <v>1.0698905425776435</v>
      </c>
      <c r="L48" s="19">
        <f t="shared" si="1"/>
        <v>1.0769821054603272</v>
      </c>
      <c r="M48" s="19">
        <f t="shared" si="1"/>
        <v>1.0873305771687851</v>
      </c>
    </row>
    <row r="49" spans="1:13">
      <c r="A49" s="3" t="s">
        <v>52</v>
      </c>
      <c r="B49" s="19">
        <f>MAX(B30:B39)</f>
        <v>1.1198979591836735</v>
      </c>
      <c r="C49" s="19">
        <f t="shared" ref="C49:M49" si="2">MAX(C30:C39)</f>
        <v>1.1014263074484945</v>
      </c>
      <c r="D49" s="19">
        <f t="shared" si="2"/>
        <v>1.1070110701107012</v>
      </c>
      <c r="E49" s="19">
        <f t="shared" si="2"/>
        <v>1.0748432601880877</v>
      </c>
      <c r="F49" s="19">
        <f t="shared" si="2"/>
        <v>1.0812598425196851</v>
      </c>
      <c r="G49" s="19">
        <f t="shared" si="2"/>
        <v>1.0786691542288558</v>
      </c>
      <c r="H49" s="19">
        <f t="shared" si="2"/>
        <v>1.0766902119071644</v>
      </c>
      <c r="I49" s="19">
        <f t="shared" si="2"/>
        <v>1.0868394479973074</v>
      </c>
      <c r="J49" s="19">
        <f t="shared" si="2"/>
        <v>1.0875790875790876</v>
      </c>
      <c r="K49" s="19">
        <f t="shared" si="2"/>
        <v>1.0964224872231687</v>
      </c>
      <c r="L49" s="19">
        <f t="shared" si="2"/>
        <v>1.1155682903533906</v>
      </c>
      <c r="M49" s="19">
        <f t="shared" si="2"/>
        <v>1.1345698500394632</v>
      </c>
    </row>
    <row r="50" spans="1:13">
      <c r="A50" s="3" t="s">
        <v>53</v>
      </c>
      <c r="B50" s="19">
        <f>MIN(B30:B39)</f>
        <v>1.0140803754766794</v>
      </c>
      <c r="C50" s="19">
        <f t="shared" ref="C50:M50" si="3">MIN(C30:C39)</f>
        <v>1.0602248394004283</v>
      </c>
      <c r="D50" s="19">
        <f t="shared" si="3"/>
        <v>1.0419627749576987</v>
      </c>
      <c r="E50" s="19">
        <f t="shared" si="3"/>
        <v>1.008816547982367</v>
      </c>
      <c r="F50" s="19">
        <f t="shared" si="3"/>
        <v>1.0348571428571429</v>
      </c>
      <c r="G50" s="19">
        <f t="shared" si="3"/>
        <v>1.0504814706740588</v>
      </c>
      <c r="H50" s="19">
        <f t="shared" si="3"/>
        <v>1.0343373493975903</v>
      </c>
      <c r="I50" s="19">
        <f t="shared" si="3"/>
        <v>1.0237247924080664</v>
      </c>
      <c r="J50" s="19">
        <f t="shared" si="3"/>
        <v>1.0409285277947464</v>
      </c>
      <c r="K50" s="19">
        <f t="shared" si="3"/>
        <v>1.0387032748924909</v>
      </c>
      <c r="L50" s="19">
        <f t="shared" si="3"/>
        <v>1.0517928286852589</v>
      </c>
      <c r="M50" s="19">
        <f t="shared" si="3"/>
        <v>1.0711898395721926</v>
      </c>
    </row>
    <row r="52" spans="1:13">
      <c r="A52" s="3"/>
      <c r="B52" s="3"/>
      <c r="C52" s="3"/>
      <c r="D52" s="3"/>
      <c r="E52" s="3"/>
      <c r="F52" s="3"/>
      <c r="G52" s="3"/>
      <c r="H52" s="3"/>
      <c r="I52" s="114"/>
      <c r="J52" s="3"/>
      <c r="K52" s="3"/>
      <c r="L52" s="3"/>
      <c r="M52" s="3"/>
    </row>
    <row r="66" spans="1:13" ht="15.75">
      <c r="A66" s="3"/>
      <c r="B66" s="5" t="s">
        <v>168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8" spans="1:13">
      <c r="A68" s="10"/>
      <c r="B68" s="10" t="s">
        <v>4</v>
      </c>
      <c r="C68" s="10" t="s">
        <v>8</v>
      </c>
      <c r="D68" s="10" t="s">
        <v>9</v>
      </c>
      <c r="E68" s="10" t="s">
        <v>10</v>
      </c>
      <c r="F68" s="10" t="s">
        <v>11</v>
      </c>
      <c r="G68" s="10" t="s">
        <v>12</v>
      </c>
      <c r="H68" s="10" t="s">
        <v>13</v>
      </c>
      <c r="I68" s="10" t="s">
        <v>15</v>
      </c>
      <c r="J68" s="10" t="s">
        <v>16</v>
      </c>
      <c r="K68" s="10" t="s">
        <v>17</v>
      </c>
      <c r="L68" s="10" t="s">
        <v>18</v>
      </c>
      <c r="M68" s="10" t="s">
        <v>19</v>
      </c>
    </row>
    <row r="69" spans="1:13">
      <c r="A69" s="3">
        <f>A6</f>
        <v>1973</v>
      </c>
      <c r="B69" s="110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</row>
    <row r="70" spans="1:13">
      <c r="A70" s="3">
        <f t="shared" ref="A70:A106" si="4">A7</f>
        <v>1974</v>
      </c>
      <c r="B70" s="112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</row>
    <row r="71" spans="1:13">
      <c r="A71" s="3">
        <f t="shared" si="4"/>
        <v>1975</v>
      </c>
      <c r="B71" s="112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</row>
    <row r="72" spans="1:13">
      <c r="A72" s="3">
        <f t="shared" si="4"/>
        <v>1976</v>
      </c>
      <c r="B72" s="112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</row>
    <row r="73" spans="1:13">
      <c r="A73" s="3">
        <f t="shared" si="4"/>
        <v>1977</v>
      </c>
      <c r="B73" s="112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</row>
    <row r="74" spans="1:13">
      <c r="A74" s="3">
        <f t="shared" si="4"/>
        <v>1978</v>
      </c>
      <c r="B74" s="112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</row>
    <row r="75" spans="1:13">
      <c r="A75" s="3">
        <f t="shared" si="4"/>
        <v>1979</v>
      </c>
      <c r="B75" s="112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</row>
    <row r="76" spans="1:13">
      <c r="A76" s="3">
        <f t="shared" si="4"/>
        <v>1980</v>
      </c>
      <c r="B76" s="112">
        <f>'Instant Old no Delete'!B14/'Firm Retail'!B13</f>
        <v>1.2122128174123337</v>
      </c>
      <c r="C76" s="113">
        <f>'Instant Old no Delete'!C14/'Firm Retail'!C13</f>
        <v>1.1885482938114518</v>
      </c>
      <c r="D76" s="113">
        <f>'Instant Old no Delete'!D14/'Firm Retail'!D13</f>
        <v>1.0843373493975903</v>
      </c>
      <c r="E76" s="113">
        <f>'Instant Old no Delete'!E14/'Firm Retail'!E13</f>
        <v>1.2529457973291438</v>
      </c>
      <c r="F76" s="113">
        <f>'Instant Old no Delete'!F14/'Firm Retail'!F13</f>
        <v>1.1877394636015326</v>
      </c>
      <c r="G76" s="113">
        <f>'Instant Old no Delete'!G14/'Firm Retail'!G13</f>
        <v>1.2507977026164645</v>
      </c>
      <c r="H76" s="113">
        <f>'Instant Old no Delete'!H14/'Firm Retail'!H13</f>
        <v>1.1854190585533868</v>
      </c>
      <c r="I76" s="113">
        <f>'Instant Old no Delete'!I14/'Firm Retail'!I13</f>
        <v>1.1817653890824622</v>
      </c>
      <c r="J76" s="113">
        <f>'Instant Old no Delete'!J14/'Firm Retail'!J13</f>
        <v>1.1958511287370348</v>
      </c>
      <c r="K76" s="113">
        <f>'Instant Old no Delete'!K14/'Firm Retail'!K13</f>
        <v>1.2114845938375349</v>
      </c>
      <c r="L76" s="113">
        <f>'Instant Old no Delete'!L14/'Firm Retail'!L13</f>
        <v>1.2480499219968799</v>
      </c>
      <c r="M76" s="113">
        <f>'Instant Old no Delete'!M14/'Firm Retail'!M13</f>
        <v>1.2204234122042341</v>
      </c>
    </row>
    <row r="77" spans="1:13">
      <c r="A77" s="3">
        <f t="shared" si="4"/>
        <v>1981</v>
      </c>
      <c r="B77" s="112">
        <f>'Instant Old no Delete'!B15/'Firm Retail'!B14</f>
        <v>1.1471264367816092</v>
      </c>
      <c r="C77" s="113">
        <f>'Instant Old no Delete'!C15/'Firm Retail'!C14</f>
        <v>1.1025093432995194</v>
      </c>
      <c r="D77" s="113">
        <f>'Instant Old no Delete'!D15/'Firm Retail'!D14</f>
        <v>1.2480974124809741</v>
      </c>
      <c r="E77" s="113">
        <f>'Instant Old no Delete'!E15/'Firm Retail'!E14</f>
        <v>1.2301013024602026</v>
      </c>
      <c r="F77" s="113">
        <f>'Instant Old no Delete'!F15/'Firm Retail'!F14</f>
        <v>1.2099308610936519</v>
      </c>
      <c r="G77" s="113">
        <f>'Instant Old no Delete'!G15/'Firm Retail'!G14</f>
        <v>1.1509635974304069</v>
      </c>
      <c r="H77" s="113">
        <f>'Instant Old no Delete'!H15/'Firm Retail'!H14</f>
        <v>1.1789532920652785</v>
      </c>
      <c r="I77" s="113">
        <f>'Instant Old no Delete'!I15/'Firm Retail'!I14</f>
        <v>1.182089552238806</v>
      </c>
      <c r="J77" s="113">
        <f>'Instant Old no Delete'!J15/'Firm Retail'!J14</f>
        <v>1.1683402244536325</v>
      </c>
      <c r="K77" s="113">
        <f>'Instant Old no Delete'!K15/'Firm Retail'!K14</f>
        <v>1.202277294038848</v>
      </c>
      <c r="L77" s="113">
        <f>'Instant Old no Delete'!L15/'Firm Retail'!L14</f>
        <v>1.1614173228346456</v>
      </c>
      <c r="M77" s="113">
        <f>'Instant Old no Delete'!M15/'Firm Retail'!M14</f>
        <v>1.1601307189542485</v>
      </c>
    </row>
    <row r="78" spans="1:13">
      <c r="A78" s="3">
        <f t="shared" si="4"/>
        <v>1982</v>
      </c>
      <c r="B78" s="112">
        <f>'Instant Old no Delete'!B16/'Firm Retail'!B15</f>
        <v>1.1502347417840375</v>
      </c>
      <c r="C78" s="113">
        <f>'Instant Old no Delete'!C16/'Firm Retail'!C15</f>
        <v>1.253968253968254</v>
      </c>
      <c r="D78" s="113">
        <f>'Instant Old no Delete'!D16/'Firm Retail'!D15</f>
        <v>1.1875</v>
      </c>
      <c r="E78" s="113">
        <f>'Instant Old no Delete'!E16/'Firm Retail'!E15</f>
        <v>1.2312414733969987</v>
      </c>
      <c r="F78" s="113">
        <f>'Instant Old no Delete'!F16/'Firm Retail'!F15</f>
        <v>1.1783854166666667</v>
      </c>
      <c r="G78" s="113">
        <f>'Instant Old no Delete'!G16/'Firm Retail'!G15</f>
        <v>1.1348973607038124</v>
      </c>
      <c r="H78" s="113">
        <f>'Instant Old no Delete'!H16/'Firm Retail'!H15</f>
        <v>1.1743119266055047</v>
      </c>
      <c r="I78" s="113">
        <f>'Instant Old no Delete'!I16/'Firm Retail'!I15</f>
        <v>1.1334498834498834</v>
      </c>
      <c r="J78" s="113">
        <f>'Instant Old no Delete'!J16/'Firm Retail'!J15</f>
        <v>1.1433447098976108</v>
      </c>
      <c r="K78" s="113">
        <f>'Instant Old no Delete'!K16/'Firm Retail'!K15</f>
        <v>1.2275064267352185</v>
      </c>
      <c r="L78" s="113">
        <f>'Instant Old no Delete'!L16/'Firm Retail'!L15</f>
        <v>1.2259970457902511</v>
      </c>
      <c r="M78" s="113">
        <f>'Instant Old no Delete'!M16/'Firm Retail'!M15</f>
        <v>1.1727989487516426</v>
      </c>
    </row>
    <row r="79" spans="1:13">
      <c r="A79" s="3">
        <f t="shared" si="4"/>
        <v>1983</v>
      </c>
      <c r="B79" s="112">
        <f>'Instant Old no Delete'!B17/'Firm Retail'!B16</f>
        <v>1.1791202967673555</v>
      </c>
      <c r="C79" s="113">
        <f>'Instant Old no Delete'!C17/'Firm Retail'!C16</f>
        <v>1.1479028697571745</v>
      </c>
      <c r="D79" s="113">
        <f>'Instant Old no Delete'!D17/'Firm Retail'!D16</f>
        <v>1.1998726925525143</v>
      </c>
      <c r="E79" s="113">
        <f>'Instant Old no Delete'!E17/'Firm Retail'!E16</f>
        <v>1.2040374909877434</v>
      </c>
      <c r="F79" s="113">
        <f>'Instant Old no Delete'!F17/'Firm Retail'!F16</f>
        <v>1.1994949494949494</v>
      </c>
      <c r="G79" s="113">
        <f>'Instant Old no Delete'!G17/'Firm Retail'!G16</f>
        <v>1.2009512485136742</v>
      </c>
      <c r="H79" s="113">
        <f>'Instant Old no Delete'!H17/'Firm Retail'!H16</f>
        <v>1.1939492166396541</v>
      </c>
      <c r="I79" s="113">
        <f>'Instant Old no Delete'!I17/'Firm Retail'!I16</f>
        <v>1.1674849972722312</v>
      </c>
      <c r="J79" s="113">
        <f>'Instant Old no Delete'!J17/'Firm Retail'!J16</f>
        <v>1.1745689655172413</v>
      </c>
      <c r="K79" s="113">
        <f>'Instant Old no Delete'!K17/'Firm Retail'!K16</f>
        <v>1.2024922118380061</v>
      </c>
      <c r="L79" s="113">
        <f>'Instant Old no Delete'!L17/'Firm Retail'!L16</f>
        <v>1.1879549966909331</v>
      </c>
      <c r="M79" s="113">
        <f>'Instant Old no Delete'!M17/'Firm Retail'!M16</f>
        <v>1.0570875665215287</v>
      </c>
    </row>
    <row r="80" spans="1:13">
      <c r="A80" s="3">
        <f t="shared" si="4"/>
        <v>1984</v>
      </c>
      <c r="B80" s="112">
        <f>'Instant Old no Delete'!B18/'Firm Retail'!B17</f>
        <v>1.1562663869952805</v>
      </c>
      <c r="C80" s="113">
        <f>'Instant Old no Delete'!C18/'Firm Retail'!C17</f>
        <v>1.1642463695543315</v>
      </c>
      <c r="D80" s="113">
        <f>'Instant Old no Delete'!D18/'Firm Retail'!D17</f>
        <v>1.1961206896551724</v>
      </c>
      <c r="E80" s="113">
        <f>'Instant Old no Delete'!E18/'Firm Retail'!E17</f>
        <v>1.2024048096192386</v>
      </c>
      <c r="F80" s="113">
        <f>'Instant Old no Delete'!F18/'Firm Retail'!F17</f>
        <v>1.1784324624791551</v>
      </c>
      <c r="G80" s="113">
        <f>'Instant Old no Delete'!G18/'Firm Retail'!G17</f>
        <v>1.1981184283342556</v>
      </c>
      <c r="H80" s="113">
        <f>'Instant Old no Delete'!H18/'Firm Retail'!H17</f>
        <v>1.2054054054054053</v>
      </c>
      <c r="I80" s="113">
        <f>'Instant Old no Delete'!I18/'Firm Retail'!I17</f>
        <v>1.1930294906166219</v>
      </c>
      <c r="J80" s="113">
        <f>'Instant Old no Delete'!J18/'Firm Retail'!J17</f>
        <v>1.2129380053908356</v>
      </c>
      <c r="K80" s="113">
        <f>'Instant Old no Delete'!K18/'Firm Retail'!K17</f>
        <v>1.2133095662507427</v>
      </c>
      <c r="L80" s="113">
        <f>'Instant Old no Delete'!L18/'Firm Retail'!L17</f>
        <v>1.223470661672909</v>
      </c>
      <c r="M80" s="113">
        <f>'Instant Old no Delete'!M18/'Firm Retail'!M17</f>
        <v>1.1887727022564667</v>
      </c>
    </row>
    <row r="81" spans="1:13">
      <c r="A81" s="3">
        <f t="shared" si="4"/>
        <v>1985</v>
      </c>
      <c r="B81" s="112">
        <f>'Instant Old no Delete'!B19/'Firm Retail'!B18</f>
        <v>1.1570411392405062</v>
      </c>
      <c r="C81" s="113">
        <f>'Instant Old no Delete'!C19/'Firm Retail'!C18</f>
        <v>1.221881390593047</v>
      </c>
      <c r="D81" s="113">
        <f>'Instant Old no Delete'!D19/'Firm Retail'!D18</f>
        <v>1.2664473684210527</v>
      </c>
      <c r="E81" s="113">
        <f>'Instant Old no Delete'!E19/'Firm Retail'!E18</f>
        <v>1.2599469496021221</v>
      </c>
      <c r="F81" s="113">
        <f>'Instant Old no Delete'!F19/'Firm Retail'!F18</f>
        <v>1.2004230565838181</v>
      </c>
      <c r="G81" s="113">
        <f>'Instant Old no Delete'!G19/'Firm Retail'!G18</f>
        <v>1.2182862613690761</v>
      </c>
      <c r="H81" s="113">
        <f>'Instant Old no Delete'!H19/'Firm Retail'!H18</f>
        <v>1.210855949895616</v>
      </c>
      <c r="I81" s="113">
        <f>'Instant Old no Delete'!I19/'Firm Retail'!I18</f>
        <v>1.1978361669242659</v>
      </c>
      <c r="J81" s="113">
        <f>'Instant Old no Delete'!J19/'Firm Retail'!J18</f>
        <v>1.1914565105506949</v>
      </c>
      <c r="K81" s="113">
        <f>'Instant Old no Delete'!K19/'Firm Retail'!K18</f>
        <v>1.2320441988950277</v>
      </c>
      <c r="L81" s="113">
        <f>'Instant Old no Delete'!L19/'Firm Retail'!L18</f>
        <v>1.2663185378590078</v>
      </c>
      <c r="M81" s="113">
        <f>'Instant Old no Delete'!M19/'Firm Retail'!M18</f>
        <v>1.170363378952336</v>
      </c>
    </row>
    <row r="82" spans="1:13">
      <c r="A82" s="3">
        <f t="shared" si="4"/>
        <v>1986</v>
      </c>
      <c r="B82" s="112">
        <f>'Instant Old no Delete'!B20/'Firm Retail'!B19</f>
        <v>1.1789652247667515</v>
      </c>
      <c r="C82" s="113">
        <f>'Instant Old no Delete'!C20/'Firm Retail'!C19</f>
        <v>1.2941176470588236</v>
      </c>
      <c r="D82" s="113">
        <f>'Instant Old no Delete'!D20/'Firm Retail'!D19</f>
        <v>1.1910377358490567</v>
      </c>
      <c r="E82" s="113">
        <f>'Instant Old no Delete'!E20/'Firm Retail'!E19</f>
        <v>1.199213630406291</v>
      </c>
      <c r="F82" s="113">
        <f>'Instant Old no Delete'!F20/'Firm Retail'!F19</f>
        <v>1.1837171933583288</v>
      </c>
      <c r="G82" s="113">
        <f>'Instant Old no Delete'!G20/'Firm Retail'!G19</f>
        <v>1.1752470098803953</v>
      </c>
      <c r="H82" s="113">
        <f>'Instant Old no Delete'!H20/'Firm Retail'!H19</f>
        <v>1.1748071979434447</v>
      </c>
      <c r="I82" s="113">
        <f>'Instant Old no Delete'!I20/'Firm Retail'!I19</f>
        <v>1.1555666003976144</v>
      </c>
      <c r="J82" s="113">
        <f>'Instant Old no Delete'!J20/'Firm Retail'!J19</f>
        <v>1.1883757135443695</v>
      </c>
      <c r="K82" s="113">
        <f>'Instant Old no Delete'!K20/'Firm Retail'!K19</f>
        <v>1.184475806451613</v>
      </c>
      <c r="L82" s="113">
        <f>'Instant Old no Delete'!L20/'Firm Retail'!L19</f>
        <v>1.1926605504587156</v>
      </c>
      <c r="M82" s="113">
        <f>'Instant Old no Delete'!M20/'Firm Retail'!M19</f>
        <v>1.2184594953519257</v>
      </c>
    </row>
    <row r="83" spans="1:13">
      <c r="A83" s="3">
        <f t="shared" si="4"/>
        <v>1987</v>
      </c>
      <c r="B83" s="112">
        <f>'Instant Old no Delete'!B21/'Firm Retail'!B20</f>
        <v>1.2059274399591211</v>
      </c>
      <c r="C83" s="113">
        <f>'Instant Old no Delete'!C21/'Firm Retail'!C20</f>
        <v>1.193516699410609</v>
      </c>
      <c r="D83" s="113">
        <f>'Instant Old no Delete'!D21/'Firm Retail'!D20</f>
        <v>1.2112211221122111</v>
      </c>
      <c r="E83" s="113">
        <f>'Instant Old no Delete'!E21/'Firm Retail'!E20</f>
        <v>1.2216924910607867</v>
      </c>
      <c r="F83" s="113">
        <f>'Instant Old no Delete'!F21/'Firm Retail'!F20</f>
        <v>1.2193032552826957</v>
      </c>
      <c r="G83" s="113">
        <f>'Instant Old no Delete'!G21/'Firm Retail'!G20</f>
        <v>1.1770475723393821</v>
      </c>
      <c r="H83" s="113">
        <f>'Instant Old no Delete'!H21/'Firm Retail'!H20</f>
        <v>1.1778846153846154</v>
      </c>
      <c r="I83" s="113">
        <f>'Instant Old no Delete'!I21/'Firm Retail'!I20</f>
        <v>1.1768802228412256</v>
      </c>
      <c r="J83" s="113">
        <f>'Instant Old no Delete'!J21/'Firm Retail'!J20</f>
        <v>1.1730769230769231</v>
      </c>
      <c r="K83" s="113">
        <f>'Instant Old no Delete'!K21/'Firm Retail'!K20</f>
        <v>1.2265293761356753</v>
      </c>
      <c r="L83" s="113">
        <f>'Instant Old no Delete'!L21/'Firm Retail'!L20</f>
        <v>1.2616822429906542</v>
      </c>
      <c r="M83" s="113">
        <f>'Instant Old no Delete'!M21/'Firm Retail'!M20</f>
        <v>1.2396694214876034</v>
      </c>
    </row>
    <row r="84" spans="1:13">
      <c r="A84" s="3">
        <f t="shared" si="4"/>
        <v>1988</v>
      </c>
      <c r="B84" s="112">
        <f>'Instant Old no Delete'!B22/'Firm Retail'!B21</f>
        <v>1.2081703607127336</v>
      </c>
      <c r="C84" s="113">
        <f>'Instant Old no Delete'!C22/'Firm Retail'!C21</f>
        <v>1.2140657084188913</v>
      </c>
      <c r="D84" s="113">
        <f>'Instant Old no Delete'!D22/'Firm Retail'!D21</f>
        <v>1.2415933781686497</v>
      </c>
      <c r="E84" s="113">
        <f>'Instant Old no Delete'!E22/'Firm Retail'!E21</f>
        <v>1.2277170787809086</v>
      </c>
      <c r="F84" s="113">
        <f>'Instant Old no Delete'!F22/'Firm Retail'!F21</f>
        <v>1.2098393574297188</v>
      </c>
      <c r="G84" s="113">
        <f>'Instant Old no Delete'!G22/'Firm Retail'!G21</f>
        <v>1.1873795761078998</v>
      </c>
      <c r="H84" s="113">
        <f>'Instant Old no Delete'!H22/'Firm Retail'!H21</f>
        <v>1.1977971546581001</v>
      </c>
      <c r="I84" s="113">
        <f>'Instant Old no Delete'!I22/'Firm Retail'!I21</f>
        <v>1.2014051522248244</v>
      </c>
      <c r="J84" s="113">
        <f>'Instant Old no Delete'!J22/'Firm Retail'!J21</f>
        <v>1.2049062049062049</v>
      </c>
      <c r="K84" s="113">
        <f>'Instant Old no Delete'!K22/'Firm Retail'!K21</f>
        <v>1.1894510226049515</v>
      </c>
      <c r="L84" s="113">
        <f>'Instant Old no Delete'!L22/'Firm Retail'!L21</f>
        <v>1.2151748666271487</v>
      </c>
      <c r="M84" s="113">
        <f>'Instant Old no Delete'!M22/'Firm Retail'!M21</f>
        <v>1.1872246696035242</v>
      </c>
    </row>
    <row r="85" spans="1:13">
      <c r="A85" s="3">
        <f t="shared" si="4"/>
        <v>1989</v>
      </c>
      <c r="B85" s="112">
        <f>'Instant Old no Delete'!B23/'Firm Retail'!B22</f>
        <v>1.2700369913686806</v>
      </c>
      <c r="C85" s="113">
        <f>'Instant Old no Delete'!C23/'Firm Retail'!C22</f>
        <v>1.2330623306233062</v>
      </c>
      <c r="D85" s="113">
        <f>'Instant Old no Delete'!D23/'Firm Retail'!D22</f>
        <v>1.2795941375422772</v>
      </c>
      <c r="E85" s="113">
        <f>'Instant Old no Delete'!E23/'Firm Retail'!E22</f>
        <v>1.2593016599885518</v>
      </c>
      <c r="F85" s="113">
        <f>'Instant Old no Delete'!F23/'Firm Retail'!F22</f>
        <v>1.228448275862069</v>
      </c>
      <c r="G85" s="113">
        <f>'Instant Old no Delete'!G23/'Firm Retail'!G22</f>
        <v>1.2295825771324864</v>
      </c>
      <c r="H85" s="113">
        <f>'Instant Old no Delete'!H23/'Firm Retail'!H22</f>
        <v>1.2180073126142597</v>
      </c>
      <c r="I85" s="113">
        <f>'Instant Old no Delete'!I23/'Firm Retail'!I22</f>
        <v>1.219883564711151</v>
      </c>
      <c r="J85" s="113">
        <f>'Instant Old no Delete'!J23/'Firm Retail'!J22</f>
        <v>1.2040721888014807</v>
      </c>
      <c r="K85" s="113">
        <f>'Instant Old no Delete'!K23/'Firm Retail'!K22</f>
        <v>1.2300303336703742</v>
      </c>
      <c r="L85" s="113">
        <f>'Instant Old no Delete'!L23/'Firm Retail'!L22</f>
        <v>1.2264705882352942</v>
      </c>
      <c r="M85" s="113">
        <f>'Instant Old no Delete'!M23/'Firm Retail'!M22</f>
        <v>1.127601099332548</v>
      </c>
    </row>
    <row r="86" spans="1:13">
      <c r="A86" s="3">
        <f t="shared" si="4"/>
        <v>1990</v>
      </c>
      <c r="B86" s="112">
        <f>'Instant Old no Delete'!B24/'Firm Retail'!B23</f>
        <v>1.2370203160270881</v>
      </c>
      <c r="C86" s="113">
        <f>'Instant Old no Delete'!C24/'Firm Retail'!C23</f>
        <v>1.297805642633229</v>
      </c>
      <c r="D86" s="113">
        <f>'Instant Old no Delete'!D24/'Firm Retail'!D23</f>
        <v>1.2607380520266183</v>
      </c>
      <c r="E86" s="113">
        <f>'Instant Old no Delete'!E24/'Firm Retail'!E23</f>
        <v>1.2435233160621761</v>
      </c>
      <c r="F86" s="113">
        <f>'Instant Old no Delete'!F24/'Firm Retail'!F23</f>
        <v>1.2393442622950819</v>
      </c>
      <c r="G86" s="113">
        <f>'Instant Old no Delete'!G24/'Firm Retail'!G23</f>
        <v>1.2331261101243338</v>
      </c>
      <c r="H86" s="113">
        <f>'Instant Old no Delete'!H24/'Firm Retail'!H23</f>
        <v>1.2213188798554653</v>
      </c>
      <c r="I86" s="113">
        <f>'Instant Old no Delete'!I24/'Firm Retail'!I23</f>
        <v>1.2053532250987276</v>
      </c>
      <c r="J86" s="113">
        <f>'Instant Old no Delete'!J24/'Firm Retail'!J23</f>
        <v>1.2301444043321299</v>
      </c>
      <c r="K86" s="113">
        <f>'Instant Old no Delete'!K24/'Firm Retail'!K23</f>
        <v>1.2199359853680842</v>
      </c>
      <c r="L86" s="113">
        <f>'Instant Old no Delete'!L24/'Firm Retail'!L23</f>
        <v>1.2350256702795208</v>
      </c>
      <c r="M86" s="113">
        <f>'Instant Old no Delete'!M24/'Firm Retail'!M23</f>
        <v>1.2409897794513178</v>
      </c>
    </row>
    <row r="87" spans="1:13">
      <c r="A87" s="3">
        <f t="shared" si="4"/>
        <v>1991</v>
      </c>
      <c r="B87" s="112">
        <f>'Instant Old no Delete'!B25/'Firm Retail'!B24</f>
        <v>1.264355923435075</v>
      </c>
      <c r="C87" s="113">
        <f>'Instant Old no Delete'!C25/'Firm Retail'!C24</f>
        <v>1.2461089494163424</v>
      </c>
      <c r="D87" s="113">
        <f>'Instant Old no Delete'!D25/'Firm Retail'!D24</f>
        <v>1.2467122567069964</v>
      </c>
      <c r="E87" s="113">
        <f>'Instant Old no Delete'!E25/'Firm Retail'!E24</f>
        <v>1.202771362586605</v>
      </c>
      <c r="F87" s="113">
        <f>'Instant Old no Delete'!F25/'Firm Retail'!F24</f>
        <v>1.2358490566037736</v>
      </c>
      <c r="G87" s="113">
        <f>'Instant Old no Delete'!G25/'Firm Retail'!G24</f>
        <v>1.1849865951742626</v>
      </c>
      <c r="H87" s="113">
        <f>'Instant Old no Delete'!H25/'Firm Retail'!H24</f>
        <v>1.1795425118687959</v>
      </c>
      <c r="I87" s="113">
        <f>'Instant Old no Delete'!I25/'Firm Retail'!I24</f>
        <v>1.1943613840239213</v>
      </c>
      <c r="J87" s="113">
        <f>'Instant Old no Delete'!J25/'Firm Retail'!J24</f>
        <v>1.1994829814735029</v>
      </c>
      <c r="K87" s="113">
        <f>'Instant Old no Delete'!K25/'Firm Retail'!K24</f>
        <v>1.2209810587663914</v>
      </c>
      <c r="L87" s="113">
        <f>'Instant Old no Delete'!L25/'Firm Retail'!L24</f>
        <v>1.2598503740648379</v>
      </c>
      <c r="M87" s="113">
        <f>'Instant Old no Delete'!M25/'Firm Retail'!M24</f>
        <v>1.2416542102640757</v>
      </c>
    </row>
    <row r="88" spans="1:13">
      <c r="A88" s="3">
        <f t="shared" si="4"/>
        <v>1992</v>
      </c>
      <c r="B88" s="112">
        <f>'Instant Old no Delete'!B26/'Firm Retail'!B25</f>
        <v>1.2612262521588946</v>
      </c>
      <c r="C88" s="113">
        <f>'Instant Old no Delete'!C26/'Firm Retail'!C25</f>
        <v>1.3231390652048471</v>
      </c>
      <c r="D88" s="113">
        <f>'Instant Old no Delete'!D26/'Firm Retail'!D25</f>
        <v>1.3173410404624277</v>
      </c>
      <c r="E88" s="113">
        <f>'Instant Old no Delete'!E26/'Firm Retail'!E25</f>
        <v>1.2917815774958632</v>
      </c>
      <c r="F88" s="113">
        <f>'Instant Old no Delete'!F26/'Firm Retail'!F25</f>
        <v>1.2669975186104219</v>
      </c>
      <c r="G88" s="113">
        <f>'Instant Old no Delete'!G26/'Firm Retail'!G25</f>
        <v>1.1993127147766323</v>
      </c>
      <c r="H88" s="113">
        <f>'Instant Old no Delete'!H26/'Firm Retail'!H25</f>
        <v>1.2448979591836735</v>
      </c>
      <c r="I88" s="113">
        <f>'Instant Old no Delete'!I26/'Firm Retail'!I25</f>
        <v>1.2281822051936995</v>
      </c>
      <c r="J88" s="113">
        <f>'Instant Old no Delete'!J26/'Firm Retail'!J25</f>
        <v>1.2571934484285081</v>
      </c>
      <c r="K88" s="113">
        <f>'Instant Old no Delete'!K26/'Firm Retail'!K25</f>
        <v>1.2794805194805194</v>
      </c>
      <c r="L88" s="113">
        <f>'Instant Old no Delete'!L26/'Firm Retail'!L25</f>
        <v>1.2357473035439137</v>
      </c>
      <c r="M88" s="113">
        <f>'Instant Old no Delete'!M26/'Firm Retail'!M25</f>
        <v>1.2992900054614964</v>
      </c>
    </row>
    <row r="89" spans="1:13">
      <c r="A89" s="3">
        <f t="shared" si="4"/>
        <v>1993</v>
      </c>
      <c r="B89" s="112">
        <f>'Instant Old no Delete'!B27/'Firm Retail'!B26</f>
        <v>1.2950230887634684</v>
      </c>
      <c r="C89" s="113">
        <f>'Instant Old no Delete'!C27/'Firm Retail'!C26</f>
        <v>1.2985365853658537</v>
      </c>
      <c r="D89" s="113">
        <f>'Instant Old no Delete'!D27/'Firm Retail'!D26</f>
        <v>1.2181434599156118</v>
      </c>
      <c r="E89" s="113">
        <f>'Instant Old no Delete'!E27/'Firm Retail'!E26</f>
        <v>1.2968936678614098</v>
      </c>
      <c r="F89" s="113">
        <f>'Instant Old no Delete'!F27/'Firm Retail'!F26</f>
        <v>1.224802371541502</v>
      </c>
      <c r="G89" s="113">
        <f>'Instant Old no Delete'!G27/'Firm Retail'!G26</f>
        <v>1.182082123600166</v>
      </c>
      <c r="H89" s="113">
        <f>'Instant Old no Delete'!H27/'Firm Retail'!H26</f>
        <v>1.2184703010577707</v>
      </c>
      <c r="I89" s="113">
        <f>'Instant Old no Delete'!I27/'Firm Retail'!I26</f>
        <v>1.238362760834671</v>
      </c>
      <c r="J89" s="113">
        <f>'Instant Old no Delete'!J27/'Firm Retail'!J26</f>
        <v>1.1949978804578212</v>
      </c>
      <c r="K89" s="113">
        <f>'Instant Old no Delete'!K27/'Firm Retail'!K26</f>
        <v>1.1926648096564532</v>
      </c>
      <c r="L89" s="113">
        <f>'Instant Old no Delete'!L27/'Firm Retail'!L26</f>
        <v>1.2226221079691517</v>
      </c>
      <c r="M89" s="113">
        <f>'Instant Old no Delete'!M27/'Firm Retail'!M26</f>
        <v>1.2193022202084278</v>
      </c>
    </row>
    <row r="90" spans="1:13">
      <c r="A90" s="3">
        <f t="shared" si="4"/>
        <v>1994</v>
      </c>
      <c r="B90" s="112">
        <f>'Instant Old no Delete'!B28/'Firm Retail'!B27</f>
        <v>1.2207327971403039</v>
      </c>
      <c r="C90" s="113">
        <f>'Instant Old no Delete'!C28/'Firm Retail'!C27</f>
        <v>1.2310030395136777</v>
      </c>
      <c r="D90" s="113">
        <f>'Instant Old no Delete'!D28/'Firm Retail'!D27</f>
        <v>1.2240038872691934</v>
      </c>
      <c r="E90" s="113">
        <f>'Instant Old no Delete'!E28/'Firm Retail'!E27</f>
        <v>1.2249283667621778</v>
      </c>
      <c r="F90" s="113">
        <f>'Instant Old no Delete'!F28/'Firm Retail'!F27</f>
        <v>1.2</v>
      </c>
      <c r="G90" s="113">
        <f>'Instant Old no Delete'!G28/'Firm Retail'!G27</f>
        <v>1.1999184006527948</v>
      </c>
      <c r="H90" s="113">
        <f>'Instant Old no Delete'!H28/'Firm Retail'!H27</f>
        <v>1.1962853524693964</v>
      </c>
      <c r="I90" s="113">
        <f>'Instant Old no Delete'!I28/'Firm Retail'!I27</f>
        <v>1.2011101622544833</v>
      </c>
      <c r="J90" s="113">
        <f>'Instant Old no Delete'!J28/'Firm Retail'!J27</f>
        <v>1.1909440410081162</v>
      </c>
      <c r="K90" s="113">
        <f>'Instant Old no Delete'!K28/'Firm Retail'!K27</f>
        <v>1.2135465663217309</v>
      </c>
      <c r="L90" s="113">
        <f>'Instant Old no Delete'!L28/'Firm Retail'!L27</f>
        <v>1.1861515303562469</v>
      </c>
      <c r="M90" s="113">
        <f>'Instant Old no Delete'!M28/'Firm Retail'!M27</f>
        <v>1.2487338210467078</v>
      </c>
    </row>
    <row r="91" spans="1:13">
      <c r="A91" s="3">
        <f t="shared" si="4"/>
        <v>1995</v>
      </c>
      <c r="B91" s="112">
        <f>'Instant Old no Delete'!B29/'Firm Retail'!B28</f>
        <v>1.2313212325875897</v>
      </c>
      <c r="C91" s="113">
        <f>'Instant Old no Delete'!C29/'Firm Retail'!C28</f>
        <v>1.238961038961039</v>
      </c>
      <c r="D91" s="113">
        <f>'Instant Old no Delete'!D29/'Firm Retail'!D28</f>
        <v>1.2426429761243754</v>
      </c>
      <c r="E91" s="113">
        <f>'Instant Old no Delete'!E29/'Firm Retail'!E28</f>
        <v>1.1752951861943688</v>
      </c>
      <c r="F91" s="113">
        <f>'Instant Old no Delete'!F29/'Firm Retail'!F28</f>
        <v>1.1850424055512723</v>
      </c>
      <c r="G91" s="113">
        <f>'Instant Old no Delete'!G29/'Firm Retail'!G28</f>
        <v>1.1812796208530805</v>
      </c>
      <c r="H91" s="113">
        <f>'Instant Old no Delete'!H29/'Firm Retail'!H28</f>
        <v>1.1780346820809249</v>
      </c>
      <c r="I91" s="113">
        <f>'Instant Old no Delete'!I29/'Firm Retail'!I28</f>
        <v>1.1989329268292683</v>
      </c>
      <c r="J91" s="113">
        <f>'Instant Old no Delete'!J29/'Firm Retail'!J28</f>
        <v>1.1834862385321101</v>
      </c>
      <c r="K91" s="113">
        <f>'Instant Old no Delete'!K29/'Firm Retail'!K28</f>
        <v>1.2057313943541488</v>
      </c>
      <c r="L91" s="113">
        <f>'Instant Old no Delete'!L29/'Firm Retail'!L28</f>
        <v>1.2101076275152083</v>
      </c>
      <c r="M91" s="113">
        <f>'Instant Old no Delete'!M29/'Firm Retail'!M28</f>
        <v>1.2656319290465632</v>
      </c>
    </row>
    <row r="92" spans="1:13">
      <c r="A92" s="3">
        <f t="shared" si="4"/>
        <v>1996</v>
      </c>
      <c r="B92" s="112">
        <f>'Instant Old no Delete'!B30/'Firm Retail'!B29</f>
        <v>1.2285714285714286</v>
      </c>
      <c r="C92" s="113">
        <f>'Instant Old no Delete'!C30/'Firm Retail'!C29</f>
        <v>1.2355736591989137</v>
      </c>
      <c r="D92" s="113">
        <f>'Instant Old no Delete'!D30/'Firm Retail'!D29</f>
        <v>1.2581211589113257</v>
      </c>
      <c r="E92" s="113">
        <f>'Instant Old no Delete'!E30/'Firm Retail'!E29</f>
        <v>1.248868778280543</v>
      </c>
      <c r="F92" s="113">
        <f>'Instant Old no Delete'!F30/'Firm Retail'!F29</f>
        <v>1.1932668329177056</v>
      </c>
      <c r="G92" s="113">
        <f>'Instant Old no Delete'!G30/'Firm Retail'!G29</f>
        <v>1.1976143141153082</v>
      </c>
      <c r="H92" s="113">
        <f>'Instant Old no Delete'!H30/'Firm Retail'!H29</f>
        <v>1.2006044578768418</v>
      </c>
      <c r="I92" s="113">
        <f>'Instant Old no Delete'!I30/'Firm Retail'!I29</f>
        <v>1.205506010081427</v>
      </c>
      <c r="J92" s="113">
        <f>'Instant Old no Delete'!J30/'Firm Retail'!J29</f>
        <v>1.1827141774071266</v>
      </c>
      <c r="K92" s="113">
        <f>'Instant Old no Delete'!K30/'Firm Retail'!K29</f>
        <v>1.1836217813423386</v>
      </c>
      <c r="L92" s="113">
        <f>'Instant Old no Delete'!L30/'Firm Retail'!L29</f>
        <v>1.2394235239423523</v>
      </c>
      <c r="M92" s="113">
        <f>'Instant Old no Delete'!M30/'Firm Retail'!M29</f>
        <v>1.2597402597402598</v>
      </c>
    </row>
    <row r="93" spans="1:13">
      <c r="A93" s="3">
        <f t="shared" si="4"/>
        <v>1997</v>
      </c>
      <c r="B93" s="112">
        <f>'Instant Old no Delete'!B31/'Firm Retail'!B30</f>
        <v>1.22250827510114</v>
      </c>
      <c r="C93" s="113">
        <f>'Instant Old no Delete'!C31/'Firm Retail'!C30</f>
        <v>1.26596279537456</v>
      </c>
      <c r="D93" s="113">
        <f>'Instant Old no Delete'!D31/'Firm Retail'!D30</f>
        <v>1.247809152872444</v>
      </c>
      <c r="E93" s="113">
        <f>'Instant Old no Delete'!E31/'Firm Retail'!E30</f>
        <v>1.1963015647226174</v>
      </c>
      <c r="F93" s="113">
        <f>'Instant Old no Delete'!F31/'Firm Retail'!F30</f>
        <v>1.1704119850187267</v>
      </c>
      <c r="G93" s="113">
        <f>'Instant Old no Delete'!G31/'Firm Retail'!G30</f>
        <v>1.1877107530910453</v>
      </c>
      <c r="H93" s="113">
        <f>'Instant Old no Delete'!H31/'Firm Retail'!H30</f>
        <v>1.1957415016809863</v>
      </c>
      <c r="I93" s="113">
        <f>'Instant Old no Delete'!I31/'Firm Retail'!I30</f>
        <v>1.2189505473763684</v>
      </c>
      <c r="J93" s="113">
        <f>'Instant Old no Delete'!J31/'Firm Retail'!J30</f>
        <v>1.193325661680092</v>
      </c>
      <c r="K93" s="113">
        <f>'Instant Old no Delete'!K31/'Firm Retail'!K30</f>
        <v>1.1961663947797716</v>
      </c>
      <c r="L93" s="113">
        <f>'Instant Old no Delete'!L31/'Firm Retail'!L30</f>
        <v>1.2920353982300885</v>
      </c>
      <c r="M93" s="113">
        <f>'Instant Old no Delete'!M31/'Firm Retail'!M30</f>
        <v>1.2560919540229885</v>
      </c>
    </row>
    <row r="94" spans="1:13">
      <c r="A94" s="3">
        <f t="shared" si="4"/>
        <v>1998</v>
      </c>
      <c r="B94" s="112">
        <f>'Instant Old no Delete'!B32/'Firm Retail'!B31</f>
        <v>1.3163418290854574</v>
      </c>
      <c r="C94" s="113">
        <f>'Instant Old no Delete'!C32/'Firm Retail'!C31</f>
        <v>1.2728937728937728</v>
      </c>
      <c r="D94" s="113">
        <f>'Instant Old no Delete'!D32/'Firm Retail'!D31</f>
        <v>1.2864493996569468</v>
      </c>
      <c r="E94" s="113">
        <f>'Instant Old no Delete'!E32/'Firm Retail'!E31</f>
        <v>1.2122171945701357</v>
      </c>
      <c r="F94" s="113">
        <f>'Instant Old no Delete'!F32/'Firm Retail'!F31</f>
        <v>1.1718569780853518</v>
      </c>
      <c r="G94" s="113">
        <f>'Instant Old no Delete'!G32/'Firm Retail'!G31</f>
        <v>1.1876069839096199</v>
      </c>
      <c r="H94" s="113">
        <f>'Instant Old no Delete'!H32/'Firm Retail'!H31</f>
        <v>1.1829816672431686</v>
      </c>
      <c r="I94" s="113">
        <f>'Instant Old no Delete'!I32/'Firm Retail'!I31</f>
        <v>1.1803056027164687</v>
      </c>
      <c r="J94" s="113">
        <f>'Instant Old no Delete'!J32/'Firm Retail'!J31</f>
        <v>1.2150297619047619</v>
      </c>
      <c r="K94" s="113">
        <f>'Instant Old no Delete'!K32/'Firm Retail'!K31</f>
        <v>1.19812382739212</v>
      </c>
      <c r="L94" s="113">
        <f>'Instant Old no Delete'!L32/'Firm Retail'!L31</f>
        <v>1.2128825947921424</v>
      </c>
      <c r="M94" s="113">
        <f>'Instant Old no Delete'!M32/'Firm Retail'!M31</f>
        <v>1.2388565891472869</v>
      </c>
    </row>
    <row r="95" spans="1:13">
      <c r="A95" s="3">
        <f t="shared" si="4"/>
        <v>1999</v>
      </c>
      <c r="B95" s="112">
        <f>'Instant Old no Delete'!B33/'Firm Retail'!B32</f>
        <v>1.1561872909698996</v>
      </c>
      <c r="C95" s="113">
        <f>'Instant Old no Delete'!C33/'Firm Retail'!C32</f>
        <v>1.2523051131601006</v>
      </c>
      <c r="D95" s="113">
        <f>'Instant Old no Delete'!D33/'Firm Retail'!D32</f>
        <v>1.2639155470249521</v>
      </c>
      <c r="E95" s="113">
        <f>'Instant Old no Delete'!E33/'Firm Retail'!E32</f>
        <v>1.118000751597144</v>
      </c>
      <c r="F95" s="113">
        <f>'Instant Old no Delete'!F33/'Firm Retail'!F32</f>
        <v>1.1732223903177004</v>
      </c>
      <c r="G95" s="113">
        <f>'Instant Old no Delete'!G33/'Firm Retail'!G32</f>
        <v>1.1869469026548674</v>
      </c>
      <c r="H95" s="113">
        <f>'Instant Old no Delete'!H33/'Firm Retail'!H32</f>
        <v>1.1508042895442359</v>
      </c>
      <c r="I95" s="113">
        <f>'Instant Old no Delete'!I33/'Firm Retail'!I32</f>
        <v>1.1247963506028023</v>
      </c>
      <c r="J95" s="113">
        <f>'Instant Old no Delete'!J33/'Firm Retail'!J32</f>
        <v>1.1788008565310493</v>
      </c>
      <c r="K95" s="113">
        <f>'Instant Old no Delete'!K33/'Firm Retail'!K32</f>
        <v>1.2</v>
      </c>
      <c r="L95" s="113">
        <f>'Instant Old no Delete'!L33/'Firm Retail'!L32</f>
        <v>1.1999041227229146</v>
      </c>
      <c r="M95" s="113">
        <f>'Instant Old no Delete'!M33/'Firm Retail'!M32</f>
        <v>1.2777777777777777</v>
      </c>
    </row>
    <row r="96" spans="1:13">
      <c r="A96" s="3">
        <f t="shared" si="4"/>
        <v>2000</v>
      </c>
      <c r="B96" s="112">
        <f>'Instant Old no Delete'!B34/'Firm Retail'!B33</f>
        <v>1.2412761714855434</v>
      </c>
      <c r="C96" s="113">
        <f>'Instant Old no Delete'!C34/'Firm Retail'!C33</f>
        <v>1.2275236593059937</v>
      </c>
      <c r="D96" s="113">
        <f>'Instant Old no Delete'!D34/'Firm Retail'!D33</f>
        <v>1.1814381270903009</v>
      </c>
      <c r="E96" s="113">
        <f>'Instant Old no Delete'!E34/'Firm Retail'!E33</f>
        <v>1.2030701754385964</v>
      </c>
      <c r="F96" s="113">
        <f>'Instant Old no Delete'!F34/'Firm Retail'!F33</f>
        <v>1.2058306989813838</v>
      </c>
      <c r="G96" s="113">
        <f>'Instant Old no Delete'!G34/'Firm Retail'!G33</f>
        <v>1.1986959505833905</v>
      </c>
      <c r="H96" s="113">
        <f>'Instant Old no Delete'!H34/'Firm Retail'!H33</f>
        <v>1.1291164003912617</v>
      </c>
      <c r="I96" s="113">
        <f>'Instant Old no Delete'!I34/'Firm Retail'!I33</f>
        <v>1.1743725231175695</v>
      </c>
      <c r="J96" s="113">
        <f>'Instant Old no Delete'!J34/'Firm Retail'!J33</f>
        <v>1.183304347826087</v>
      </c>
      <c r="K96" s="113">
        <f>'Instant Old no Delete'!K34/'Firm Retail'!K33</f>
        <v>1.1295191295191296</v>
      </c>
      <c r="L96" s="113">
        <f>'Instant Old no Delete'!L34/'Firm Retail'!L33</f>
        <v>1.2251755069354073</v>
      </c>
      <c r="M96" s="113">
        <f>'Instant Old no Delete'!M34/'Firm Retail'!M33</f>
        <v>1.2018903686937463</v>
      </c>
    </row>
    <row r="97" spans="1:13">
      <c r="A97" s="3">
        <f t="shared" si="4"/>
        <v>2001</v>
      </c>
      <c r="B97" s="112">
        <f>'Instant Old no Delete'!B35/'Firm Retail'!B34</f>
        <v>1.1714117992368653</v>
      </c>
      <c r="C97" s="113">
        <f>'Instant Old no Delete'!C35/'Firm Retail'!C34</f>
        <v>1.2249203821656052</v>
      </c>
      <c r="D97" s="113">
        <f>'Instant Old no Delete'!D35/'Firm Retail'!D34</f>
        <v>1.2075134168157424</v>
      </c>
      <c r="E97" s="113">
        <f>'Instant Old no Delete'!E35/'Firm Retail'!E34</f>
        <v>1.2034095311894615</v>
      </c>
      <c r="F97" s="113">
        <f>'Instant Old no Delete'!F35/'Firm Retail'!F34</f>
        <v>1.1739721372748895</v>
      </c>
      <c r="G97" s="113">
        <f>'Instant Old no Delete'!G35/'Firm Retail'!G34</f>
        <v>1.1639185257032008</v>
      </c>
      <c r="H97" s="113">
        <f>'Instant Old no Delete'!H35/'Firm Retail'!H34</f>
        <v>1.1085346215780998</v>
      </c>
      <c r="I97" s="113">
        <f>'Instant Old no Delete'!I35/'Firm Retail'!I34</f>
        <v>1.1488151658767773</v>
      </c>
      <c r="J97" s="113">
        <f>'Instant Old no Delete'!J35/'Firm Retail'!J34</f>
        <v>1.1401806624289059</v>
      </c>
      <c r="K97" s="113">
        <f>'Instant Old no Delete'!K35/'Firm Retail'!K34</f>
        <v>1.1397459165154264</v>
      </c>
      <c r="L97" s="113">
        <f>'Instant Old no Delete'!L35/'Firm Retail'!L34</f>
        <v>1.223433242506812</v>
      </c>
      <c r="M97" s="113">
        <f>'Instant Old no Delete'!M35/'Firm Retail'!M34</f>
        <v>1.2044407205697529</v>
      </c>
    </row>
    <row r="98" spans="1:13">
      <c r="A98" s="3">
        <f t="shared" si="4"/>
        <v>2002</v>
      </c>
      <c r="B98" s="112">
        <f>'Instant Old no Delete'!B36/'Firm Retail'!B35</f>
        <v>1.1948450444921754</v>
      </c>
      <c r="C98" s="113">
        <f>'Instant Old no Delete'!C36/'Firm Retail'!C35</f>
        <v>1.2266249565519638</v>
      </c>
      <c r="D98" s="113">
        <f>'Instant Old no Delete'!D36/'Firm Retail'!D35</f>
        <v>1.239881173412551</v>
      </c>
      <c r="E98" s="113">
        <f>'Instant Old no Delete'!E36/'Firm Retail'!E35</f>
        <v>1.165258533288273</v>
      </c>
      <c r="F98" s="113">
        <f>'Instant Old no Delete'!F36/'Firm Retail'!F35</f>
        <v>1.1524021635380211</v>
      </c>
      <c r="G98" s="113">
        <f>'Instant Old no Delete'!G36/'Firm Retail'!G35</f>
        <v>1.1433457711442787</v>
      </c>
      <c r="H98" s="113">
        <f>'Instant Old no Delete'!H36/'Firm Retail'!H35</f>
        <v>1.1714888487040387</v>
      </c>
      <c r="I98" s="113">
        <f>'Instant Old no Delete'!I36/'Firm Retail'!I35</f>
        <v>1.1621112158341187</v>
      </c>
      <c r="J98" s="113">
        <f>'Instant Old no Delete'!J36/'Firm Retail'!J35</f>
        <v>1.1748514232092586</v>
      </c>
      <c r="K98" s="113">
        <f>'Instant Old no Delete'!K36/'Firm Retail'!K35</f>
        <v>1.17143797301744</v>
      </c>
      <c r="L98" s="113">
        <f>'Instant Old no Delete'!L36/'Firm Retail'!L35</f>
        <v>1.1612903225806452</v>
      </c>
      <c r="M98" s="113">
        <f>'Instant Old no Delete'!M36/'Firm Retail'!M35</f>
        <v>1.1972357116174823</v>
      </c>
    </row>
    <row r="99" spans="1:13">
      <c r="A99" s="3">
        <f t="shared" si="4"/>
        <v>2003</v>
      </c>
      <c r="B99" s="112">
        <f>'Instant Old no Delete'!B37/'Firm Retail'!B36</f>
        <v>1.1843704775687409</v>
      </c>
      <c r="C99" s="112">
        <f>'Instant Old no Delete'!C37/'Firm Retail'!C36</f>
        <v>1.2360086767895879</v>
      </c>
      <c r="D99" s="112">
        <f>'Instant Old no Delete'!D37/'Firm Retail'!D36</f>
        <v>1.1301272984441302</v>
      </c>
      <c r="E99" s="112">
        <f>'Instant Old no Delete'!E37/'Firm Retail'!E36</f>
        <v>1.1701598579040853</v>
      </c>
      <c r="F99" s="112">
        <f>'Instant Old no Delete'!F37/'Firm Retail'!F36</f>
        <v>1.1649810366624527</v>
      </c>
      <c r="G99" s="112">
        <f>'Instant Old no Delete'!G37/'Firm Retail'!G36</f>
        <v>1.1646245680175935</v>
      </c>
      <c r="H99" s="112">
        <f>'Instant Old no Delete'!H37/'Firm Retail'!H36</f>
        <v>1.159653834676216</v>
      </c>
      <c r="I99" s="112">
        <f>'Instant Old no Delete'!I37/'Firm Retail'!I36</f>
        <v>1.1645332500780519</v>
      </c>
      <c r="J99" s="112">
        <f>'Instant Old no Delete'!J37/'Firm Retail'!J36</f>
        <v>1.1493815413891533</v>
      </c>
      <c r="K99" s="112">
        <f>'Instant Old no Delete'!K37/'Firm Retail'!K36</f>
        <v>1.1463897131552918</v>
      </c>
      <c r="L99" s="112">
        <f>'Instant Old no Delete'!L37/'Firm Retail'!L36</f>
        <v>1.1667252901864229</v>
      </c>
      <c r="M99" s="112">
        <f>'Instant Old no Delete'!M37/'Firm Retail'!M36</f>
        <v>1.2082132564841499</v>
      </c>
    </row>
    <row r="100" spans="1:13">
      <c r="A100" s="3">
        <f t="shared" si="4"/>
        <v>2004</v>
      </c>
      <c r="B100" s="112">
        <f>'Instant Old no Delete'!B38/'Firm Retail'!B37</f>
        <v>1.2217302452316077</v>
      </c>
      <c r="C100" s="112">
        <f>'Instant Old no Delete'!C38/'Firm Retail'!C37</f>
        <v>1.218508997429306</v>
      </c>
      <c r="D100" s="112">
        <f>'Instant Old no Delete'!D38/'Firm Retail'!D37</f>
        <v>1.2122538293216629</v>
      </c>
      <c r="E100" s="112">
        <f>'Instant Old no Delete'!E38/'Firm Retail'!E37</f>
        <v>1.1789732770745429</v>
      </c>
      <c r="F100" s="112">
        <f>'Instant Old no Delete'!F38/'Firm Retail'!F37</f>
        <v>1.144127568230604</v>
      </c>
      <c r="G100" s="112">
        <f>'Instant Old no Delete'!G38/'Firm Retail'!G37</f>
        <v>1.1506531204644412</v>
      </c>
      <c r="H100" s="112">
        <f>'Instant Old no Delete'!H38/'Firm Retail'!H37</f>
        <v>1.1522192433720584</v>
      </c>
      <c r="I100" s="112">
        <f>'Instant Old no Delete'!I38/'Firm Retail'!I37</f>
        <v>1.1504268472181336</v>
      </c>
      <c r="J100" s="112">
        <f>'Instant Old no Delete'!J38/'Firm Retail'!J37</f>
        <v>1.1474127557160048</v>
      </c>
      <c r="K100" s="112">
        <f>'Instant Old no Delete'!K38/'Firm Retail'!K37</f>
        <v>1.1608863198458574</v>
      </c>
      <c r="L100" s="112">
        <f>'Instant Old no Delete'!L38/'Firm Retail'!L37</f>
        <v>1.1714795008912655</v>
      </c>
      <c r="M100" s="112">
        <f>'Instant Old no Delete'!M38/'Firm Retail'!M37</f>
        <v>1.2136488340192044</v>
      </c>
    </row>
    <row r="101" spans="1:13">
      <c r="A101" s="3">
        <f t="shared" si="4"/>
        <v>2005</v>
      </c>
      <c r="B101" s="112">
        <f>'Instant Old no Delete'!B39/'Firm Retail'!B38</f>
        <v>1.178886522665044</v>
      </c>
      <c r="C101" s="112">
        <f>'Instant Old no Delete'!C39/'Firm Retail'!C38</f>
        <v>1.2008016032064128</v>
      </c>
      <c r="D101" s="112">
        <f>'Instant Old no Delete'!D39/'Firm Retail'!D38</f>
        <v>1.1510280373831776</v>
      </c>
      <c r="E101" s="112">
        <f>'Instant Old no Delete'!E39/'Firm Retail'!E38</f>
        <v>1.1581071166544388</v>
      </c>
      <c r="F101" s="112">
        <f>'Instant Old no Delete'!F39/'Firm Retail'!F38</f>
        <v>1.1463338533541341</v>
      </c>
      <c r="G101" s="112">
        <f>'Instant Old no Delete'!G39/'Firm Retail'!G38</f>
        <v>1.1511226252158895</v>
      </c>
      <c r="H101" s="112">
        <f>'Instant Old no Delete'!H39/'Firm Retail'!H38</f>
        <v>1.1469780219780219</v>
      </c>
      <c r="I101" s="112">
        <f>'Instant Old no Delete'!I39/'Firm Retail'!I38</f>
        <v>1.1285906040268456</v>
      </c>
      <c r="J101" s="112">
        <f>'Instant Old no Delete'!J39/'Firm Retail'!J38</f>
        <v>1.1447713370230119</v>
      </c>
      <c r="K101" s="112">
        <f>'Instant Old no Delete'!K39/'Firm Retail'!K38</f>
        <v>1.1409623689080814</v>
      </c>
      <c r="L101" s="112">
        <f>'Instant Old no Delete'!L39/'Firm Retail'!L38</f>
        <v>1.1783243658724059</v>
      </c>
      <c r="M101" s="112">
        <f>'Instant Old no Delete'!M39/'Firm Retail'!M38</f>
        <v>1.1980125138019875</v>
      </c>
    </row>
    <row r="102" spans="1:13">
      <c r="A102" s="3">
        <f t="shared" si="4"/>
        <v>2006</v>
      </c>
      <c r="B102" s="112">
        <f>'Instant Old no Delete'!B40/'Firm Retail'!B39</f>
        <v>1.215429403202329</v>
      </c>
      <c r="C102" s="112">
        <f>'Instant Old no Delete'!C40/'Firm Retail'!C39</f>
        <v>1.1243258586432019</v>
      </c>
      <c r="D102" s="112">
        <f>'Instant Old no Delete'!D40/'Firm Retail'!D39</f>
        <v>1.1834970530451867</v>
      </c>
      <c r="E102" s="112">
        <f>'Instant Old no Delete'!E40/'Firm Retail'!E39</f>
        <v>1.1132192846034215</v>
      </c>
      <c r="F102" s="112">
        <f>'Instant Old no Delete'!F40/'Firm Retail'!F39</f>
        <v>1.1389790498672174</v>
      </c>
      <c r="G102" s="112">
        <f>'Instant Old no Delete'!G40/'Firm Retail'!G39</f>
        <v>1.1336495535714286</v>
      </c>
      <c r="H102" s="112">
        <f>'Instant Old no Delete'!H40/'Firm Retail'!H39</f>
        <v>1.132412672623883</v>
      </c>
      <c r="I102" s="112">
        <f>'Instant Old no Delete'!I40/'Firm Retail'!I39</f>
        <v>1.1231095781374369</v>
      </c>
      <c r="J102" s="112">
        <f>'Instant Old no Delete'!J40/'Firm Retail'!J39</f>
        <v>1.1386966551326414</v>
      </c>
      <c r="K102" s="112">
        <f>'Instant Old no Delete'!K40/'Firm Retail'!K39</f>
        <v>1.1391908212560387</v>
      </c>
      <c r="L102" s="112">
        <f>'Instant Old no Delete'!L40/'Firm Retail'!L39</f>
        <v>1.1461454146876142</v>
      </c>
      <c r="M102" s="112">
        <f>'Instant Old no Delete'!M40/'Firm Retail'!M39</f>
        <v>1.1749592169657423</v>
      </c>
    </row>
    <row r="103" spans="1:13">
      <c r="A103" s="3">
        <f t="shared" si="4"/>
        <v>2007</v>
      </c>
      <c r="B103" s="112">
        <f>'Instant Old no Delete'!B41/'Firm Retail'!B40</f>
        <v>1.1760301226011634</v>
      </c>
      <c r="C103" s="112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</row>
    <row r="104" spans="1:13">
      <c r="A104" s="3">
        <f t="shared" si="4"/>
        <v>2008</v>
      </c>
      <c r="B104" s="112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</row>
    <row r="105" spans="1:13">
      <c r="A105" s="3">
        <f t="shared" si="4"/>
        <v>2009</v>
      </c>
      <c r="B105" s="112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</row>
    <row r="106" spans="1:13">
      <c r="A106" s="3">
        <f t="shared" si="4"/>
        <v>2015</v>
      </c>
      <c r="B106" s="112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</row>
    <row r="108" spans="1:13">
      <c r="A108" s="29" t="s">
        <v>164</v>
      </c>
    </row>
    <row r="109" spans="1:13">
      <c r="A109" s="3" t="s">
        <v>165</v>
      </c>
      <c r="B109" s="19">
        <f t="shared" ref="B109:M109" si="5">MEDIAN(B89:B98)</f>
        <v>1.2255398518362843</v>
      </c>
      <c r="C109" s="19">
        <f t="shared" si="5"/>
        <v>1.2372673490799764</v>
      </c>
      <c r="D109" s="19">
        <f t="shared" si="5"/>
        <v>1.2412620747684633</v>
      </c>
      <c r="E109" s="19">
        <f t="shared" si="5"/>
        <v>1.2032398533140289</v>
      </c>
      <c r="F109" s="19">
        <f t="shared" si="5"/>
        <v>1.179507271413081</v>
      </c>
      <c r="G109" s="19">
        <f t="shared" si="5"/>
        <v>1.1872769432822436</v>
      </c>
      <c r="H109" s="19">
        <f t="shared" si="5"/>
        <v>1.1805081746620467</v>
      </c>
      <c r="I109" s="19">
        <f t="shared" si="5"/>
        <v>1.1896192647728685</v>
      </c>
      <c r="J109" s="19">
        <f t="shared" si="5"/>
        <v>1.1833952931790985</v>
      </c>
      <c r="K109" s="19">
        <f t="shared" si="5"/>
        <v>1.1944156022181125</v>
      </c>
      <c r="L109" s="19">
        <f t="shared" si="5"/>
        <v>1.2177523513806472</v>
      </c>
      <c r="M109" s="19">
        <f t="shared" si="5"/>
        <v>1.2437952050969974</v>
      </c>
    </row>
    <row r="110" spans="1:13">
      <c r="A110" s="3" t="s">
        <v>54</v>
      </c>
      <c r="B110" s="19">
        <f t="shared" ref="B110:M110" si="6">AVERAGE(B89:B98)</f>
        <v>1.2278218957433873</v>
      </c>
      <c r="C110" s="19">
        <f t="shared" si="6"/>
        <v>1.2474305002491479</v>
      </c>
      <c r="D110" s="19">
        <f t="shared" si="6"/>
        <v>1.2369918299093443</v>
      </c>
      <c r="E110" s="19">
        <f t="shared" si="6"/>
        <v>1.2044243749904726</v>
      </c>
      <c r="F110" s="19">
        <f t="shared" si="6"/>
        <v>1.1850807963226553</v>
      </c>
      <c r="G110" s="19">
        <f t="shared" si="6"/>
        <v>1.1829119346307753</v>
      </c>
      <c r="H110" s="19">
        <f t="shared" si="6"/>
        <v>1.1732062122626725</v>
      </c>
      <c r="I110" s="19">
        <f t="shared" si="6"/>
        <v>1.1853263265523952</v>
      </c>
      <c r="J110" s="19">
        <f t="shared" si="6"/>
        <v>1.1837635050985327</v>
      </c>
      <c r="K110" s="19">
        <f t="shared" si="6"/>
        <v>1.1830557792898559</v>
      </c>
      <c r="L110" s="19">
        <f t="shared" si="6"/>
        <v>1.2173025977550969</v>
      </c>
      <c r="M110" s="19">
        <f t="shared" si="6"/>
        <v>1.2369701351870994</v>
      </c>
    </row>
    <row r="111" spans="1:13">
      <c r="A111" s="3" t="s">
        <v>52</v>
      </c>
      <c r="B111" s="19">
        <f t="shared" ref="B111:M111" si="7">MAX(B89:B98)</f>
        <v>1.3163418290854574</v>
      </c>
      <c r="C111" s="19">
        <f t="shared" si="7"/>
        <v>1.2985365853658537</v>
      </c>
      <c r="D111" s="19">
        <f t="shared" si="7"/>
        <v>1.2864493996569468</v>
      </c>
      <c r="E111" s="19">
        <f t="shared" si="7"/>
        <v>1.2968936678614098</v>
      </c>
      <c r="F111" s="19">
        <f t="shared" si="7"/>
        <v>1.224802371541502</v>
      </c>
      <c r="G111" s="19">
        <f t="shared" si="7"/>
        <v>1.1999184006527948</v>
      </c>
      <c r="H111" s="19">
        <f t="shared" si="7"/>
        <v>1.2184703010577707</v>
      </c>
      <c r="I111" s="19">
        <f t="shared" si="7"/>
        <v>1.238362760834671</v>
      </c>
      <c r="J111" s="19">
        <f t="shared" si="7"/>
        <v>1.2150297619047619</v>
      </c>
      <c r="K111" s="19">
        <f t="shared" si="7"/>
        <v>1.2135465663217309</v>
      </c>
      <c r="L111" s="19">
        <f t="shared" si="7"/>
        <v>1.2920353982300885</v>
      </c>
      <c r="M111" s="19">
        <f t="shared" si="7"/>
        <v>1.2777777777777777</v>
      </c>
    </row>
    <row r="112" spans="1:13">
      <c r="A112" s="3" t="s">
        <v>53</v>
      </c>
      <c r="B112" s="19">
        <f t="shared" ref="B112:M112" si="8">MIN(B89:B98)</f>
        <v>1.1561872909698996</v>
      </c>
      <c r="C112" s="19">
        <f t="shared" si="8"/>
        <v>1.2249203821656052</v>
      </c>
      <c r="D112" s="19">
        <f t="shared" si="8"/>
        <v>1.1814381270903009</v>
      </c>
      <c r="E112" s="19">
        <f t="shared" si="8"/>
        <v>1.118000751597144</v>
      </c>
      <c r="F112" s="19">
        <f t="shared" si="8"/>
        <v>1.1524021635380211</v>
      </c>
      <c r="G112" s="19">
        <f t="shared" si="8"/>
        <v>1.1433457711442787</v>
      </c>
      <c r="H112" s="19">
        <f t="shared" si="8"/>
        <v>1.1085346215780998</v>
      </c>
      <c r="I112" s="19">
        <f t="shared" si="8"/>
        <v>1.1247963506028023</v>
      </c>
      <c r="J112" s="19">
        <f t="shared" si="8"/>
        <v>1.1401806624289059</v>
      </c>
      <c r="K112" s="19">
        <f t="shared" si="8"/>
        <v>1.1295191295191296</v>
      </c>
      <c r="L112" s="19">
        <f t="shared" si="8"/>
        <v>1.1612903225806452</v>
      </c>
      <c r="M112" s="19">
        <f t="shared" si="8"/>
        <v>1.1972357116174823</v>
      </c>
    </row>
    <row r="128" spans="1:13" ht="15.75">
      <c r="A128" s="3"/>
      <c r="B128" s="5" t="s">
        <v>169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30" spans="1:13">
      <c r="A130" s="10"/>
      <c r="B130" s="10" t="s">
        <v>4</v>
      </c>
      <c r="C130" s="10" t="s">
        <v>8</v>
      </c>
      <c r="D130" s="10" t="s">
        <v>9</v>
      </c>
      <c r="E130" s="10" t="s">
        <v>10</v>
      </c>
      <c r="F130" s="10" t="s">
        <v>11</v>
      </c>
      <c r="G130" s="10" t="s">
        <v>12</v>
      </c>
      <c r="H130" s="10" t="s">
        <v>13</v>
      </c>
      <c r="I130" s="10" t="s">
        <v>15</v>
      </c>
      <c r="J130" s="10" t="s">
        <v>16</v>
      </c>
      <c r="K130" s="10" t="s">
        <v>17</v>
      </c>
      <c r="L130" s="10" t="s">
        <v>18</v>
      </c>
      <c r="M130" s="10" t="s">
        <v>19</v>
      </c>
    </row>
    <row r="131" spans="1:13">
      <c r="A131" s="3">
        <f>A6</f>
        <v>1973</v>
      </c>
      <c r="B131" s="110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</row>
    <row r="132" spans="1:13">
      <c r="A132" s="3">
        <f t="shared" ref="A132:A168" si="9">A7</f>
        <v>1974</v>
      </c>
      <c r="B132" s="112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</row>
    <row r="133" spans="1:13">
      <c r="A133" s="3">
        <f t="shared" si="9"/>
        <v>1975</v>
      </c>
      <c r="B133" s="112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</row>
    <row r="134" spans="1:13">
      <c r="A134" s="3">
        <f t="shared" si="9"/>
        <v>1976</v>
      </c>
      <c r="B134" s="112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</row>
    <row r="135" spans="1:13">
      <c r="A135" s="3">
        <f t="shared" si="9"/>
        <v>1977</v>
      </c>
      <c r="B135" s="112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</row>
    <row r="136" spans="1:13">
      <c r="A136" s="3">
        <f t="shared" si="9"/>
        <v>1978</v>
      </c>
      <c r="B136" s="112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</row>
    <row r="137" spans="1:13">
      <c r="A137" s="3">
        <f t="shared" si="9"/>
        <v>1979</v>
      </c>
      <c r="B137" s="112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</row>
    <row r="138" spans="1:13">
      <c r="A138" s="3">
        <f t="shared" si="9"/>
        <v>1980</v>
      </c>
      <c r="B138" s="112">
        <f>'Total Retail'!B14/'Firm Retail'!B13</f>
        <v>1.1481257557436517</v>
      </c>
      <c r="C138" s="113">
        <f>'Total Retail'!C14/'Firm Retail'!C13</f>
        <v>1.1208791208791209</v>
      </c>
      <c r="D138" s="113">
        <f>'Total Retail'!D14/'Firm Retail'!D13</f>
        <v>1.0204295442640126</v>
      </c>
      <c r="E138" s="113">
        <f>'Total Retail'!E14/'Firm Retail'!E13</f>
        <v>1.1861743912018854</v>
      </c>
      <c r="F138" s="113">
        <f>'Total Retail'!F14/'Firm Retail'!F13</f>
        <v>1.127713920817369</v>
      </c>
      <c r="G138" s="113">
        <f>'Total Retail'!G14/'Firm Retail'!G13</f>
        <v>1.1576260370134015</v>
      </c>
      <c r="H138" s="113">
        <f>'Total Retail'!H14/'Firm Retail'!H13</f>
        <v>1.0941446613088404</v>
      </c>
      <c r="I138" s="113">
        <f>'Total Retail'!I14/'Firm Retail'!I13</f>
        <v>1.1219512195121952</v>
      </c>
      <c r="J138" s="113">
        <f>'Total Retail'!J14/'Firm Retail'!J13</f>
        <v>1.1275167785234899</v>
      </c>
      <c r="K138" s="113">
        <f>'Total Retail'!K14/'Firm Retail'!K13</f>
        <v>1.1435574229691876</v>
      </c>
      <c r="L138" s="113">
        <f>'Total Retail'!L14/'Firm Retail'!L13</f>
        <v>1.173946957878315</v>
      </c>
      <c r="M138" s="113">
        <f>'Total Retail'!M14/'Firm Retail'!M13</f>
        <v>1.1320049813200499</v>
      </c>
    </row>
    <row r="139" spans="1:13">
      <c r="A139" s="3">
        <f t="shared" si="9"/>
        <v>1981</v>
      </c>
      <c r="B139" s="112">
        <f>'Total Retail'!B15/'Firm Retail'!B14</f>
        <v>1.0910344827586207</v>
      </c>
      <c r="C139" s="113">
        <f>'Total Retail'!C15/'Firm Retail'!C14</f>
        <v>1.0603310197544047</v>
      </c>
      <c r="D139" s="113">
        <f>'Total Retail'!D15/'Firm Retail'!D14</f>
        <v>1.1773211567732116</v>
      </c>
      <c r="E139" s="113">
        <f>'Total Retail'!E15/'Firm Retail'!E14</f>
        <v>1.158465991316932</v>
      </c>
      <c r="F139" s="113">
        <f>'Total Retail'!F15/'Firm Retail'!F14</f>
        <v>1.1433060967944688</v>
      </c>
      <c r="G139" s="113">
        <f>'Total Retail'!G15/'Firm Retail'!G14</f>
        <v>1.0995717344753748</v>
      </c>
      <c r="H139" s="113">
        <f>'Total Retail'!H15/'Firm Retail'!H14</f>
        <v>1.1097355092853123</v>
      </c>
      <c r="I139" s="113">
        <f>'Total Retail'!I15/'Firm Retail'!I14</f>
        <v>1.1241791044776119</v>
      </c>
      <c r="J139" s="113">
        <f>'Total Retail'!J15/'Firm Retail'!J14</f>
        <v>1.1157708210277613</v>
      </c>
      <c r="K139" s="113">
        <f>'Total Retail'!K15/'Firm Retail'!K14</f>
        <v>1.131949095780308</v>
      </c>
      <c r="L139" s="113">
        <f>'Total Retail'!L15/'Firm Retail'!L14</f>
        <v>1.0964566929133859</v>
      </c>
      <c r="M139" s="113">
        <f>'Total Retail'!M15/'Firm Retail'!M14</f>
        <v>1.093681917211329</v>
      </c>
    </row>
    <row r="140" spans="1:13">
      <c r="A140" s="3">
        <f t="shared" si="9"/>
        <v>1982</v>
      </c>
      <c r="B140" s="112">
        <f>'Total Retail'!B16/'Firm Retail'!B15</f>
        <v>1.0600938967136151</v>
      </c>
      <c r="C140" s="113">
        <f>'Total Retail'!C16/'Firm Retail'!C15</f>
        <v>1.1873015873015873</v>
      </c>
      <c r="D140" s="113">
        <f>'Total Retail'!D16/'Firm Retail'!D15</f>
        <v>1.1090277777777777</v>
      </c>
      <c r="E140" s="113">
        <f>'Total Retail'!E16/'Firm Retail'!E15</f>
        <v>1.1589358799454297</v>
      </c>
      <c r="F140" s="113">
        <f>'Total Retail'!F16/'Firm Retail'!F15</f>
        <v>1.0983072916666667</v>
      </c>
      <c r="G140" s="113">
        <f>'Total Retail'!G16/'Firm Retail'!G15</f>
        <v>1.0780058651026394</v>
      </c>
      <c r="H140" s="113">
        <f>'Total Retail'!H16/'Firm Retail'!H15</f>
        <v>1.1033639143730887</v>
      </c>
      <c r="I140" s="113">
        <f>'Total Retail'!I16/'Firm Retail'!I15</f>
        <v>1.0763403263403264</v>
      </c>
      <c r="J140" s="113">
        <f>'Total Retail'!J16/'Firm Retail'!J15</f>
        <v>1.0830489192263937</v>
      </c>
      <c r="K140" s="113">
        <f>'Total Retail'!K16/'Firm Retail'!K15</f>
        <v>1.1246786632390746</v>
      </c>
      <c r="L140" s="113">
        <f>'Total Retail'!L16/'Firm Retail'!L15</f>
        <v>1.1322008862629247</v>
      </c>
      <c r="M140" s="113">
        <f>'Total Retail'!M16/'Firm Retail'!M15</f>
        <v>1.0788436268068331</v>
      </c>
    </row>
    <row r="141" spans="1:13">
      <c r="A141" s="3">
        <f t="shared" si="9"/>
        <v>1983</v>
      </c>
      <c r="B141" s="112">
        <f>'Total Retail'!B17/'Firm Retail'!B16</f>
        <v>1.0975092739798622</v>
      </c>
      <c r="C141" s="113">
        <f>'Total Retail'!C17/'Firm Retail'!C16</f>
        <v>1.0728476821192052</v>
      </c>
      <c r="D141" s="113">
        <f>'Total Retail'!D17/'Firm Retail'!D16</f>
        <v>1.1005728835136857</v>
      </c>
      <c r="E141" s="113">
        <f>'Total Retail'!E17/'Firm Retail'!E16</f>
        <v>1.1196827685652488</v>
      </c>
      <c r="F141" s="113">
        <f>'Total Retail'!F17/'Firm Retail'!F16</f>
        <v>1.1275252525252526</v>
      </c>
      <c r="G141" s="113">
        <f>'Total Retail'!G17/'Firm Retail'!G16</f>
        <v>1.1212841854934601</v>
      </c>
      <c r="H141" s="113">
        <f>'Total Retail'!H17/'Firm Retail'!H16</f>
        <v>1.1112911939492167</v>
      </c>
      <c r="I141" s="113">
        <f>'Total Retail'!I17/'Firm Retail'!I16</f>
        <v>1.0861974904528096</v>
      </c>
      <c r="J141" s="113">
        <f>'Total Retail'!J17/'Firm Retail'!J16</f>
        <v>1.0980603448275863</v>
      </c>
      <c r="K141" s="113">
        <f>'Total Retail'!K17/'Firm Retail'!K16</f>
        <v>1.1302180685358256</v>
      </c>
      <c r="L141" s="113">
        <f>'Total Retail'!L17/'Firm Retail'!L16</f>
        <v>1.1237590999338187</v>
      </c>
      <c r="M141" s="113">
        <f>'Total Retail'!M17/'Firm Retail'!M16</f>
        <v>1.0120948234155782</v>
      </c>
    </row>
    <row r="142" spans="1:13">
      <c r="A142" s="3">
        <f t="shared" si="9"/>
        <v>1984</v>
      </c>
      <c r="B142" s="112">
        <f>'Total Retail'!B18/'Firm Retail'!B17</f>
        <v>1.1017304667016257</v>
      </c>
      <c r="C142" s="113">
        <f>'Total Retail'!C18/'Firm Retail'!C17</f>
        <v>1.0876314471707562</v>
      </c>
      <c r="D142" s="113">
        <f>'Total Retail'!D18/'Firm Retail'!D17</f>
        <v>1.1147629310344827</v>
      </c>
      <c r="E142" s="113">
        <f>'Total Retail'!E18/'Firm Retail'!E17</f>
        <v>1.1322645290581161</v>
      </c>
      <c r="F142" s="113">
        <f>'Total Retail'!F18/'Firm Retail'!F17</f>
        <v>1.1145080600333519</v>
      </c>
      <c r="G142" s="113">
        <f>'Total Retail'!G18/'Firm Retail'!G17</f>
        <v>1.1283895960154953</v>
      </c>
      <c r="H142" s="113">
        <f>'Total Retail'!H18/'Firm Retail'!H17</f>
        <v>1.1367567567567567</v>
      </c>
      <c r="I142" s="113">
        <f>'Total Retail'!I18/'Firm Retail'!I17</f>
        <v>1.1254691689008043</v>
      </c>
      <c r="J142" s="113">
        <f>'Total Retail'!J18/'Firm Retail'!J17</f>
        <v>1.1266846361185985</v>
      </c>
      <c r="K142" s="113">
        <f>'Total Retail'!K18/'Firm Retail'!K17</f>
        <v>1.1521093285799169</v>
      </c>
      <c r="L142" s="113">
        <f>'Total Retail'!L18/'Firm Retail'!L17</f>
        <v>1.1285892634207242</v>
      </c>
      <c r="M142" s="113">
        <f>'Total Retail'!M18/'Firm Retail'!M17</f>
        <v>1.1254815630159605</v>
      </c>
    </row>
    <row r="143" spans="1:13">
      <c r="A143" s="3">
        <f t="shared" si="9"/>
        <v>1985</v>
      </c>
      <c r="B143" s="112">
        <f>'Total Retail'!B19/'Firm Retail'!B18</f>
        <v>1.0830696202531647</v>
      </c>
      <c r="C143" s="113">
        <f>'Total Retail'!C19/'Firm Retail'!C18</f>
        <v>1.1319018404907975</v>
      </c>
      <c r="D143" s="113">
        <f>'Total Retail'!D19/'Firm Retail'!D18</f>
        <v>1.1526315789473685</v>
      </c>
      <c r="E143" s="113">
        <f>'Total Retail'!E19/'Firm Retail'!E18</f>
        <v>1.1790450928381964</v>
      </c>
      <c r="F143" s="113">
        <f>'Total Retail'!F19/'Firm Retail'!F18</f>
        <v>1.1205711263881544</v>
      </c>
      <c r="G143" s="113">
        <f>'Total Retail'!G19/'Firm Retail'!G18</f>
        <v>1.1431306845380564</v>
      </c>
      <c r="H143" s="113">
        <f>'Total Retail'!H19/'Firm Retail'!H18</f>
        <v>1.1236951983298538</v>
      </c>
      <c r="I143" s="113">
        <f>'Total Retail'!I19/'Firm Retail'!I18</f>
        <v>1.1154044307058217</v>
      </c>
      <c r="J143" s="113">
        <f>'Total Retail'!J19/'Firm Retail'!J18</f>
        <v>1.1060216160576428</v>
      </c>
      <c r="K143" s="113">
        <f>'Total Retail'!K19/'Firm Retail'!K18</f>
        <v>1.1497237569060774</v>
      </c>
      <c r="L143" s="113">
        <f>'Total Retail'!L19/'Firm Retail'!L18</f>
        <v>1.1840731070496084</v>
      </c>
      <c r="M143" s="113">
        <f>'Total Retail'!M19/'Firm Retail'!M18</f>
        <v>1.0920245398773005</v>
      </c>
    </row>
    <row r="144" spans="1:13">
      <c r="A144" s="3">
        <f t="shared" si="9"/>
        <v>1986</v>
      </c>
      <c r="B144" s="112">
        <f>'Total Retail'!B20/'Firm Retail'!B19</f>
        <v>1.1017811704834606</v>
      </c>
      <c r="C144" s="113">
        <f>'Total Retail'!C20/'Firm Retail'!C19</f>
        <v>1.1898395721925135</v>
      </c>
      <c r="D144" s="113">
        <f>'Total Retail'!D20/'Firm Retail'!D19</f>
        <v>1.1031839622641511</v>
      </c>
      <c r="E144" s="113">
        <f>'Total Retail'!E20/'Firm Retail'!E19</f>
        <v>1.1336828309305373</v>
      </c>
      <c r="F144" s="113">
        <f>'Total Retail'!F20/'Firm Retail'!F19</f>
        <v>1.125870380289234</v>
      </c>
      <c r="G144" s="113">
        <f>'Total Retail'!G20/'Firm Retail'!G19</f>
        <v>1.1034841393655745</v>
      </c>
      <c r="H144" s="113">
        <f>'Total Retail'!H20/'Firm Retail'!H19</f>
        <v>1.0894601542416453</v>
      </c>
      <c r="I144" s="113">
        <f>'Total Retail'!I20/'Firm Retail'!I19</f>
        <v>1.0934393638170974</v>
      </c>
      <c r="J144" s="113">
        <f>'Total Retail'!J20/'Firm Retail'!J19</f>
        <v>1.1224701608718215</v>
      </c>
      <c r="K144" s="113">
        <f>'Total Retail'!K20/'Firm Retail'!K19</f>
        <v>1.092741935483871</v>
      </c>
      <c r="L144" s="113">
        <f>'Total Retail'!L20/'Firm Retail'!L19</f>
        <v>1.1211009174311926</v>
      </c>
      <c r="M144" s="113">
        <f>'Total Retail'!M20/'Firm Retail'!M19</f>
        <v>1.1381142098273573</v>
      </c>
    </row>
    <row r="145" spans="1:13">
      <c r="A145" s="3">
        <f t="shared" si="9"/>
        <v>1987</v>
      </c>
      <c r="B145" s="112">
        <f>'Total Retail'!B21/'Firm Retail'!B20</f>
        <v>1.113438937148697</v>
      </c>
      <c r="C145" s="113">
        <f>'Total Retail'!C21/'Firm Retail'!C20</f>
        <v>1.1139489194499017</v>
      </c>
      <c r="D145" s="113">
        <f>'Total Retail'!D21/'Firm Retail'!D20</f>
        <v>1.133993399339934</v>
      </c>
      <c r="E145" s="113">
        <f>'Total Retail'!E21/'Firm Retail'!E20</f>
        <v>1.1114421930870084</v>
      </c>
      <c r="F145" s="113">
        <f>'Total Retail'!F21/'Firm Retail'!F20</f>
        <v>1.1507709880068533</v>
      </c>
      <c r="G145" s="113">
        <f>'Total Retail'!G21/'Firm Retail'!G20</f>
        <v>1.1049534085335948</v>
      </c>
      <c r="H145" s="113">
        <f>'Total Retail'!H21/'Firm Retail'!H20</f>
        <v>1.1230769230769231</v>
      </c>
      <c r="I145" s="113">
        <f>'Total Retail'!I21/'Firm Retail'!I20</f>
        <v>1.1151346332404828</v>
      </c>
      <c r="J145" s="113">
        <f>'Total Retail'!J21/'Firm Retail'!J20</f>
        <v>1.104326923076923</v>
      </c>
      <c r="K145" s="113">
        <f>'Total Retail'!K21/'Firm Retail'!K20</f>
        <v>1.1635372501514234</v>
      </c>
      <c r="L145" s="113">
        <f>'Total Retail'!L21/'Firm Retail'!L20</f>
        <v>1.1562082777036049</v>
      </c>
      <c r="M145" s="113">
        <f>'Total Retail'!M21/'Firm Retail'!M20</f>
        <v>1.1642561983471074</v>
      </c>
    </row>
    <row r="146" spans="1:13">
      <c r="A146" s="3">
        <f t="shared" si="9"/>
        <v>1988</v>
      </c>
      <c r="B146" s="112">
        <f>'Total Retail'!B22/'Firm Retail'!B21</f>
        <v>1.1386353759235115</v>
      </c>
      <c r="C146" s="113">
        <f>'Total Retail'!C22/'Firm Retail'!C21</f>
        <v>1.1406570841889117</v>
      </c>
      <c r="D146" s="113">
        <f>'Total Retail'!D22/'Firm Retail'!D21</f>
        <v>1.149508535954475</v>
      </c>
      <c r="E146" s="113">
        <f>'Total Retail'!E22/'Firm Retail'!E21</f>
        <v>1.153536515238643</v>
      </c>
      <c r="F146" s="113">
        <f>'Total Retail'!F22/'Firm Retail'!F21</f>
        <v>1.1490963855421688</v>
      </c>
      <c r="G146" s="113">
        <f>'Total Retail'!G22/'Firm Retail'!G21</f>
        <v>1.1233140655105973</v>
      </c>
      <c r="H146" s="113">
        <f>'Total Retail'!H22/'Firm Retail'!H21</f>
        <v>1.1363010555300597</v>
      </c>
      <c r="I146" s="113">
        <f>'Total Retail'!I22/'Firm Retail'!I21</f>
        <v>1.1437939110070257</v>
      </c>
      <c r="J146" s="113">
        <f>'Total Retail'!J22/'Firm Retail'!J21</f>
        <v>1.1337181337181337</v>
      </c>
      <c r="K146" s="113">
        <f>'Total Retail'!K22/'Firm Retail'!K21</f>
        <v>1.1205597416576965</v>
      </c>
      <c r="L146" s="113">
        <f>'Total Retail'!L22/'Firm Retail'!L21</f>
        <v>1.1304090100770599</v>
      </c>
      <c r="M146" s="113">
        <f>'Total Retail'!M22/'Firm Retail'!M21</f>
        <v>1.1259911894273127</v>
      </c>
    </row>
    <row r="147" spans="1:13">
      <c r="A147" s="3">
        <f t="shared" si="9"/>
        <v>1989</v>
      </c>
      <c r="B147" s="112">
        <f>'Total Retail'!B23/'Firm Retail'!B22</f>
        <v>1.1985203452527744</v>
      </c>
      <c r="C147" s="113">
        <f>'Total Retail'!C23/'Firm Retail'!C22</f>
        <v>1.1671183378500452</v>
      </c>
      <c r="D147" s="113">
        <f>'Total Retail'!D23/'Firm Retail'!D22</f>
        <v>1.1984216459977453</v>
      </c>
      <c r="E147" s="113">
        <f>'Total Retail'!E23/'Firm Retail'!E22</f>
        <v>1.1808815111619919</v>
      </c>
      <c r="F147" s="113">
        <f>'Total Retail'!F23/'Firm Retail'!F22</f>
        <v>1.1479885057471264</v>
      </c>
      <c r="G147" s="113">
        <f>'Total Retail'!G23/'Firm Retail'!G22</f>
        <v>1.1592558983666061</v>
      </c>
      <c r="H147" s="113">
        <f>'Total Retail'!H23/'Firm Retail'!H22</f>
        <v>1.1627056672760512</v>
      </c>
      <c r="I147" s="113">
        <f>'Total Retail'!I23/'Firm Retail'!I22</f>
        <v>1.1437527989252128</v>
      </c>
      <c r="J147" s="113">
        <f>'Total Retail'!J23/'Firm Retail'!J22</f>
        <v>1.1314206385932439</v>
      </c>
      <c r="K147" s="113">
        <f>'Total Retail'!K23/'Firm Retail'!K22</f>
        <v>1.1607684529828108</v>
      </c>
      <c r="L147" s="113">
        <f>'Total Retail'!L23/'Firm Retail'!L22</f>
        <v>1.1447058823529412</v>
      </c>
      <c r="M147" s="113">
        <f>'Total Retail'!M23/'Firm Retail'!M22</f>
        <v>1.0647820965842167</v>
      </c>
    </row>
    <row r="148" spans="1:13">
      <c r="A148" s="3">
        <f t="shared" si="9"/>
        <v>1990</v>
      </c>
      <c r="B148" s="112">
        <f>'Total Retail'!B24/'Firm Retail'!B23</f>
        <v>1.1580135440180588</v>
      </c>
      <c r="C148" s="113">
        <f>'Total Retail'!C24/'Firm Retail'!C23</f>
        <v>1.1981191222570533</v>
      </c>
      <c r="D148" s="113">
        <f>'Total Retail'!D24/'Firm Retail'!D23</f>
        <v>1.1627344222625529</v>
      </c>
      <c r="E148" s="113">
        <f>'Total Retail'!E24/'Firm Retail'!E23</f>
        <v>1.1730569948186529</v>
      </c>
      <c r="F148" s="113">
        <f>'Total Retail'!F24/'Firm Retail'!F23</f>
        <v>1.1784543325526933</v>
      </c>
      <c r="G148" s="113">
        <f>'Total Retail'!G24/'Firm Retail'!G23</f>
        <v>1.1678507992895204</v>
      </c>
      <c r="H148" s="113">
        <f>'Total Retail'!H24/'Firm Retail'!H23</f>
        <v>1.1571815718157181</v>
      </c>
      <c r="I148" s="113">
        <f>'Total Retail'!I24/'Firm Retail'!I23</f>
        <v>1.1443615620886354</v>
      </c>
      <c r="J148" s="113">
        <f>'Total Retail'!J24/'Firm Retail'!J23</f>
        <v>1.1674187725631768</v>
      </c>
      <c r="K148" s="113">
        <f>'Total Retail'!K24/'Firm Retail'!K23</f>
        <v>1.1604938271604939</v>
      </c>
      <c r="L148" s="113">
        <f>'Total Retail'!L24/'Firm Retail'!L23</f>
        <v>1.1865373645179691</v>
      </c>
      <c r="M148" s="113">
        <f>'Total Retail'!M24/'Firm Retail'!M23</f>
        <v>1.1581495427649273</v>
      </c>
    </row>
    <row r="149" spans="1:13">
      <c r="A149" s="3">
        <f t="shared" si="9"/>
        <v>1991</v>
      </c>
      <c r="B149" s="112">
        <f>'Total Retail'!B25/'Firm Retail'!B24</f>
        <v>1.1707190894981894</v>
      </c>
      <c r="C149" s="113">
        <f>'Total Retail'!C25/'Firm Retail'!C24</f>
        <v>1.1780155642023347</v>
      </c>
      <c r="D149" s="113">
        <f>'Total Retail'!D25/'Firm Retail'!D24</f>
        <v>1.1783271962125197</v>
      </c>
      <c r="E149" s="113">
        <f>'Total Retail'!E25/'Firm Retail'!E24</f>
        <v>1.1376443418013857</v>
      </c>
      <c r="F149" s="113">
        <f>'Total Retail'!F25/'Firm Retail'!F24</f>
        <v>1.1688679245283018</v>
      </c>
      <c r="G149" s="113">
        <f>'Total Retail'!G25/'Firm Retail'!G24</f>
        <v>1.1143878462913315</v>
      </c>
      <c r="H149" s="113">
        <f>'Total Retail'!H25/'Firm Retail'!H24</f>
        <v>1.1122140699179974</v>
      </c>
      <c r="I149" s="113">
        <f>'Total Retail'!I25/'Firm Retail'!I24</f>
        <v>1.1439555745407946</v>
      </c>
      <c r="J149" s="113">
        <f>'Total Retail'!J25/'Firm Retail'!J24</f>
        <v>1.1391641533821628</v>
      </c>
      <c r="K149" s="113">
        <f>'Total Retail'!K25/'Firm Retail'!K24</f>
        <v>1.1529868868382711</v>
      </c>
      <c r="L149" s="113">
        <f>'Total Retail'!L25/'Firm Retail'!L24</f>
        <v>1.1790523690773067</v>
      </c>
      <c r="M149" s="113">
        <f>'Total Retail'!M25/'Firm Retail'!M24</f>
        <v>1.1564524165421026</v>
      </c>
    </row>
    <row r="150" spans="1:13">
      <c r="A150" s="3">
        <f t="shared" si="9"/>
        <v>1992</v>
      </c>
      <c r="B150" s="112">
        <f>'Total Retail'!B26/'Firm Retail'!B25</f>
        <v>1.1925734024179619</v>
      </c>
      <c r="C150" s="113">
        <f>'Total Retail'!C26/'Firm Retail'!C25</f>
        <v>1.2400461627236008</v>
      </c>
      <c r="D150" s="113">
        <f>'Total Retail'!D26/'Firm Retail'!D25</f>
        <v>1.2265895953757227</v>
      </c>
      <c r="E150" s="113">
        <f>'Total Retail'!E26/'Firm Retail'!E25</f>
        <v>1.2129067843353558</v>
      </c>
      <c r="F150" s="113">
        <f>'Total Retail'!F26/'Firm Retail'!F25</f>
        <v>1.1870967741935483</v>
      </c>
      <c r="G150" s="113">
        <f>'Total Retail'!G26/'Firm Retail'!G25</f>
        <v>1.1284364261168385</v>
      </c>
      <c r="H150" s="113">
        <f>'Total Retail'!H26/'Firm Retail'!H25</f>
        <v>1.1541024573094545</v>
      </c>
      <c r="I150" s="113">
        <f>'Total Retail'!I26/'Firm Retail'!I25</f>
        <v>1.1536824180502341</v>
      </c>
      <c r="J150" s="113">
        <f>'Total Retail'!J26/'Firm Retail'!J25</f>
        <v>1.1589198760513502</v>
      </c>
      <c r="K150" s="113">
        <f>'Total Retail'!K26/'Firm Retail'!K25</f>
        <v>1.1750649350649351</v>
      </c>
      <c r="L150" s="113">
        <f>'Total Retail'!L26/'Firm Retail'!L25</f>
        <v>1.1340523882896765</v>
      </c>
      <c r="M150" s="113">
        <f>'Total Retail'!M26/'Firm Retail'!M25</f>
        <v>1.1862370289459312</v>
      </c>
    </row>
    <row r="151" spans="1:13">
      <c r="A151" s="3">
        <f t="shared" si="9"/>
        <v>1993</v>
      </c>
      <c r="B151" s="112">
        <f>'Total Retail'!B27/'Firm Retail'!B26</f>
        <v>1.1811185223191381</v>
      </c>
      <c r="C151" s="113">
        <f>'Total Retail'!C27/'Firm Retail'!C26</f>
        <v>1.188780487804878</v>
      </c>
      <c r="D151" s="113">
        <f>'Total Retail'!D27/'Firm Retail'!D26</f>
        <v>1.191139240506329</v>
      </c>
      <c r="E151" s="113">
        <f>'Total Retail'!E27/'Firm Retail'!E26</f>
        <v>1.1762246117084827</v>
      </c>
      <c r="F151" s="113">
        <f>'Total Retail'!F27/'Firm Retail'!F26</f>
        <v>1.1353754940711462</v>
      </c>
      <c r="G151" s="113">
        <f>'Total Retail'!G27/'Firm Retail'!G26</f>
        <v>1.1036914143508918</v>
      </c>
      <c r="H151" s="113">
        <f>'Total Retail'!H27/'Firm Retail'!H26</f>
        <v>1.1297803091944671</v>
      </c>
      <c r="I151" s="113">
        <f>'Total Retail'!I27/'Firm Retail'!I26</f>
        <v>1.14446227929374</v>
      </c>
      <c r="J151" s="113">
        <f>'Total Retail'!J27/'Firm Retail'!J26</f>
        <v>1.1203899957609156</v>
      </c>
      <c r="K151" s="113">
        <f>'Total Retail'!K27/'Firm Retail'!K26</f>
        <v>1.1281337047353761</v>
      </c>
      <c r="L151" s="113">
        <f>'Total Retail'!L27/'Firm Retail'!L26</f>
        <v>1.1393316195372751</v>
      </c>
      <c r="M151" s="113">
        <f>'Total Retail'!M27/'Firm Retail'!M26</f>
        <v>1.1304938830992297</v>
      </c>
    </row>
    <row r="152" spans="1:13">
      <c r="A152" s="3">
        <f t="shared" si="9"/>
        <v>1994</v>
      </c>
      <c r="B152" s="112">
        <f>'Total Retail'!B28/'Firm Retail'!B27</f>
        <v>1.1331546023235031</v>
      </c>
      <c r="C152" s="113">
        <f>'Total Retail'!C28/'Firm Retail'!C27</f>
        <v>1.1584889274858881</v>
      </c>
      <c r="D152" s="113">
        <f>'Total Retail'!D28/'Firm Retail'!D27</f>
        <v>1.1467444120505346</v>
      </c>
      <c r="E152" s="113">
        <f>'Total Retail'!E28/'Firm Retail'!E27</f>
        <v>1.1356255969436486</v>
      </c>
      <c r="F152" s="113">
        <f>'Total Retail'!F28/'Firm Retail'!F27</f>
        <v>1.1200873362445414</v>
      </c>
      <c r="G152" s="113">
        <f>'Total Retail'!G28/'Firm Retail'!G27</f>
        <v>1.1236230110159118</v>
      </c>
      <c r="H152" s="113">
        <f>'Total Retail'!H28/'Firm Retail'!H27</f>
        <v>1.1215702828197551</v>
      </c>
      <c r="I152" s="113">
        <f>'Total Retail'!I28/'Firm Retail'!I27</f>
        <v>1.1182749786507258</v>
      </c>
      <c r="J152" s="113">
        <f>'Total Retail'!J28/'Firm Retail'!J27</f>
        <v>1.1247330200768901</v>
      </c>
      <c r="K152" s="113">
        <f>'Total Retail'!K28/'Firm Retail'!K27</f>
        <v>1.1354656632173095</v>
      </c>
      <c r="L152" s="113">
        <f>'Total Retail'!L28/'Firm Retail'!L27</f>
        <v>1.1189162067235323</v>
      </c>
      <c r="M152" s="113">
        <f>'Total Retail'!M28/'Firm Retail'!M27</f>
        <v>1.157006190208216</v>
      </c>
    </row>
    <row r="153" spans="1:13">
      <c r="A153" s="3">
        <f t="shared" si="9"/>
        <v>1995</v>
      </c>
      <c r="B153" s="112">
        <f>'Total Retail'!B29/'Firm Retail'!B28</f>
        <v>1.1650485436893203</v>
      </c>
      <c r="C153" s="113">
        <f>'Total Retail'!C29/'Firm Retail'!C28</f>
        <v>1.176252319109462</v>
      </c>
      <c r="D153" s="113">
        <f>'Total Retail'!D29/'Firm Retail'!D28</f>
        <v>1.1732370905052749</v>
      </c>
      <c r="E153" s="113">
        <f>'Total Retail'!E29/'Firm Retail'!E28</f>
        <v>1.1362397820163488</v>
      </c>
      <c r="F153" s="113">
        <f>'Total Retail'!F29/'Firm Retail'!F28</f>
        <v>1.1175790285273708</v>
      </c>
      <c r="G153" s="113">
        <f>'Total Retail'!G29/'Firm Retail'!G28</f>
        <v>1.1125592417061612</v>
      </c>
      <c r="H153" s="113">
        <f>'Total Retail'!H29/'Firm Retail'!H28</f>
        <v>1.1129094412331406</v>
      </c>
      <c r="I153" s="113">
        <f>'Total Retail'!I29/'Firm Retail'!I28</f>
        <v>1.1051829268292683</v>
      </c>
      <c r="J153" s="113">
        <f>'Total Retail'!J29/'Firm Retail'!J28</f>
        <v>1.1188671719186278</v>
      </c>
      <c r="K153" s="113">
        <f>'Total Retail'!K29/'Firm Retail'!K28</f>
        <v>1.1454234388366125</v>
      </c>
      <c r="L153" s="113">
        <f>'Total Retail'!L29/'Firm Retail'!L28</f>
        <v>1.123537669630323</v>
      </c>
      <c r="M153" s="113">
        <f>'Total Retail'!M29/'Firm Retail'!M28</f>
        <v>1.1933481152993348</v>
      </c>
    </row>
    <row r="154" spans="1:13">
      <c r="A154" s="3">
        <f t="shared" si="9"/>
        <v>1996</v>
      </c>
      <c r="B154" s="112">
        <f>'Total Retail'!B30/'Firm Retail'!B29</f>
        <v>1.1348432055749129</v>
      </c>
      <c r="C154" s="113">
        <f>'Total Retail'!C30/'Firm Retail'!C29</f>
        <v>1.1374745417515275</v>
      </c>
      <c r="D154" s="113">
        <f>'Total Retail'!D30/'Firm Retail'!D29</f>
        <v>1.1769095697980685</v>
      </c>
      <c r="E154" s="113">
        <f>'Total Retail'!E30/'Firm Retail'!E29</f>
        <v>1.1619909502262444</v>
      </c>
      <c r="F154" s="113">
        <f>'Total Retail'!F30/'Firm Retail'!F29</f>
        <v>1.1259351620947631</v>
      </c>
      <c r="G154" s="113">
        <f>'Total Retail'!G30/'Firm Retail'!G29</f>
        <v>1.117296222664016</v>
      </c>
      <c r="H154" s="113">
        <f>'Total Retail'!H30/'Firm Retail'!H29</f>
        <v>1.1322251605591236</v>
      </c>
      <c r="I154" s="113">
        <f>'Total Retail'!I30/'Firm Retail'!I29</f>
        <v>1.13997673516867</v>
      </c>
      <c r="J154" s="113">
        <f>'Total Retail'!J30/'Firm Retail'!J29</f>
        <v>1.1292645943896891</v>
      </c>
      <c r="K154" s="113">
        <f>'Total Retail'!K30/'Firm Retail'!K29</f>
        <v>1.1392992823976362</v>
      </c>
      <c r="L154" s="113">
        <f>'Total Retail'!L30/'Firm Retail'!L29</f>
        <v>1.1971176197117619</v>
      </c>
      <c r="M154" s="113">
        <f>'Total Retail'!M30/'Firm Retail'!M29</f>
        <v>1.171585989767808</v>
      </c>
    </row>
    <row r="155" spans="1:13">
      <c r="A155" s="3">
        <f t="shared" si="9"/>
        <v>1997</v>
      </c>
      <c r="B155" s="112">
        <f>'Total Retail'!B31/'Firm Retail'!B30</f>
        <v>1.1467451268848841</v>
      </c>
      <c r="C155" s="113">
        <f>'Total Retail'!C31/'Firm Retail'!C30</f>
        <v>1.1779788838612368</v>
      </c>
      <c r="D155" s="113">
        <f>'Total Retail'!D31/'Firm Retail'!D30</f>
        <v>1.139240506329114</v>
      </c>
      <c r="E155" s="113">
        <f>'Total Retail'!E31/'Firm Retail'!E30</f>
        <v>1.1427216690374584</v>
      </c>
      <c r="F155" s="113">
        <f>'Total Retail'!F31/'Firm Retail'!F30</f>
        <v>1.1239700374531836</v>
      </c>
      <c r="G155" s="113">
        <f>'Total Retail'!G31/'Firm Retail'!G30</f>
        <v>1.1180217309853877</v>
      </c>
      <c r="H155" s="113">
        <f>'Total Retail'!H31/'Firm Retail'!H30</f>
        <v>1.1105715353007097</v>
      </c>
      <c r="I155" s="113">
        <f>'Total Retail'!I31/'Firm Retail'!I30</f>
        <v>1.1215553038882597</v>
      </c>
      <c r="J155" s="113">
        <f>'Total Retail'!J31/'Firm Retail'!J30</f>
        <v>1.1200613732259301</v>
      </c>
      <c r="K155" s="113">
        <f>'Total Retail'!K31/'Firm Retail'!K30</f>
        <v>1.0917618270799347</v>
      </c>
      <c r="L155" s="113">
        <f>'Total Retail'!L31/'Firm Retail'!L30</f>
        <v>1.1581858407079646</v>
      </c>
      <c r="M155" s="113">
        <f>'Total Retail'!M31/'Firm Retail'!M30</f>
        <v>1.1406896551724137</v>
      </c>
    </row>
    <row r="156" spans="1:13">
      <c r="A156" s="3">
        <f t="shared" si="9"/>
        <v>1998</v>
      </c>
      <c r="B156" s="112">
        <f>'Total Retail'!B32/'Firm Retail'!B31</f>
        <v>1.1754122938530736</v>
      </c>
      <c r="C156" s="113">
        <f>'Total Retail'!C32/'Firm Retail'!C31</f>
        <v>1.1556776556776556</v>
      </c>
      <c r="D156" s="113">
        <f>'Total Retail'!D32/'Firm Retail'!D31</f>
        <v>1.1620926243567753</v>
      </c>
      <c r="E156" s="113">
        <f>'Total Retail'!E32/'Firm Retail'!E31</f>
        <v>1.1434389140271493</v>
      </c>
      <c r="F156" s="113">
        <f>'Total Retail'!F32/'Firm Retail'!F31</f>
        <v>1.1226451364859669</v>
      </c>
      <c r="G156" s="113">
        <f>'Total Retail'!G32/'Firm Retail'!G31</f>
        <v>1.1009928106812736</v>
      </c>
      <c r="H156" s="113">
        <f>'Total Retail'!H32/'Firm Retail'!H31</f>
        <v>1.0999654098927707</v>
      </c>
      <c r="I156" s="113">
        <f>'Total Retail'!I32/'Firm Retail'!I31</f>
        <v>1.1089983022071308</v>
      </c>
      <c r="J156" s="113">
        <f>'Total Retail'!J32/'Firm Retail'!J31</f>
        <v>1.1171875</v>
      </c>
      <c r="K156" s="113">
        <f>'Total Retail'!K32/'Firm Retail'!K31</f>
        <v>1.1302063789868668</v>
      </c>
      <c r="L156" s="113">
        <f>'Total Retail'!L32/'Firm Retail'!L31</f>
        <v>1.1311100959342166</v>
      </c>
      <c r="M156" s="113">
        <f>'Total Retail'!M32/'Firm Retail'!M31</f>
        <v>1.1409883720930232</v>
      </c>
    </row>
    <row r="157" spans="1:13">
      <c r="A157" s="3">
        <f t="shared" si="9"/>
        <v>1999</v>
      </c>
      <c r="B157" s="112">
        <f>'Total Retail'!B33/'Firm Retail'!B32</f>
        <v>1.1401337792642141</v>
      </c>
      <c r="C157" s="113">
        <f>'Total Retail'!C33/'Firm Retail'!C32</f>
        <v>1.1429170159262363</v>
      </c>
      <c r="D157" s="113">
        <f>'Total Retail'!D33/'Firm Retail'!D32</f>
        <v>1.1569097888675623</v>
      </c>
      <c r="E157" s="113">
        <f>'Total Retail'!E33/'Firm Retail'!E32</f>
        <v>1.1082299887260429</v>
      </c>
      <c r="F157" s="113">
        <f>'Total Retail'!F33/'Firm Retail'!F32</f>
        <v>1.0941754916792739</v>
      </c>
      <c r="G157" s="113">
        <f>'Total Retail'!G33/'Firm Retail'!G32</f>
        <v>1.1157817109144543</v>
      </c>
      <c r="H157" s="113">
        <f>'Total Retail'!H33/'Firm Retail'!H32</f>
        <v>1.1126005361930296</v>
      </c>
      <c r="I157" s="113">
        <f>'Total Retail'!I33/'Firm Retail'!I32</f>
        <v>1.0987292277614857</v>
      </c>
      <c r="J157" s="113">
        <f>'Total Retail'!J33/'Firm Retail'!J32</f>
        <v>1.0910064239828694</v>
      </c>
      <c r="K157" s="113">
        <f>'Total Retail'!K33/'Firm Retail'!K32</f>
        <v>1.1105882352941177</v>
      </c>
      <c r="L157" s="113">
        <f>'Total Retail'!L33/'Firm Retail'!L32</f>
        <v>1.1112176414189836</v>
      </c>
      <c r="M157" s="113">
        <f>'Total Retail'!M33/'Firm Retail'!M32</f>
        <v>1.1599999999999999</v>
      </c>
    </row>
    <row r="158" spans="1:13">
      <c r="A158" s="3">
        <f t="shared" si="9"/>
        <v>2000</v>
      </c>
      <c r="B158" s="112">
        <f>'Total Retail'!B34/'Firm Retail'!B33</f>
        <v>1.1415752741774676</v>
      </c>
      <c r="C158" s="113">
        <f>'Total Retail'!C34/'Firm Retail'!C33</f>
        <v>1.1273659305993691</v>
      </c>
      <c r="D158" s="113">
        <f>'Total Retail'!D34/'Firm Retail'!D33</f>
        <v>1.0986622073578596</v>
      </c>
      <c r="E158" s="113">
        <f>'Total Retail'!E34/'Firm Retail'!E33</f>
        <v>1.119298245614035</v>
      </c>
      <c r="F158" s="113">
        <f>'Total Retail'!F34/'Firm Retail'!F33</f>
        <v>1.1152089919213206</v>
      </c>
      <c r="G158" s="113">
        <f>'Total Retail'!G34/'Firm Retail'!G33</f>
        <v>1.1135895676046672</v>
      </c>
      <c r="H158" s="113">
        <f>'Total Retail'!H34/'Firm Retail'!H33</f>
        <v>1.055102706227584</v>
      </c>
      <c r="I158" s="113">
        <f>'Total Retail'!I34/'Firm Retail'!I33</f>
        <v>1.0908190224570673</v>
      </c>
      <c r="J158" s="113">
        <f>'Total Retail'!J34/'Firm Retail'!J33</f>
        <v>1.1231304347826088</v>
      </c>
      <c r="K158" s="113">
        <f>'Total Retail'!K34/'Firm Retail'!K33</f>
        <v>1.0301860301860302</v>
      </c>
      <c r="L158" s="113">
        <f>'Total Retail'!L34/'Firm Retail'!L33</f>
        <v>1.1398702140901711</v>
      </c>
      <c r="M158" s="113">
        <f>'Total Retail'!M34/'Firm Retail'!M33</f>
        <v>1.1188041887140781</v>
      </c>
    </row>
    <row r="159" spans="1:13">
      <c r="A159" s="3">
        <f t="shared" si="9"/>
        <v>2001</v>
      </c>
      <c r="B159" s="112">
        <f>'Total Retail'!B35/'Firm Retail'!B34</f>
        <v>1.1156442618139126</v>
      </c>
      <c r="C159" s="113">
        <f>'Total Retail'!C35/'Firm Retail'!C34</f>
        <v>1.1468949044585988</v>
      </c>
      <c r="D159" s="113">
        <f>'Total Retail'!D35/'Firm Retail'!D34</f>
        <v>1.1229874776386404</v>
      </c>
      <c r="E159" s="113">
        <f>'Total Retail'!E35/'Firm Retail'!E34</f>
        <v>1.1247578457962031</v>
      </c>
      <c r="F159" s="113">
        <f>'Total Retail'!F35/'Firm Retail'!F34</f>
        <v>1.1066938498131158</v>
      </c>
      <c r="G159" s="113">
        <f>'Total Retail'!G35/'Firm Retail'!G34</f>
        <v>1.1079857743291304</v>
      </c>
      <c r="H159" s="113">
        <f>'Total Retail'!H35/'Firm Retail'!H34</f>
        <v>1.0644122383252819</v>
      </c>
      <c r="I159" s="113">
        <f>'Total Retail'!I35/'Firm Retail'!I34</f>
        <v>1.0894154818325434</v>
      </c>
      <c r="J159" s="113">
        <f>'Total Retail'!J35/'Firm Retail'!J34</f>
        <v>1.0953496152559385</v>
      </c>
      <c r="K159" s="113">
        <f>'Total Retail'!K35/'Firm Retail'!K34</f>
        <v>1.0972776769509982</v>
      </c>
      <c r="L159" s="113">
        <f>'Total Retail'!L35/'Firm Retail'!L34</f>
        <v>1.1153496821071753</v>
      </c>
      <c r="M159" s="113">
        <f>'Total Retail'!M35/'Firm Retail'!M34</f>
        <v>1.0615835777126099</v>
      </c>
    </row>
    <row r="160" spans="1:13">
      <c r="A160" s="3">
        <f t="shared" si="9"/>
        <v>2002</v>
      </c>
      <c r="B160" s="112">
        <f>'Total Retail'!B36/'Firm Retail'!B35</f>
        <v>1.1083154341822645</v>
      </c>
      <c r="C160" s="113">
        <f>'Total Retail'!C36/'Firm Retail'!C35</f>
        <v>1.1247827598192561</v>
      </c>
      <c r="D160" s="113">
        <f>'Total Retail'!D36/'Firm Retail'!D35</f>
        <v>1.1392499071667286</v>
      </c>
      <c r="E160" s="113">
        <f>'Total Retail'!E36/'Firm Retail'!E35</f>
        <v>1.1159175397093613</v>
      </c>
      <c r="F160" s="113">
        <f>'Total Retail'!F36/'Firm Retail'!F35</f>
        <v>1.1135857461024499</v>
      </c>
      <c r="G160" s="113">
        <f>'Total Retail'!G36/'Firm Retail'!G35</f>
        <v>1.0755597014925373</v>
      </c>
      <c r="H160" s="113">
        <f>'Total Retail'!H36/'Firm Retail'!H35</f>
        <v>1.0952380952380953</v>
      </c>
      <c r="I160" s="113">
        <f>'Total Retail'!I36/'Firm Retail'!I35</f>
        <v>1.0813697769399937</v>
      </c>
      <c r="J160" s="113">
        <f>'Total Retail'!J36/'Firm Retail'!J35</f>
        <v>1.0866437284954644</v>
      </c>
      <c r="K160" s="113">
        <f>'Total Retail'!K36/'Firm Retail'!K35</f>
        <v>1.0871997367555117</v>
      </c>
      <c r="L160" s="113">
        <f>'Total Retail'!L36/'Firm Retail'!L35</f>
        <v>1.1041055718475072</v>
      </c>
      <c r="M160" s="113">
        <f>'Total Retail'!M36/'Firm Retail'!M35</f>
        <v>1.1176690324990661</v>
      </c>
    </row>
    <row r="161" spans="1:13">
      <c r="A161" s="3">
        <f t="shared" si="9"/>
        <v>2003</v>
      </c>
      <c r="B161" s="112">
        <f>'Total Retail'!B37/'Firm Retail'!B36</f>
        <v>1.1232995658465992</v>
      </c>
      <c r="C161" s="113">
        <f>'Total Retail'!C37/'Firm Retail'!C36</f>
        <v>1.1475054229934925</v>
      </c>
      <c r="D161" s="113">
        <f>'Total Retail'!D37/'Firm Retail'!D36</f>
        <v>1.0629420084865628</v>
      </c>
      <c r="E161" s="113">
        <f>'Total Retail'!E37/'Firm Retail'!E36</f>
        <v>1.0991119005328598</v>
      </c>
      <c r="F161" s="113">
        <f>'Total Retail'!F37/'Firm Retail'!F36</f>
        <v>1.0986093552465235</v>
      </c>
      <c r="G161" s="112">
        <f>'Total Retail'!G37/'Firm Retail'!G36</f>
        <v>1.0907948476280238</v>
      </c>
      <c r="H161" s="113">
        <f>'Total Retail'!H37/'Firm Retail'!H36</f>
        <v>1.0811698000596837</v>
      </c>
      <c r="I161" s="113">
        <f>'Total Retail'!I37/'Firm Retail'!I36</f>
        <v>1.0861692163596628</v>
      </c>
      <c r="J161" s="113">
        <f>'Total Retail'!J37/'Firm Retail'!J36</f>
        <v>1.087535680304472</v>
      </c>
      <c r="K161" s="113">
        <f>'Total Retail'!K37/'Firm Retail'!K36</f>
        <v>1.086053412462908</v>
      </c>
      <c r="L161" s="112">
        <f>'Total Retail'!L37/'Firm Retail'!L36</f>
        <v>1.0935631375307773</v>
      </c>
      <c r="M161" s="113">
        <f>'Total Retail'!M37/'Firm Retail'!M36</f>
        <v>1.1213976945244957</v>
      </c>
    </row>
    <row r="162" spans="1:13">
      <c r="A162" s="3">
        <f t="shared" si="9"/>
        <v>2004</v>
      </c>
      <c r="B162" s="112">
        <f>'Total Retail'!B38/'Firm Retail'!B37</f>
        <v>1.1389645776566757</v>
      </c>
      <c r="C162" s="113">
        <f>'Total Retail'!C38/'Firm Retail'!C37</f>
        <v>1.1211898641204554</v>
      </c>
      <c r="D162" s="113">
        <f>'Total Retail'!D38/'Firm Retail'!D37</f>
        <v>1.1207877461706783</v>
      </c>
      <c r="E162" s="113">
        <f>'Total Retail'!E38/'Firm Retail'!E37</f>
        <v>1.1139240506329113</v>
      </c>
      <c r="F162" s="113">
        <f>'Total Retail'!F38/'Firm Retail'!F37</f>
        <v>1.0745170193192273</v>
      </c>
      <c r="G162" s="112">
        <f>'Total Retail'!G38/'Firm Retail'!G37</f>
        <v>1.0847605224963714</v>
      </c>
      <c r="H162" s="113">
        <f>'Total Retail'!H38/'Firm Retail'!H37</f>
        <v>1.0774501042597557</v>
      </c>
      <c r="I162" s="113">
        <f>'Total Retail'!I38/'Firm Retail'!I37</f>
        <v>1.0797762731822196</v>
      </c>
      <c r="J162" s="113">
        <f>'Total Retail'!J38/'Firm Retail'!J37</f>
        <v>1.0688929001203369</v>
      </c>
      <c r="K162" s="113">
        <f>'Total Retail'!K38/'Firm Retail'!K37</f>
        <v>1.0886319845857417</v>
      </c>
      <c r="L162" s="112">
        <f>'Total Retail'!L38/'Firm Retail'!L37</f>
        <v>1.085204991087344</v>
      </c>
      <c r="M162" s="113">
        <f>'Total Retail'!M38/'Firm Retail'!M37</f>
        <v>1.1272290809327847</v>
      </c>
    </row>
    <row r="163" spans="1:13">
      <c r="A163" s="3">
        <f t="shared" si="9"/>
        <v>2005</v>
      </c>
      <c r="B163" s="112">
        <f>'Total Retail'!B39/'Firm Retail'!B38</f>
        <v>1.1213872832369942</v>
      </c>
      <c r="C163" s="113">
        <f>'Total Retail'!C39/'Firm Retail'!C38</f>
        <v>1.1286573146292584</v>
      </c>
      <c r="D163" s="113">
        <f>'Total Retail'!D39/'Firm Retail'!D38</f>
        <v>1.1046728971962616</v>
      </c>
      <c r="E163" s="113">
        <f>'Total Retail'!E39/'Firm Retail'!E38</f>
        <v>1.0792369772560528</v>
      </c>
      <c r="F163" s="113">
        <f>'Total Retail'!F39/'Firm Retail'!F38</f>
        <v>1.0873634945397816</v>
      </c>
      <c r="G163" s="112">
        <f>'Total Retail'!G39/'Firm Retail'!G38</f>
        <v>1.081174438687392</v>
      </c>
      <c r="H163" s="113">
        <f>'Total Retail'!H39/'Firm Retail'!H38</f>
        <v>1.0796703296703296</v>
      </c>
      <c r="I163" s="113">
        <f>'Total Retail'!I39/'Firm Retail'!I38</f>
        <v>1.065234899328859</v>
      </c>
      <c r="J163" s="113">
        <f>'Total Retail'!J39/'Firm Retail'!J38</f>
        <v>1.0751529274686862</v>
      </c>
      <c r="K163" s="113">
        <f>'Total Retail'!K39/'Firm Retail'!K38</f>
        <v>1.0740283775447255</v>
      </c>
      <c r="L163" s="112">
        <f>'Total Retail'!L39/'Firm Retail'!L38</f>
        <v>1.0922367409684859</v>
      </c>
      <c r="M163" s="113">
        <f>'Total Retail'!M39/'Firm Retail'!M38</f>
        <v>1.1140964298859035</v>
      </c>
    </row>
    <row r="164" spans="1:13">
      <c r="A164" s="3">
        <f t="shared" si="9"/>
        <v>2006</v>
      </c>
      <c r="B164" s="112">
        <f>'Total Retail'!B40/'Firm Retail'!B39</f>
        <v>1.1066229985443958</v>
      </c>
      <c r="C164" s="113">
        <f>'Total Retail'!C40/'Firm Retail'!C39</f>
        <v>1.0604598353675845</v>
      </c>
      <c r="D164" s="113">
        <f>'Total Retail'!D40/'Firm Retail'!D39</f>
        <v>1.0950884086444008</v>
      </c>
      <c r="E164" s="113">
        <f>'Total Retail'!E40/'Firm Retail'!E39</f>
        <v>1.0678071539657854</v>
      </c>
      <c r="F164" s="113">
        <f>'Total Retail'!F40/'Firm Retail'!F39</f>
        <v>1.0705222779580998</v>
      </c>
      <c r="G164" s="112">
        <f>'Total Retail'!G40/'Firm Retail'!G39</f>
        <v>1.0669642857142858</v>
      </c>
      <c r="H164" s="113">
        <f>'Total Retail'!H40/'Firm Retail'!H39</f>
        <v>1.0611968589222853</v>
      </c>
      <c r="I164" s="113">
        <f>'Total Retail'!I40/'Firm Retail'!I39</f>
        <v>1.0639426903687981</v>
      </c>
      <c r="J164" s="113">
        <f>'Total Retail'!J40/'Firm Retail'!J39</f>
        <v>1.0709342560553634</v>
      </c>
      <c r="K164" s="113">
        <f>'Total Retail'!K40/'Firm Retail'!K39</f>
        <v>1.068840579710145</v>
      </c>
      <c r="L164" s="112">
        <f>'Total Retail'!L40/'Firm Retail'!L39</f>
        <v>1.0880526123492875</v>
      </c>
      <c r="M164" s="113">
        <f>'Total Retail'!M40/'Firm Retail'!M39</f>
        <v>1.0925774877650898</v>
      </c>
    </row>
    <row r="165" spans="1:13">
      <c r="A165" s="3">
        <f t="shared" si="9"/>
        <v>2007</v>
      </c>
      <c r="B165" s="112">
        <f>'Total Retail'!B41/'Firm Retail'!B40</f>
        <v>1.0947199154380338</v>
      </c>
      <c r="C165" s="113"/>
      <c r="D165" s="113"/>
      <c r="E165" s="113"/>
      <c r="F165" s="113"/>
      <c r="G165" s="112"/>
      <c r="H165" s="113"/>
      <c r="I165" s="113"/>
      <c r="J165" s="113"/>
      <c r="K165" s="113"/>
      <c r="L165" s="112"/>
      <c r="M165" s="113"/>
    </row>
    <row r="166" spans="1:13">
      <c r="A166" s="3">
        <f t="shared" si="9"/>
        <v>2008</v>
      </c>
      <c r="B166" s="112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</row>
    <row r="167" spans="1:13">
      <c r="A167" s="3">
        <f t="shared" si="9"/>
        <v>2009</v>
      </c>
      <c r="B167" s="112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</row>
    <row r="168" spans="1:13">
      <c r="A168" s="3">
        <f t="shared" si="9"/>
        <v>2015</v>
      </c>
      <c r="B168" s="112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</row>
    <row r="169" spans="1:13">
      <c r="A169" s="10"/>
      <c r="B169" s="112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</row>
    <row r="170" spans="1:13" ht="15.75">
      <c r="A170" s="5" t="s">
        <v>166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 t="s">
        <v>165</v>
      </c>
      <c r="B171" s="19">
        <f t="shared" ref="B171:M171" si="10">MEDIAN(B151:B160)</f>
        <v>1.1408545267208408</v>
      </c>
      <c r="C171" s="19">
        <f t="shared" si="10"/>
        <v>1.1512862800681272</v>
      </c>
      <c r="D171" s="19">
        <f t="shared" si="10"/>
        <v>1.1518271004590486</v>
      </c>
      <c r="E171" s="19">
        <f t="shared" si="10"/>
        <v>1.1359326894799988</v>
      </c>
      <c r="F171" s="19">
        <f t="shared" si="10"/>
        <v>1.1188331823859561</v>
      </c>
      <c r="G171" s="19">
        <f t="shared" si="10"/>
        <v>1.1130744046554142</v>
      </c>
      <c r="H171" s="19">
        <f t="shared" si="10"/>
        <v>1.1115860357468696</v>
      </c>
      <c r="I171" s="19">
        <f t="shared" si="10"/>
        <v>1.1070906145181996</v>
      </c>
      <c r="J171" s="19">
        <f t="shared" si="10"/>
        <v>1.119464272572279</v>
      </c>
      <c r="K171" s="19">
        <f t="shared" si="10"/>
        <v>1.1193609700147469</v>
      </c>
      <c r="L171" s="19">
        <f t="shared" si="10"/>
        <v>1.1273238827822698</v>
      </c>
      <c r="M171" s="19">
        <f t="shared" si="10"/>
        <v>1.1408390136327184</v>
      </c>
    </row>
    <row r="172" spans="1:13">
      <c r="A172" s="3" t="s">
        <v>54</v>
      </c>
      <c r="B172" s="19">
        <f t="shared" ref="B172:M172" si="11">AVERAGE(B151:B160)</f>
        <v>1.1441991044082691</v>
      </c>
      <c r="C172" s="19">
        <f t="shared" si="11"/>
        <v>1.1536613426494109</v>
      </c>
      <c r="D172" s="19">
        <f t="shared" si="11"/>
        <v>1.1507172824576888</v>
      </c>
      <c r="E172" s="19">
        <f t="shared" si="11"/>
        <v>1.1364445143804975</v>
      </c>
      <c r="F172" s="19">
        <f t="shared" si="11"/>
        <v>1.1175256274393133</v>
      </c>
      <c r="G172" s="19">
        <f t="shared" si="11"/>
        <v>1.108910118574443</v>
      </c>
      <c r="H172" s="19">
        <f t="shared" si="11"/>
        <v>1.1034375714983957</v>
      </c>
      <c r="I172" s="19">
        <f t="shared" si="11"/>
        <v>1.1098784035028886</v>
      </c>
      <c r="J172" s="19">
        <f t="shared" si="11"/>
        <v>1.1126633857888932</v>
      </c>
      <c r="K172" s="19">
        <f t="shared" si="11"/>
        <v>1.1095541974440395</v>
      </c>
      <c r="L172" s="19">
        <f t="shared" si="11"/>
        <v>1.133874216170891</v>
      </c>
      <c r="M172" s="19">
        <f t="shared" si="11"/>
        <v>1.139216900456578</v>
      </c>
    </row>
    <row r="173" spans="1:13">
      <c r="A173" s="3" t="s">
        <v>52</v>
      </c>
      <c r="B173" s="19">
        <f t="shared" ref="B173:M173" si="12">MAX(B151:B160)</f>
        <v>1.1811185223191381</v>
      </c>
      <c r="C173" s="19">
        <f t="shared" si="12"/>
        <v>1.188780487804878</v>
      </c>
      <c r="D173" s="19">
        <f t="shared" si="12"/>
        <v>1.191139240506329</v>
      </c>
      <c r="E173" s="19">
        <f t="shared" si="12"/>
        <v>1.1762246117084827</v>
      </c>
      <c r="F173" s="19">
        <f t="shared" si="12"/>
        <v>1.1353754940711462</v>
      </c>
      <c r="G173" s="19">
        <f t="shared" si="12"/>
        <v>1.1236230110159118</v>
      </c>
      <c r="H173" s="19">
        <f t="shared" si="12"/>
        <v>1.1322251605591236</v>
      </c>
      <c r="I173" s="19">
        <f t="shared" si="12"/>
        <v>1.14446227929374</v>
      </c>
      <c r="J173" s="19">
        <f t="shared" si="12"/>
        <v>1.1292645943896891</v>
      </c>
      <c r="K173" s="19">
        <f t="shared" si="12"/>
        <v>1.1454234388366125</v>
      </c>
      <c r="L173" s="19">
        <f t="shared" si="12"/>
        <v>1.1971176197117619</v>
      </c>
      <c r="M173" s="19">
        <f t="shared" si="12"/>
        <v>1.1933481152993348</v>
      </c>
    </row>
    <row r="174" spans="1:13">
      <c r="A174" s="3" t="s">
        <v>53</v>
      </c>
      <c r="B174" s="19">
        <f t="shared" ref="B174:M174" si="13">MIN(B151:B160)</f>
        <v>1.1083154341822645</v>
      </c>
      <c r="C174" s="19">
        <f t="shared" si="13"/>
        <v>1.1247827598192561</v>
      </c>
      <c r="D174" s="19">
        <f t="shared" si="13"/>
        <v>1.0986622073578596</v>
      </c>
      <c r="E174" s="19">
        <f t="shared" si="13"/>
        <v>1.1082299887260429</v>
      </c>
      <c r="F174" s="19">
        <f t="shared" si="13"/>
        <v>1.0941754916792739</v>
      </c>
      <c r="G174" s="19">
        <f t="shared" si="13"/>
        <v>1.0755597014925373</v>
      </c>
      <c r="H174" s="19">
        <f t="shared" si="13"/>
        <v>1.055102706227584</v>
      </c>
      <c r="I174" s="19">
        <f t="shared" si="13"/>
        <v>1.0813697769399937</v>
      </c>
      <c r="J174" s="19">
        <f t="shared" si="13"/>
        <v>1.0866437284954644</v>
      </c>
      <c r="K174" s="19">
        <f t="shared" si="13"/>
        <v>1.0301860301860302</v>
      </c>
      <c r="L174" s="19">
        <f t="shared" si="13"/>
        <v>1.1041055718475072</v>
      </c>
      <c r="M174" s="19">
        <f t="shared" si="13"/>
        <v>1.0615835777126099</v>
      </c>
    </row>
  </sheetData>
  <phoneticPr fontId="9" type="noConversion"/>
  <pageMargins left="0.25" right="0.25694444444444442" top="0.25" bottom="0.25" header="0" footer="0"/>
  <pageSetup scale="71" orientation="landscape" horizontalDpi="0" verticalDpi="0" copies="0"/>
  <headerFooter alignWithMargins="0"/>
  <customProperties>
    <customPr name="_pios_id" r:id="rId1"/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115"/>
  <sheetViews>
    <sheetView zoomScale="80" zoomScaleNormal="80" workbookViewId="0">
      <selection activeCell="P3" sqref="P3"/>
    </sheetView>
  </sheetViews>
  <sheetFormatPr defaultColWidth="9.6640625" defaultRowHeight="15"/>
  <cols>
    <col min="1" max="1" width="13.6640625" style="1" customWidth="1"/>
    <col min="2" max="16384" width="9.6640625" style="1"/>
  </cols>
  <sheetData>
    <row r="1" spans="1:42">
      <c r="A1" s="29" t="s">
        <v>170</v>
      </c>
    </row>
    <row r="2" spans="1:42">
      <c r="A2" s="3" t="s">
        <v>171</v>
      </c>
      <c r="B2" s="10" t="s">
        <v>4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15</v>
      </c>
      <c r="J2" s="10" t="s">
        <v>16</v>
      </c>
      <c r="K2" s="10" t="s">
        <v>17</v>
      </c>
      <c r="L2" s="10" t="s">
        <v>18</v>
      </c>
      <c r="M2" s="10" t="s">
        <v>19</v>
      </c>
      <c r="N2" s="3"/>
      <c r="O2" s="3" t="s">
        <v>184</v>
      </c>
      <c r="P2" s="10" t="s">
        <v>4</v>
      </c>
      <c r="Q2" s="10" t="s">
        <v>8</v>
      </c>
      <c r="R2" s="10" t="s">
        <v>9</v>
      </c>
      <c r="S2" s="10" t="s">
        <v>10</v>
      </c>
      <c r="T2" s="10" t="s">
        <v>11</v>
      </c>
      <c r="U2" s="10" t="s">
        <v>12</v>
      </c>
      <c r="V2" s="10" t="s">
        <v>13</v>
      </c>
      <c r="W2" s="10" t="s">
        <v>15</v>
      </c>
      <c r="X2" s="10" t="s">
        <v>16</v>
      </c>
      <c r="Y2" s="10" t="s">
        <v>17</v>
      </c>
      <c r="Z2" s="10" t="s">
        <v>18</v>
      </c>
      <c r="AA2" s="10" t="s">
        <v>19</v>
      </c>
      <c r="AB2" s="3"/>
      <c r="AC2" s="3" t="s">
        <v>185</v>
      </c>
      <c r="AD2" s="10" t="s">
        <v>4</v>
      </c>
      <c r="AE2" s="10" t="s">
        <v>8</v>
      </c>
      <c r="AF2" s="10" t="s">
        <v>9</v>
      </c>
      <c r="AG2" s="10" t="s">
        <v>10</v>
      </c>
      <c r="AH2" s="10" t="s">
        <v>11</v>
      </c>
      <c r="AI2" s="10" t="s">
        <v>12</v>
      </c>
      <c r="AJ2" s="10" t="s">
        <v>13</v>
      </c>
      <c r="AK2" s="10" t="s">
        <v>15</v>
      </c>
      <c r="AL2" s="10" t="s">
        <v>16</v>
      </c>
      <c r="AM2" s="10" t="s">
        <v>17</v>
      </c>
      <c r="AN2" s="10" t="s">
        <v>18</v>
      </c>
      <c r="AO2" s="10" t="s">
        <v>19</v>
      </c>
      <c r="AP2" s="3"/>
    </row>
    <row r="3" spans="1:42">
      <c r="A3" s="3">
        <v>73</v>
      </c>
      <c r="B3" s="115">
        <f t="shared" ref="B3:B30" si="0">P3</f>
        <v>695207</v>
      </c>
      <c r="C3" s="116">
        <f t="shared" ref="C3:C30" si="1">Q3</f>
        <v>687367</v>
      </c>
      <c r="D3" s="116">
        <f t="shared" ref="D3:D30" si="2">R3</f>
        <v>744537</v>
      </c>
      <c r="E3" s="116">
        <f t="shared" ref="E3:E30" si="3">S3</f>
        <v>687372</v>
      </c>
      <c r="F3" s="116">
        <f t="shared" ref="F3:F30" si="4">T3</f>
        <v>814772</v>
      </c>
      <c r="G3" s="116">
        <f t="shared" ref="G3:G30" si="5">U3</f>
        <v>825266</v>
      </c>
      <c r="H3" s="116">
        <f t="shared" ref="H3:H30" si="6">V3</f>
        <v>858627</v>
      </c>
      <c r="I3" s="116">
        <f t="shared" ref="I3:I30" si="7">W3</f>
        <v>854323</v>
      </c>
      <c r="J3" s="116">
        <f t="shared" ref="J3:J30" si="8">X3</f>
        <v>836170</v>
      </c>
      <c r="K3" s="116">
        <f t="shared" ref="K3:K30" si="9">Y3</f>
        <v>773016</v>
      </c>
      <c r="L3" s="116">
        <f t="shared" ref="L3:L30" si="10">Z3</f>
        <v>698787</v>
      </c>
      <c r="M3" s="116">
        <f t="shared" ref="M3:M30" si="11">AA3</f>
        <v>787056</v>
      </c>
      <c r="N3" s="3"/>
      <c r="O3" s="3">
        <v>73</v>
      </c>
      <c r="P3" s="117">
        <v>695207</v>
      </c>
      <c r="Q3" s="118">
        <v>687367</v>
      </c>
      <c r="R3" s="118">
        <v>744537</v>
      </c>
      <c r="S3" s="118">
        <v>687372</v>
      </c>
      <c r="T3" s="118">
        <v>814772</v>
      </c>
      <c r="U3" s="118">
        <v>825266</v>
      </c>
      <c r="V3" s="118">
        <v>858627</v>
      </c>
      <c r="W3" s="118">
        <v>854323</v>
      </c>
      <c r="X3" s="118">
        <v>836170</v>
      </c>
      <c r="Y3" s="118">
        <v>773016</v>
      </c>
      <c r="Z3" s="118">
        <v>698787</v>
      </c>
      <c r="AA3" s="118">
        <v>787056</v>
      </c>
      <c r="AB3" s="119"/>
      <c r="AC3" s="3">
        <v>73</v>
      </c>
      <c r="AD3" s="120">
        <v>610088</v>
      </c>
      <c r="AE3" s="116">
        <v>614139</v>
      </c>
      <c r="AF3" s="116">
        <v>619698</v>
      </c>
      <c r="AG3" s="116">
        <v>573469</v>
      </c>
      <c r="AH3" s="116">
        <v>598517</v>
      </c>
      <c r="AI3" s="116">
        <v>688303</v>
      </c>
      <c r="AJ3" s="116">
        <v>725509</v>
      </c>
      <c r="AK3" s="116">
        <v>726774</v>
      </c>
      <c r="AL3" s="116">
        <v>723255</v>
      </c>
      <c r="AM3" s="116">
        <v>711545</v>
      </c>
      <c r="AN3" s="116">
        <v>622132</v>
      </c>
      <c r="AO3" s="116">
        <v>629627</v>
      </c>
      <c r="AP3" s="119"/>
    </row>
    <row r="4" spans="1:42">
      <c r="A4" s="3">
        <v>74</v>
      </c>
      <c r="B4" s="121">
        <f t="shared" si="0"/>
        <v>706473</v>
      </c>
      <c r="C4" s="122">
        <f t="shared" si="1"/>
        <v>707285</v>
      </c>
      <c r="D4" s="122">
        <f t="shared" si="2"/>
        <v>754663</v>
      </c>
      <c r="E4" s="122">
        <f t="shared" si="3"/>
        <v>656245</v>
      </c>
      <c r="F4" s="122">
        <f t="shared" si="4"/>
        <v>741108</v>
      </c>
      <c r="G4" s="122">
        <f t="shared" si="5"/>
        <v>762254</v>
      </c>
      <c r="H4" s="122">
        <f t="shared" si="6"/>
        <v>778946</v>
      </c>
      <c r="I4" s="122">
        <f t="shared" si="7"/>
        <v>801924</v>
      </c>
      <c r="J4" s="122">
        <f t="shared" si="8"/>
        <v>805049</v>
      </c>
      <c r="K4" s="122">
        <f t="shared" si="9"/>
        <v>673847</v>
      </c>
      <c r="L4" s="122">
        <f t="shared" si="10"/>
        <v>651269</v>
      </c>
      <c r="M4" s="122">
        <f t="shared" si="11"/>
        <v>710837</v>
      </c>
      <c r="N4" s="3"/>
      <c r="O4" s="3">
        <v>74</v>
      </c>
      <c r="P4" s="123">
        <v>706473</v>
      </c>
      <c r="Q4" s="122">
        <v>707285</v>
      </c>
      <c r="R4" s="122">
        <v>754663</v>
      </c>
      <c r="S4" s="122">
        <v>656245</v>
      </c>
      <c r="T4" s="122">
        <v>741108</v>
      </c>
      <c r="U4" s="122">
        <v>762254</v>
      </c>
      <c r="V4" s="122">
        <v>778946</v>
      </c>
      <c r="W4" s="122">
        <v>801924</v>
      </c>
      <c r="X4" s="122">
        <v>805049</v>
      </c>
      <c r="Y4" s="122">
        <v>673847</v>
      </c>
      <c r="Z4" s="122">
        <v>651269</v>
      </c>
      <c r="AA4" s="122">
        <v>710837</v>
      </c>
      <c r="AB4" s="119"/>
      <c r="AC4" s="3">
        <v>74</v>
      </c>
      <c r="AD4" s="123">
        <v>642543</v>
      </c>
      <c r="AE4" s="122">
        <v>591347</v>
      </c>
      <c r="AF4" s="122">
        <v>621476</v>
      </c>
      <c r="AG4" s="122">
        <v>616845</v>
      </c>
      <c r="AH4" s="122">
        <v>625493</v>
      </c>
      <c r="AI4" s="122">
        <v>738528</v>
      </c>
      <c r="AJ4" s="122">
        <v>734814</v>
      </c>
      <c r="AK4" s="122">
        <v>731273</v>
      </c>
      <c r="AL4" s="122">
        <v>756600</v>
      </c>
      <c r="AM4" s="122">
        <v>705027</v>
      </c>
      <c r="AN4" s="122">
        <v>605898</v>
      </c>
      <c r="AO4" s="122">
        <v>661502</v>
      </c>
      <c r="AP4" s="119"/>
    </row>
    <row r="5" spans="1:42">
      <c r="A5" s="3">
        <v>75</v>
      </c>
      <c r="B5" s="121">
        <f t="shared" si="0"/>
        <v>690788</v>
      </c>
      <c r="C5" s="122">
        <f t="shared" si="1"/>
        <v>619404</v>
      </c>
      <c r="D5" s="122">
        <f t="shared" si="2"/>
        <v>702244</v>
      </c>
      <c r="E5" s="122">
        <f t="shared" si="3"/>
        <v>719144</v>
      </c>
      <c r="F5" s="122">
        <f t="shared" si="4"/>
        <v>835447</v>
      </c>
      <c r="G5" s="122">
        <f t="shared" si="5"/>
        <v>817762</v>
      </c>
      <c r="H5" s="122">
        <f t="shared" si="6"/>
        <v>822595</v>
      </c>
      <c r="I5" s="122">
        <f t="shared" si="7"/>
        <v>817413</v>
      </c>
      <c r="J5" s="122">
        <f t="shared" si="8"/>
        <v>764448</v>
      </c>
      <c r="K5" s="122">
        <f t="shared" si="9"/>
        <v>747036</v>
      </c>
      <c r="L5" s="122">
        <f t="shared" si="10"/>
        <v>705439</v>
      </c>
      <c r="M5" s="122">
        <f t="shared" si="11"/>
        <v>773153</v>
      </c>
      <c r="N5" s="3"/>
      <c r="O5" s="3">
        <v>75</v>
      </c>
      <c r="P5" s="123">
        <v>690788</v>
      </c>
      <c r="Q5" s="122">
        <v>619404</v>
      </c>
      <c r="R5" s="122">
        <v>702244</v>
      </c>
      <c r="S5" s="122">
        <v>719144</v>
      </c>
      <c r="T5" s="122">
        <v>835447</v>
      </c>
      <c r="U5" s="122">
        <v>817762</v>
      </c>
      <c r="V5" s="122">
        <v>822595</v>
      </c>
      <c r="W5" s="122">
        <v>817413</v>
      </c>
      <c r="X5" s="122">
        <v>764448</v>
      </c>
      <c r="Y5" s="122">
        <v>747036</v>
      </c>
      <c r="Z5" s="122">
        <v>705439</v>
      </c>
      <c r="AA5" s="122">
        <v>773153</v>
      </c>
      <c r="AB5" s="119"/>
      <c r="AC5" s="3">
        <v>75</v>
      </c>
      <c r="AD5" s="123">
        <v>664030</v>
      </c>
      <c r="AE5" s="122">
        <v>621541</v>
      </c>
      <c r="AF5" s="122">
        <v>646692</v>
      </c>
      <c r="AG5" s="122">
        <v>649294</v>
      </c>
      <c r="AH5" s="122">
        <v>726403</v>
      </c>
      <c r="AI5" s="122">
        <v>779256</v>
      </c>
      <c r="AJ5" s="122">
        <v>796890</v>
      </c>
      <c r="AK5" s="122">
        <v>746152</v>
      </c>
      <c r="AL5" s="122">
        <v>759009</v>
      </c>
      <c r="AM5" s="122">
        <v>716677</v>
      </c>
      <c r="AN5" s="122">
        <v>671087</v>
      </c>
      <c r="AO5" s="122">
        <v>692566</v>
      </c>
      <c r="AP5" s="119"/>
    </row>
    <row r="6" spans="1:42">
      <c r="A6" s="3">
        <v>76</v>
      </c>
      <c r="B6" s="121">
        <f t="shared" si="0"/>
        <v>822709</v>
      </c>
      <c r="C6" s="122">
        <f t="shared" si="1"/>
        <v>716987</v>
      </c>
      <c r="D6" s="122">
        <f t="shared" si="2"/>
        <v>733717</v>
      </c>
      <c r="E6" s="122">
        <f t="shared" si="3"/>
        <v>696299</v>
      </c>
      <c r="F6" s="122">
        <f t="shared" si="4"/>
        <v>755930</v>
      </c>
      <c r="G6" s="122">
        <f t="shared" si="5"/>
        <v>758536</v>
      </c>
      <c r="H6" s="122">
        <f t="shared" si="6"/>
        <v>851713</v>
      </c>
      <c r="I6" s="122">
        <f t="shared" si="7"/>
        <v>863518</v>
      </c>
      <c r="J6" s="122">
        <f t="shared" si="8"/>
        <v>808463</v>
      </c>
      <c r="K6" s="122">
        <f t="shared" si="9"/>
        <v>743318</v>
      </c>
      <c r="L6" s="122">
        <f t="shared" si="10"/>
        <v>733627</v>
      </c>
      <c r="M6" s="122">
        <f t="shared" si="11"/>
        <v>809001</v>
      </c>
      <c r="N6" s="3"/>
      <c r="O6" s="3">
        <v>76</v>
      </c>
      <c r="P6" s="123">
        <v>822709</v>
      </c>
      <c r="Q6" s="122">
        <v>716987</v>
      </c>
      <c r="R6" s="122">
        <v>733717</v>
      </c>
      <c r="S6" s="122">
        <v>696299</v>
      </c>
      <c r="T6" s="122">
        <v>755930</v>
      </c>
      <c r="U6" s="122">
        <v>758536</v>
      </c>
      <c r="V6" s="122">
        <v>851713</v>
      </c>
      <c r="W6" s="122">
        <v>863518</v>
      </c>
      <c r="X6" s="122">
        <v>808463</v>
      </c>
      <c r="Y6" s="122">
        <v>743318</v>
      </c>
      <c r="Z6" s="122">
        <v>733627</v>
      </c>
      <c r="AA6" s="122">
        <v>809001</v>
      </c>
      <c r="AB6" s="119"/>
      <c r="AC6" s="3">
        <v>76</v>
      </c>
      <c r="AD6" s="123">
        <v>784693</v>
      </c>
      <c r="AE6" s="122">
        <v>748759</v>
      </c>
      <c r="AF6" s="122">
        <v>677056</v>
      </c>
      <c r="AG6" s="122">
        <v>645394</v>
      </c>
      <c r="AH6" s="122">
        <v>678406</v>
      </c>
      <c r="AI6" s="122">
        <v>714032</v>
      </c>
      <c r="AJ6" s="122">
        <v>770584</v>
      </c>
      <c r="AK6" s="122">
        <v>791864</v>
      </c>
      <c r="AL6" s="122">
        <v>795100</v>
      </c>
      <c r="AM6" s="122">
        <v>755680</v>
      </c>
      <c r="AN6" s="122">
        <v>672550</v>
      </c>
      <c r="AO6" s="122">
        <v>766544</v>
      </c>
      <c r="AP6" s="119"/>
    </row>
    <row r="7" spans="1:42">
      <c r="A7" s="3">
        <v>77</v>
      </c>
      <c r="B7" s="121">
        <f t="shared" si="0"/>
        <v>918350</v>
      </c>
      <c r="C7" s="122">
        <f t="shared" si="1"/>
        <v>777545</v>
      </c>
      <c r="D7" s="122">
        <f t="shared" si="2"/>
        <v>793152</v>
      </c>
      <c r="E7" s="122">
        <f t="shared" si="3"/>
        <v>764225</v>
      </c>
      <c r="F7" s="122">
        <f t="shared" si="4"/>
        <v>836336</v>
      </c>
      <c r="G7" s="122">
        <f t="shared" si="5"/>
        <v>913901</v>
      </c>
      <c r="H7" s="122">
        <f t="shared" si="6"/>
        <v>908195</v>
      </c>
      <c r="I7" s="122">
        <f t="shared" si="7"/>
        <v>914053</v>
      </c>
      <c r="J7" s="122">
        <f t="shared" si="8"/>
        <v>910831</v>
      </c>
      <c r="K7" s="122">
        <f t="shared" si="9"/>
        <v>809294</v>
      </c>
      <c r="L7" s="122">
        <f t="shared" si="10"/>
        <v>739375</v>
      </c>
      <c r="M7" s="122">
        <f t="shared" si="11"/>
        <v>845433</v>
      </c>
      <c r="N7" s="3"/>
      <c r="O7" s="3">
        <v>77</v>
      </c>
      <c r="P7" s="123">
        <v>918350</v>
      </c>
      <c r="Q7" s="122">
        <v>777545</v>
      </c>
      <c r="R7" s="122">
        <v>793152</v>
      </c>
      <c r="S7" s="122">
        <v>764225</v>
      </c>
      <c r="T7" s="122">
        <v>836336</v>
      </c>
      <c r="U7" s="122">
        <v>913901</v>
      </c>
      <c r="V7" s="122">
        <v>908195</v>
      </c>
      <c r="W7" s="122">
        <v>914053</v>
      </c>
      <c r="X7" s="122">
        <v>910831</v>
      </c>
      <c r="Y7" s="122">
        <v>809294</v>
      </c>
      <c r="Z7" s="122">
        <v>739375</v>
      </c>
      <c r="AA7" s="122">
        <v>845433</v>
      </c>
      <c r="AB7" s="119"/>
      <c r="AC7" s="3">
        <v>77</v>
      </c>
      <c r="AD7" s="123">
        <v>835735</v>
      </c>
      <c r="AE7" s="122">
        <v>841864</v>
      </c>
      <c r="AF7" s="122">
        <v>745064</v>
      </c>
      <c r="AG7" s="122">
        <v>724610</v>
      </c>
      <c r="AH7" s="122">
        <v>738823</v>
      </c>
      <c r="AI7" s="122">
        <v>825317</v>
      </c>
      <c r="AJ7" s="122">
        <v>864981</v>
      </c>
      <c r="AK7" s="122">
        <v>842986</v>
      </c>
      <c r="AL7" s="122">
        <v>874085</v>
      </c>
      <c r="AM7" s="122">
        <v>829841</v>
      </c>
      <c r="AN7" s="122">
        <v>702490</v>
      </c>
      <c r="AO7" s="122">
        <v>776684</v>
      </c>
      <c r="AP7" s="119"/>
    </row>
    <row r="8" spans="1:42">
      <c r="A8" s="3">
        <v>78</v>
      </c>
      <c r="B8" s="121">
        <f t="shared" si="0"/>
        <v>923906</v>
      </c>
      <c r="C8" s="122">
        <f t="shared" si="1"/>
        <v>857092</v>
      </c>
      <c r="D8" s="122">
        <f t="shared" si="2"/>
        <v>807897</v>
      </c>
      <c r="E8" s="122">
        <f t="shared" si="3"/>
        <v>790761</v>
      </c>
      <c r="F8" s="122">
        <f t="shared" si="4"/>
        <v>898953</v>
      </c>
      <c r="G8" s="122">
        <f t="shared" si="5"/>
        <v>943507</v>
      </c>
      <c r="H8" s="122">
        <f t="shared" si="6"/>
        <v>943822</v>
      </c>
      <c r="I8" s="122">
        <f t="shared" si="7"/>
        <v>972988</v>
      </c>
      <c r="J8" s="122">
        <f t="shared" si="8"/>
        <v>934945</v>
      </c>
      <c r="K8" s="122">
        <f t="shared" si="9"/>
        <v>833027</v>
      </c>
      <c r="L8" s="122">
        <f t="shared" si="10"/>
        <v>766965</v>
      </c>
      <c r="M8" s="122">
        <f t="shared" si="11"/>
        <v>825573</v>
      </c>
      <c r="N8" s="3"/>
      <c r="O8" s="3">
        <v>78</v>
      </c>
      <c r="P8" s="123">
        <v>923906</v>
      </c>
      <c r="Q8" s="122">
        <v>857092</v>
      </c>
      <c r="R8" s="122">
        <v>807897</v>
      </c>
      <c r="S8" s="122">
        <v>790761</v>
      </c>
      <c r="T8" s="122">
        <v>898953</v>
      </c>
      <c r="U8" s="122">
        <v>943507</v>
      </c>
      <c r="V8" s="122">
        <v>943822</v>
      </c>
      <c r="W8" s="122">
        <v>972988</v>
      </c>
      <c r="X8" s="122">
        <v>934945</v>
      </c>
      <c r="Y8" s="122">
        <v>833027</v>
      </c>
      <c r="Z8" s="122">
        <v>766965</v>
      </c>
      <c r="AA8" s="122">
        <v>825573</v>
      </c>
      <c r="AB8" s="119"/>
      <c r="AC8" s="3">
        <v>78</v>
      </c>
      <c r="AD8" s="123">
        <v>885780</v>
      </c>
      <c r="AE8" s="122">
        <v>876066</v>
      </c>
      <c r="AF8" s="122">
        <v>801651</v>
      </c>
      <c r="AG8" s="122">
        <v>748949</v>
      </c>
      <c r="AH8" s="122">
        <v>774886</v>
      </c>
      <c r="AI8" s="122">
        <v>890911</v>
      </c>
      <c r="AJ8" s="122">
        <v>907114</v>
      </c>
      <c r="AK8" s="122">
        <v>860727</v>
      </c>
      <c r="AL8" s="122">
        <v>917854</v>
      </c>
      <c r="AM8" s="122">
        <v>831836</v>
      </c>
      <c r="AN8" s="122">
        <v>738994</v>
      </c>
      <c r="AO8" s="122">
        <v>799881</v>
      </c>
      <c r="AP8" s="119"/>
    </row>
    <row r="9" spans="1:42">
      <c r="A9" s="3">
        <v>79</v>
      </c>
      <c r="B9" s="121">
        <f t="shared" si="0"/>
        <v>926856</v>
      </c>
      <c r="C9" s="122">
        <f t="shared" si="1"/>
        <v>824607</v>
      </c>
      <c r="D9" s="122">
        <f t="shared" si="2"/>
        <v>831627</v>
      </c>
      <c r="E9" s="122">
        <f t="shared" si="3"/>
        <v>829287</v>
      </c>
      <c r="F9" s="122">
        <f t="shared" si="4"/>
        <v>891603</v>
      </c>
      <c r="G9" s="122">
        <f t="shared" si="5"/>
        <v>941126</v>
      </c>
      <c r="H9" s="122">
        <f t="shared" si="6"/>
        <v>1004792</v>
      </c>
      <c r="I9" s="122">
        <f t="shared" si="7"/>
        <v>986517</v>
      </c>
      <c r="J9" s="122">
        <f t="shared" si="8"/>
        <v>935693</v>
      </c>
      <c r="K9" s="122">
        <f t="shared" si="9"/>
        <v>880428</v>
      </c>
      <c r="L9" s="122">
        <f t="shared" si="10"/>
        <v>804129</v>
      </c>
      <c r="M9" s="122">
        <f t="shared" si="11"/>
        <v>867726</v>
      </c>
      <c r="N9" s="3"/>
      <c r="O9" s="3">
        <v>79</v>
      </c>
      <c r="P9" s="123">
        <v>926856</v>
      </c>
      <c r="Q9" s="122">
        <v>824607</v>
      </c>
      <c r="R9" s="122">
        <v>831627</v>
      </c>
      <c r="S9" s="122">
        <v>829287</v>
      </c>
      <c r="T9" s="122">
        <v>891603</v>
      </c>
      <c r="U9" s="122">
        <v>941126</v>
      </c>
      <c r="V9" s="122">
        <v>1004792</v>
      </c>
      <c r="W9" s="122">
        <v>986517</v>
      </c>
      <c r="X9" s="122">
        <v>935693</v>
      </c>
      <c r="Y9" s="122">
        <v>880428</v>
      </c>
      <c r="Z9" s="122">
        <v>804129</v>
      </c>
      <c r="AA9" s="122">
        <v>867726</v>
      </c>
      <c r="AB9" s="119"/>
      <c r="AC9" s="3">
        <v>79</v>
      </c>
      <c r="AD9" s="123">
        <v>866775</v>
      </c>
      <c r="AE9" s="122">
        <v>840679</v>
      </c>
      <c r="AF9" s="122">
        <v>800803</v>
      </c>
      <c r="AG9" s="122">
        <v>758117</v>
      </c>
      <c r="AH9" s="122">
        <v>806767</v>
      </c>
      <c r="AI9" s="122">
        <v>851470</v>
      </c>
      <c r="AJ9" s="122">
        <v>931339</v>
      </c>
      <c r="AK9" s="122">
        <v>913020</v>
      </c>
      <c r="AL9" s="122">
        <v>902172</v>
      </c>
      <c r="AM9" s="122">
        <v>862642</v>
      </c>
      <c r="AN9" s="122">
        <v>779504</v>
      </c>
      <c r="AO9" s="122">
        <v>827816</v>
      </c>
      <c r="AP9" s="119"/>
    </row>
    <row r="10" spans="1:42">
      <c r="A10" s="3">
        <v>80</v>
      </c>
      <c r="B10" s="121">
        <f t="shared" si="0"/>
        <v>907227</v>
      </c>
      <c r="C10" s="122">
        <f t="shared" si="1"/>
        <v>912966</v>
      </c>
      <c r="D10" s="122">
        <f t="shared" si="2"/>
        <v>888792</v>
      </c>
      <c r="E10" s="122">
        <f t="shared" si="3"/>
        <v>830061</v>
      </c>
      <c r="F10" s="122">
        <f t="shared" si="4"/>
        <v>919461</v>
      </c>
      <c r="G10" s="122">
        <f t="shared" si="5"/>
        <v>998228</v>
      </c>
      <c r="H10" s="122">
        <f t="shared" si="6"/>
        <v>1064789</v>
      </c>
      <c r="I10" s="122">
        <f t="shared" si="7"/>
        <v>1071065</v>
      </c>
      <c r="J10" s="122">
        <f t="shared" si="8"/>
        <v>991104</v>
      </c>
      <c r="K10" s="122">
        <f t="shared" si="9"/>
        <v>889112</v>
      </c>
      <c r="L10" s="122">
        <f t="shared" si="10"/>
        <v>838328</v>
      </c>
      <c r="M10" s="122">
        <f t="shared" si="11"/>
        <v>953679</v>
      </c>
      <c r="N10" s="3"/>
      <c r="O10" s="3">
        <v>80</v>
      </c>
      <c r="P10" s="123">
        <v>907227</v>
      </c>
      <c r="Q10" s="122">
        <v>912966</v>
      </c>
      <c r="R10" s="122">
        <v>888792</v>
      </c>
      <c r="S10" s="122">
        <v>830061</v>
      </c>
      <c r="T10" s="122">
        <v>919461</v>
      </c>
      <c r="U10" s="122">
        <v>998228</v>
      </c>
      <c r="V10" s="122">
        <v>1064789</v>
      </c>
      <c r="W10" s="122">
        <v>1071065</v>
      </c>
      <c r="X10" s="122">
        <v>991104</v>
      </c>
      <c r="Y10" s="122">
        <v>889112</v>
      </c>
      <c r="Z10" s="122">
        <v>838328</v>
      </c>
      <c r="AA10" s="122">
        <v>953679</v>
      </c>
      <c r="AB10" s="119"/>
      <c r="AC10" s="3">
        <v>80</v>
      </c>
      <c r="AD10" s="123">
        <v>879782</v>
      </c>
      <c r="AE10" s="122">
        <v>859585</v>
      </c>
      <c r="AF10" s="122">
        <v>854902</v>
      </c>
      <c r="AG10" s="122">
        <v>787835</v>
      </c>
      <c r="AH10" s="122">
        <v>794202</v>
      </c>
      <c r="AI10" s="122">
        <v>911084</v>
      </c>
      <c r="AJ10" s="122">
        <v>991029</v>
      </c>
      <c r="AK10" s="122">
        <v>969954</v>
      </c>
      <c r="AL10" s="122">
        <v>955829</v>
      </c>
      <c r="AM10" s="122">
        <v>901614</v>
      </c>
      <c r="AN10" s="122">
        <v>798640</v>
      </c>
      <c r="AO10" s="122">
        <v>876387</v>
      </c>
      <c r="AP10" s="119"/>
    </row>
    <row r="11" spans="1:42">
      <c r="A11" s="3">
        <v>81</v>
      </c>
      <c r="B11" s="121">
        <f t="shared" si="0"/>
        <v>1121226</v>
      </c>
      <c r="C11" s="122">
        <f t="shared" si="1"/>
        <v>845160</v>
      </c>
      <c r="D11" s="122">
        <f t="shared" si="2"/>
        <v>876938</v>
      </c>
      <c r="E11" s="122">
        <f t="shared" si="3"/>
        <v>887683</v>
      </c>
      <c r="F11" s="122">
        <f t="shared" si="4"/>
        <v>965103</v>
      </c>
      <c r="G11" s="122">
        <f t="shared" si="5"/>
        <v>1056717</v>
      </c>
      <c r="H11" s="122">
        <f t="shared" si="6"/>
        <v>1078521</v>
      </c>
      <c r="I11" s="122">
        <f t="shared" si="7"/>
        <v>1027546</v>
      </c>
      <c r="J11" s="122">
        <f t="shared" si="8"/>
        <v>937448</v>
      </c>
      <c r="K11" s="122">
        <f t="shared" si="9"/>
        <v>910137</v>
      </c>
      <c r="L11" s="122">
        <f t="shared" si="10"/>
        <v>782460</v>
      </c>
      <c r="M11" s="122">
        <f t="shared" si="11"/>
        <v>899508</v>
      </c>
      <c r="N11" s="3"/>
      <c r="O11" s="3">
        <v>81</v>
      </c>
      <c r="P11" s="123">
        <v>1121226</v>
      </c>
      <c r="Q11" s="122">
        <v>845160</v>
      </c>
      <c r="R11" s="122">
        <v>876938</v>
      </c>
      <c r="S11" s="122">
        <v>887683</v>
      </c>
      <c r="T11" s="122">
        <v>965103</v>
      </c>
      <c r="U11" s="122">
        <v>1056717</v>
      </c>
      <c r="V11" s="122">
        <v>1078521</v>
      </c>
      <c r="W11" s="122">
        <v>1027546</v>
      </c>
      <c r="X11" s="122">
        <v>937448</v>
      </c>
      <c r="Y11" s="122">
        <v>910137</v>
      </c>
      <c r="Z11" s="122">
        <v>782460</v>
      </c>
      <c r="AA11" s="122">
        <v>899508</v>
      </c>
      <c r="AB11" s="119"/>
      <c r="AC11" s="3">
        <v>81</v>
      </c>
      <c r="AD11" s="123">
        <v>1052337</v>
      </c>
      <c r="AE11" s="122">
        <v>934852</v>
      </c>
      <c r="AF11" s="122">
        <v>814313</v>
      </c>
      <c r="AG11" s="122">
        <v>814375</v>
      </c>
      <c r="AH11" s="122">
        <v>871559</v>
      </c>
      <c r="AI11" s="122">
        <v>968798</v>
      </c>
      <c r="AJ11" s="122">
        <v>1003267</v>
      </c>
      <c r="AK11" s="122">
        <v>931765</v>
      </c>
      <c r="AL11" s="122">
        <v>969097</v>
      </c>
      <c r="AM11" s="122">
        <v>866448</v>
      </c>
      <c r="AN11" s="122">
        <v>759661</v>
      </c>
      <c r="AO11" s="122">
        <v>843363</v>
      </c>
      <c r="AP11" s="119"/>
    </row>
    <row r="12" spans="1:42">
      <c r="A12" s="3">
        <v>82</v>
      </c>
      <c r="B12" s="121">
        <f t="shared" si="0"/>
        <v>930834</v>
      </c>
      <c r="C12" s="122">
        <f t="shared" si="1"/>
        <v>755088</v>
      </c>
      <c r="D12" s="122">
        <f t="shared" si="2"/>
        <v>887435</v>
      </c>
      <c r="E12" s="122">
        <f t="shared" si="3"/>
        <v>835106</v>
      </c>
      <c r="F12" s="122">
        <f t="shared" si="4"/>
        <v>841498</v>
      </c>
      <c r="G12" s="122">
        <f t="shared" si="5"/>
        <v>944177</v>
      </c>
      <c r="H12" s="122">
        <f t="shared" si="6"/>
        <v>966373</v>
      </c>
      <c r="I12" s="122">
        <f t="shared" si="7"/>
        <v>973052</v>
      </c>
      <c r="J12" s="122">
        <f t="shared" si="8"/>
        <v>943703</v>
      </c>
      <c r="K12" s="122">
        <f t="shared" si="9"/>
        <v>873919</v>
      </c>
      <c r="L12" s="122">
        <f t="shared" si="10"/>
        <v>787045</v>
      </c>
      <c r="M12" s="122">
        <f t="shared" si="11"/>
        <v>849659</v>
      </c>
      <c r="N12" s="3"/>
      <c r="O12" s="3">
        <v>82</v>
      </c>
      <c r="P12" s="123">
        <v>930834</v>
      </c>
      <c r="Q12" s="122">
        <v>755088</v>
      </c>
      <c r="R12" s="122">
        <v>887435</v>
      </c>
      <c r="S12" s="122">
        <v>835106</v>
      </c>
      <c r="T12" s="122">
        <v>841498</v>
      </c>
      <c r="U12" s="122">
        <v>944177</v>
      </c>
      <c r="V12" s="122">
        <v>966373</v>
      </c>
      <c r="W12" s="122">
        <v>973052</v>
      </c>
      <c r="X12" s="122">
        <v>943703</v>
      </c>
      <c r="Y12" s="122">
        <v>873919</v>
      </c>
      <c r="Z12" s="122">
        <v>787045</v>
      </c>
      <c r="AA12" s="122">
        <v>849659</v>
      </c>
      <c r="AB12" s="119"/>
      <c r="AC12" s="3">
        <v>82</v>
      </c>
      <c r="AD12" s="123">
        <v>910778</v>
      </c>
      <c r="AE12" s="122">
        <v>800879</v>
      </c>
      <c r="AF12" s="122">
        <v>799708</v>
      </c>
      <c r="AG12" s="122">
        <v>782071</v>
      </c>
      <c r="AH12" s="122">
        <v>766970</v>
      </c>
      <c r="AI12" s="122">
        <v>866731</v>
      </c>
      <c r="AJ12" s="122">
        <v>908327</v>
      </c>
      <c r="AK12" s="122">
        <v>884948</v>
      </c>
      <c r="AL12" s="122">
        <v>915754</v>
      </c>
      <c r="AM12" s="122">
        <v>857327</v>
      </c>
      <c r="AN12" s="122">
        <v>755322</v>
      </c>
      <c r="AO12" s="122">
        <v>789587</v>
      </c>
      <c r="AP12" s="119"/>
    </row>
    <row r="13" spans="1:42">
      <c r="A13" s="3">
        <v>83</v>
      </c>
      <c r="B13" s="121">
        <f t="shared" si="0"/>
        <v>935236</v>
      </c>
      <c r="C13" s="122">
        <f t="shared" si="1"/>
        <v>806971</v>
      </c>
      <c r="D13" s="122">
        <f t="shared" si="2"/>
        <v>854727</v>
      </c>
      <c r="E13" s="122">
        <f t="shared" si="3"/>
        <v>800086</v>
      </c>
      <c r="F13" s="122">
        <f t="shared" si="4"/>
        <v>912954</v>
      </c>
      <c r="G13" s="122">
        <f t="shared" si="5"/>
        <v>965648</v>
      </c>
      <c r="H13" s="122">
        <f t="shared" si="6"/>
        <v>1065907</v>
      </c>
      <c r="I13" s="122">
        <f t="shared" si="7"/>
        <v>1084132</v>
      </c>
      <c r="J13" s="122">
        <f t="shared" si="8"/>
        <v>981086</v>
      </c>
      <c r="K13" s="122">
        <f t="shared" si="9"/>
        <v>955400</v>
      </c>
      <c r="L13" s="122">
        <f t="shared" si="10"/>
        <v>829766</v>
      </c>
      <c r="M13" s="122">
        <f t="shared" si="11"/>
        <v>954030</v>
      </c>
      <c r="N13" s="3"/>
      <c r="O13" s="3">
        <v>83</v>
      </c>
      <c r="P13" s="123">
        <v>935236</v>
      </c>
      <c r="Q13" s="122">
        <v>806971</v>
      </c>
      <c r="R13" s="122">
        <v>854727</v>
      </c>
      <c r="S13" s="122">
        <v>800086</v>
      </c>
      <c r="T13" s="122">
        <v>912954</v>
      </c>
      <c r="U13" s="122">
        <v>965648</v>
      </c>
      <c r="V13" s="122">
        <v>1065907</v>
      </c>
      <c r="W13" s="122">
        <v>1084132</v>
      </c>
      <c r="X13" s="122">
        <v>981086</v>
      </c>
      <c r="Y13" s="122">
        <v>955400</v>
      </c>
      <c r="Z13" s="122">
        <v>829766</v>
      </c>
      <c r="AA13" s="122">
        <v>954030</v>
      </c>
      <c r="AB13" s="119"/>
      <c r="AC13" s="3">
        <v>83</v>
      </c>
      <c r="AD13" s="123">
        <v>876297</v>
      </c>
      <c r="AE13" s="122">
        <v>843214</v>
      </c>
      <c r="AF13" s="122">
        <v>798941</v>
      </c>
      <c r="AG13" s="122">
        <v>784915</v>
      </c>
      <c r="AH13" s="122">
        <v>794614</v>
      </c>
      <c r="AI13" s="122">
        <v>900253</v>
      </c>
      <c r="AJ13" s="122">
        <v>967456</v>
      </c>
      <c r="AK13" s="122">
        <v>990409</v>
      </c>
      <c r="AL13" s="122">
        <v>1004207</v>
      </c>
      <c r="AM13" s="122">
        <v>902584</v>
      </c>
      <c r="AN13" s="122">
        <v>828849</v>
      </c>
      <c r="AO13" s="122">
        <v>835370</v>
      </c>
      <c r="AP13" s="119"/>
    </row>
    <row r="14" spans="1:42">
      <c r="A14" s="3">
        <v>84</v>
      </c>
      <c r="B14" s="121">
        <f t="shared" si="0"/>
        <v>1037937</v>
      </c>
      <c r="C14" s="122">
        <f t="shared" si="1"/>
        <v>882410</v>
      </c>
      <c r="D14" s="122">
        <f t="shared" si="2"/>
        <v>917323</v>
      </c>
      <c r="E14" s="122">
        <f t="shared" si="3"/>
        <v>871050</v>
      </c>
      <c r="F14" s="122">
        <f t="shared" si="4"/>
        <v>1011780</v>
      </c>
      <c r="G14" s="122">
        <f t="shared" si="5"/>
        <v>1046440</v>
      </c>
      <c r="H14" s="122">
        <f t="shared" si="6"/>
        <v>1072255</v>
      </c>
      <c r="I14" s="122">
        <f t="shared" si="7"/>
        <v>1147492</v>
      </c>
      <c r="J14" s="122">
        <f t="shared" si="8"/>
        <v>1055495</v>
      </c>
      <c r="K14" s="122">
        <f t="shared" si="9"/>
        <v>1013028</v>
      </c>
      <c r="L14" s="122">
        <f t="shared" si="10"/>
        <v>910114</v>
      </c>
      <c r="M14" s="122">
        <f t="shared" si="11"/>
        <v>902777</v>
      </c>
      <c r="N14" s="3"/>
      <c r="O14" s="3">
        <v>84</v>
      </c>
      <c r="P14" s="123">
        <v>1037937</v>
      </c>
      <c r="Q14" s="122">
        <v>882410</v>
      </c>
      <c r="R14" s="122">
        <v>917323</v>
      </c>
      <c r="S14" s="122">
        <v>871050</v>
      </c>
      <c r="T14" s="122">
        <v>1011780</v>
      </c>
      <c r="U14" s="122">
        <v>1046440</v>
      </c>
      <c r="V14" s="122">
        <v>1072255</v>
      </c>
      <c r="W14" s="122">
        <v>1147492</v>
      </c>
      <c r="X14" s="122">
        <v>1055495</v>
      </c>
      <c r="Y14" s="122">
        <v>1013028</v>
      </c>
      <c r="Z14" s="122">
        <v>910114</v>
      </c>
      <c r="AA14" s="122">
        <v>902777</v>
      </c>
      <c r="AB14" s="119"/>
      <c r="AC14" s="3">
        <v>84</v>
      </c>
      <c r="AD14" s="123">
        <v>1039776</v>
      </c>
      <c r="AE14" s="122">
        <v>897294</v>
      </c>
      <c r="AF14" s="122">
        <v>863521</v>
      </c>
      <c r="AG14" s="122">
        <v>814605</v>
      </c>
      <c r="AH14" s="122">
        <v>919859</v>
      </c>
      <c r="AI14" s="122">
        <v>966208</v>
      </c>
      <c r="AJ14" s="122">
        <v>1030338</v>
      </c>
      <c r="AK14" s="122">
        <v>1025261</v>
      </c>
      <c r="AL14" s="122">
        <v>1047196</v>
      </c>
      <c r="AM14" s="122">
        <v>941101</v>
      </c>
      <c r="AN14" s="122">
        <v>923954</v>
      </c>
      <c r="AO14" s="122">
        <v>861524</v>
      </c>
      <c r="AP14" s="119"/>
    </row>
    <row r="15" spans="1:42">
      <c r="A15" s="3">
        <v>85</v>
      </c>
      <c r="B15" s="121">
        <f t="shared" si="0"/>
        <v>1113151</v>
      </c>
      <c r="C15" s="122">
        <f t="shared" si="1"/>
        <v>917803</v>
      </c>
      <c r="D15" s="122">
        <f t="shared" si="2"/>
        <v>942867</v>
      </c>
      <c r="E15" s="122">
        <f t="shared" si="3"/>
        <v>921295</v>
      </c>
      <c r="F15" s="122">
        <f t="shared" si="4"/>
        <v>1091921</v>
      </c>
      <c r="G15" s="122">
        <f t="shared" si="5"/>
        <v>1137771</v>
      </c>
      <c r="H15" s="122">
        <f t="shared" si="6"/>
        <v>1110319</v>
      </c>
      <c r="I15" s="122">
        <f t="shared" si="7"/>
        <v>1129280</v>
      </c>
      <c r="J15" s="122">
        <f t="shared" si="8"/>
        <v>1080158</v>
      </c>
      <c r="K15" s="122">
        <f t="shared" si="9"/>
        <v>1101937</v>
      </c>
      <c r="L15" s="122">
        <f t="shared" si="10"/>
        <v>930613</v>
      </c>
      <c r="M15" s="122">
        <f t="shared" si="11"/>
        <v>1020002</v>
      </c>
      <c r="N15" s="3"/>
      <c r="O15" s="3">
        <v>85</v>
      </c>
      <c r="P15" s="123">
        <v>1113151</v>
      </c>
      <c r="Q15" s="122">
        <v>917803</v>
      </c>
      <c r="R15" s="122">
        <v>942867</v>
      </c>
      <c r="S15" s="122">
        <v>921295</v>
      </c>
      <c r="T15" s="122">
        <v>1091921</v>
      </c>
      <c r="U15" s="122">
        <v>1137771</v>
      </c>
      <c r="V15" s="122">
        <v>1110319</v>
      </c>
      <c r="W15" s="122">
        <v>1129280</v>
      </c>
      <c r="X15" s="122">
        <v>1080158</v>
      </c>
      <c r="Y15" s="122">
        <v>1101937</v>
      </c>
      <c r="Z15" s="122">
        <v>930613</v>
      </c>
      <c r="AA15" s="122">
        <v>1020002</v>
      </c>
      <c r="AB15" s="119"/>
      <c r="AC15" s="3">
        <v>85</v>
      </c>
      <c r="AD15" s="123">
        <v>996569</v>
      </c>
      <c r="AE15" s="122">
        <v>991117</v>
      </c>
      <c r="AF15" s="122">
        <v>907969</v>
      </c>
      <c r="AG15" s="122">
        <v>884425</v>
      </c>
      <c r="AH15" s="122">
        <v>945757</v>
      </c>
      <c r="AI15" s="122">
        <v>1073115</v>
      </c>
      <c r="AJ15" s="122">
        <v>1066223</v>
      </c>
      <c r="AK15" s="122">
        <v>1008711</v>
      </c>
      <c r="AL15" s="122">
        <v>1073306</v>
      </c>
      <c r="AM15" s="122">
        <v>1015719</v>
      </c>
      <c r="AN15" s="122">
        <v>935392</v>
      </c>
      <c r="AO15" s="122">
        <v>921898</v>
      </c>
      <c r="AP15" s="119"/>
    </row>
    <row r="16" spans="1:42">
      <c r="A16" s="3">
        <v>86</v>
      </c>
      <c r="B16" s="121">
        <f t="shared" si="0"/>
        <v>981885</v>
      </c>
      <c r="C16" s="122">
        <f t="shared" si="1"/>
        <v>839964</v>
      </c>
      <c r="D16" s="122">
        <f t="shared" si="2"/>
        <v>926005</v>
      </c>
      <c r="E16" s="122">
        <f t="shared" si="3"/>
        <v>859992</v>
      </c>
      <c r="F16" s="122">
        <f t="shared" si="4"/>
        <v>1013346</v>
      </c>
      <c r="G16" s="122">
        <f t="shared" si="5"/>
        <v>1060452</v>
      </c>
      <c r="H16" s="122">
        <f t="shared" si="6"/>
        <v>1114451</v>
      </c>
      <c r="I16" s="122">
        <f t="shared" si="7"/>
        <v>1148429</v>
      </c>
      <c r="J16" s="122">
        <f t="shared" si="8"/>
        <v>1121265</v>
      </c>
      <c r="K16" s="122">
        <f t="shared" si="9"/>
        <v>1024794</v>
      </c>
      <c r="L16" s="122">
        <f t="shared" si="10"/>
        <v>928298</v>
      </c>
      <c r="M16" s="122">
        <f t="shared" si="11"/>
        <v>897469</v>
      </c>
      <c r="N16" s="3"/>
      <c r="O16" s="3">
        <v>86</v>
      </c>
      <c r="P16" s="123">
        <v>981885</v>
      </c>
      <c r="Q16" s="122">
        <v>839964</v>
      </c>
      <c r="R16" s="122">
        <v>926005</v>
      </c>
      <c r="S16" s="122">
        <v>859992</v>
      </c>
      <c r="T16" s="122">
        <v>1013346</v>
      </c>
      <c r="U16" s="122">
        <v>1060452</v>
      </c>
      <c r="V16" s="122">
        <v>1114451</v>
      </c>
      <c r="W16" s="122">
        <v>1148429</v>
      </c>
      <c r="X16" s="122">
        <v>1121265</v>
      </c>
      <c r="Y16" s="122">
        <v>1024794</v>
      </c>
      <c r="Z16" s="122">
        <v>928298</v>
      </c>
      <c r="AA16" s="122">
        <v>897469</v>
      </c>
      <c r="AB16" s="119"/>
      <c r="AC16" s="3">
        <v>86</v>
      </c>
      <c r="AD16" s="123">
        <v>984368</v>
      </c>
      <c r="AE16" s="122">
        <v>894711</v>
      </c>
      <c r="AF16" s="122">
        <v>861381</v>
      </c>
      <c r="AG16" s="122">
        <v>817749</v>
      </c>
      <c r="AH16" s="122">
        <v>847286</v>
      </c>
      <c r="AI16" s="122">
        <v>1017631</v>
      </c>
      <c r="AJ16" s="122">
        <v>1002596</v>
      </c>
      <c r="AK16" s="122">
        <v>1038279</v>
      </c>
      <c r="AL16" s="122">
        <v>1075969</v>
      </c>
      <c r="AM16" s="122">
        <v>1009191</v>
      </c>
      <c r="AN16" s="122">
        <v>860063</v>
      </c>
      <c r="AO16" s="122">
        <v>885499</v>
      </c>
      <c r="AP16" s="119"/>
    </row>
    <row r="17" spans="1:42">
      <c r="A17" s="3">
        <v>87</v>
      </c>
      <c r="B17" s="121">
        <f t="shared" si="0"/>
        <v>1003288</v>
      </c>
      <c r="C17" s="122">
        <f t="shared" si="1"/>
        <v>846519</v>
      </c>
      <c r="D17" s="122">
        <f t="shared" si="2"/>
        <v>902311</v>
      </c>
      <c r="E17" s="122">
        <f t="shared" si="3"/>
        <v>910310</v>
      </c>
      <c r="F17" s="122">
        <f t="shared" si="4"/>
        <v>1054879</v>
      </c>
      <c r="G17" s="122">
        <f t="shared" si="5"/>
        <v>1178540</v>
      </c>
      <c r="H17" s="122">
        <f t="shared" si="6"/>
        <v>1222548</v>
      </c>
      <c r="I17" s="122">
        <f t="shared" si="7"/>
        <v>1262939</v>
      </c>
      <c r="J17" s="122">
        <f t="shared" si="8"/>
        <v>1151320</v>
      </c>
      <c r="K17" s="122">
        <f t="shared" si="9"/>
        <v>938278</v>
      </c>
      <c r="L17" s="122">
        <f t="shared" si="10"/>
        <v>902828</v>
      </c>
      <c r="M17" s="122">
        <f t="shared" si="11"/>
        <v>973913</v>
      </c>
      <c r="N17" s="3"/>
      <c r="O17" s="3">
        <v>87</v>
      </c>
      <c r="P17" s="123">
        <v>1003288</v>
      </c>
      <c r="Q17" s="122">
        <v>846519</v>
      </c>
      <c r="R17" s="122">
        <v>902311</v>
      </c>
      <c r="S17" s="122">
        <v>910310</v>
      </c>
      <c r="T17" s="122">
        <v>1054879</v>
      </c>
      <c r="U17" s="122">
        <v>1178540</v>
      </c>
      <c r="V17" s="122">
        <v>1222548</v>
      </c>
      <c r="W17" s="122">
        <v>1262939</v>
      </c>
      <c r="X17" s="122">
        <v>1151320</v>
      </c>
      <c r="Y17" s="122">
        <v>938278</v>
      </c>
      <c r="Z17" s="122">
        <v>902828</v>
      </c>
      <c r="AA17" s="122">
        <v>973913</v>
      </c>
      <c r="AB17" s="119"/>
      <c r="AC17" s="3">
        <v>87</v>
      </c>
      <c r="AD17" s="123">
        <v>930783</v>
      </c>
      <c r="AE17" s="122">
        <v>909992</v>
      </c>
      <c r="AF17" s="122">
        <v>839519</v>
      </c>
      <c r="AG17" s="122">
        <v>849733</v>
      </c>
      <c r="AH17" s="122">
        <v>929580</v>
      </c>
      <c r="AI17" s="122">
        <v>1067150</v>
      </c>
      <c r="AJ17" s="122">
        <v>1143473</v>
      </c>
      <c r="AK17" s="122">
        <v>1123558</v>
      </c>
      <c r="AL17" s="122">
        <v>1156975</v>
      </c>
      <c r="AM17" s="122">
        <v>977565</v>
      </c>
      <c r="AN17" s="122">
        <v>851544</v>
      </c>
      <c r="AO17" s="122">
        <v>914205</v>
      </c>
      <c r="AP17" s="119"/>
    </row>
    <row r="18" spans="1:42">
      <c r="A18" s="3">
        <v>88</v>
      </c>
      <c r="B18" s="121">
        <f t="shared" si="0"/>
        <v>1094172</v>
      </c>
      <c r="C18" s="122">
        <f t="shared" si="1"/>
        <v>1012200</v>
      </c>
      <c r="D18" s="122">
        <f t="shared" si="2"/>
        <v>1002583</v>
      </c>
      <c r="E18" s="122">
        <f t="shared" si="3"/>
        <v>963911</v>
      </c>
      <c r="F18" s="122">
        <f t="shared" si="4"/>
        <v>1090250</v>
      </c>
      <c r="G18" s="122">
        <f t="shared" si="5"/>
        <v>1188606</v>
      </c>
      <c r="H18" s="122">
        <f t="shared" si="6"/>
        <v>1252255</v>
      </c>
      <c r="I18" s="122">
        <f t="shared" si="7"/>
        <v>1279353</v>
      </c>
      <c r="J18" s="122">
        <f t="shared" si="8"/>
        <v>1230173</v>
      </c>
      <c r="K18" s="122">
        <f t="shared" si="9"/>
        <v>1036093</v>
      </c>
      <c r="L18" s="122">
        <f t="shared" si="10"/>
        <v>962391</v>
      </c>
      <c r="M18" s="122">
        <f t="shared" si="11"/>
        <v>1039006</v>
      </c>
      <c r="N18" s="3"/>
      <c r="O18" s="3">
        <v>88</v>
      </c>
      <c r="P18" s="123">
        <v>1094172</v>
      </c>
      <c r="Q18" s="122">
        <v>1012200</v>
      </c>
      <c r="R18" s="122">
        <v>1002583</v>
      </c>
      <c r="S18" s="122">
        <v>963911</v>
      </c>
      <c r="T18" s="122">
        <v>1090250</v>
      </c>
      <c r="U18" s="122">
        <v>1188606</v>
      </c>
      <c r="V18" s="122">
        <v>1252255</v>
      </c>
      <c r="W18" s="122">
        <v>1279353</v>
      </c>
      <c r="X18" s="122">
        <v>1230173</v>
      </c>
      <c r="Y18" s="122">
        <v>1036093</v>
      </c>
      <c r="Z18" s="122">
        <v>962391</v>
      </c>
      <c r="AA18" s="122">
        <v>1039006</v>
      </c>
      <c r="AB18" s="119"/>
      <c r="AC18" s="3">
        <v>88</v>
      </c>
      <c r="AD18" s="123">
        <v>1006713</v>
      </c>
      <c r="AE18" s="122">
        <v>1011948</v>
      </c>
      <c r="AF18" s="122">
        <v>959498</v>
      </c>
      <c r="AG18" s="122">
        <v>940293</v>
      </c>
      <c r="AH18" s="122">
        <v>952025</v>
      </c>
      <c r="AI18" s="122">
        <v>1090174</v>
      </c>
      <c r="AJ18" s="122">
        <v>1174015</v>
      </c>
      <c r="AK18" s="122">
        <v>1151309</v>
      </c>
      <c r="AL18" s="122">
        <v>1186723</v>
      </c>
      <c r="AM18" s="122">
        <v>1073888</v>
      </c>
      <c r="AN18" s="122">
        <v>902235</v>
      </c>
      <c r="AO18" s="122">
        <v>977244</v>
      </c>
      <c r="AP18" s="119"/>
    </row>
    <row r="19" spans="1:42">
      <c r="A19" s="3">
        <v>89</v>
      </c>
      <c r="B19" s="121">
        <f t="shared" si="0"/>
        <v>1005337</v>
      </c>
      <c r="C19" s="122">
        <f t="shared" si="1"/>
        <v>986461</v>
      </c>
      <c r="D19" s="122">
        <f t="shared" si="2"/>
        <v>1061929</v>
      </c>
      <c r="E19" s="122">
        <f t="shared" si="3"/>
        <v>1015235</v>
      </c>
      <c r="F19" s="122">
        <f t="shared" si="4"/>
        <v>1197484</v>
      </c>
      <c r="G19" s="122">
        <f t="shared" si="5"/>
        <v>1276588</v>
      </c>
      <c r="H19" s="122">
        <f t="shared" si="6"/>
        <v>1309647</v>
      </c>
      <c r="I19" s="122">
        <f t="shared" si="7"/>
        <v>1333077</v>
      </c>
      <c r="J19" s="122">
        <f t="shared" si="8"/>
        <v>1237654</v>
      </c>
      <c r="K19" s="122">
        <f t="shared" si="9"/>
        <v>1135372</v>
      </c>
      <c r="L19" s="122">
        <f t="shared" si="10"/>
        <v>968314</v>
      </c>
      <c r="M19" s="122">
        <f t="shared" si="11"/>
        <v>1177552</v>
      </c>
      <c r="N19" s="3"/>
      <c r="O19" s="3">
        <v>89</v>
      </c>
      <c r="P19" s="123">
        <v>1005337</v>
      </c>
      <c r="Q19" s="122">
        <v>986461</v>
      </c>
      <c r="R19" s="122">
        <v>1061929</v>
      </c>
      <c r="S19" s="122">
        <v>1015235</v>
      </c>
      <c r="T19" s="122">
        <v>1197484</v>
      </c>
      <c r="U19" s="122">
        <v>1276588</v>
      </c>
      <c r="V19" s="122">
        <v>1309647</v>
      </c>
      <c r="W19" s="122">
        <v>1333077</v>
      </c>
      <c r="X19" s="122">
        <v>1237654</v>
      </c>
      <c r="Y19" s="122">
        <v>1135372</v>
      </c>
      <c r="Z19" s="122">
        <v>968314</v>
      </c>
      <c r="AA19" s="122">
        <v>1177552</v>
      </c>
      <c r="AB19" s="119"/>
      <c r="AC19" s="3">
        <v>89</v>
      </c>
      <c r="AD19" s="123">
        <v>1025367</v>
      </c>
      <c r="AE19" s="122">
        <v>925569</v>
      </c>
      <c r="AF19" s="122">
        <v>1002512</v>
      </c>
      <c r="AG19" s="122">
        <v>963432</v>
      </c>
      <c r="AH19" s="122">
        <v>1019181</v>
      </c>
      <c r="AI19" s="122">
        <v>1217068</v>
      </c>
      <c r="AJ19" s="122">
        <v>1214214</v>
      </c>
      <c r="AK19" s="122">
        <v>1192489</v>
      </c>
      <c r="AL19" s="122">
        <v>1228671</v>
      </c>
      <c r="AM19" s="122">
        <v>1133112</v>
      </c>
      <c r="AN19" s="122">
        <v>947783</v>
      </c>
      <c r="AO19" s="122">
        <v>1026908</v>
      </c>
      <c r="AP19" s="119"/>
    </row>
    <row r="20" spans="1:42">
      <c r="A20" s="3">
        <v>90</v>
      </c>
      <c r="B20" s="121">
        <f t="shared" si="0"/>
        <v>1032351</v>
      </c>
      <c r="C20" s="122">
        <f t="shared" si="1"/>
        <v>936703</v>
      </c>
      <c r="D20" s="122">
        <f t="shared" si="2"/>
        <v>1022314</v>
      </c>
      <c r="E20" s="122">
        <f t="shared" si="3"/>
        <v>1026834</v>
      </c>
      <c r="F20" s="122">
        <f t="shared" si="4"/>
        <v>1282391</v>
      </c>
      <c r="G20" s="122">
        <f t="shared" si="5"/>
        <v>1319638</v>
      </c>
      <c r="H20" s="122">
        <f t="shared" si="6"/>
        <v>1334089</v>
      </c>
      <c r="I20" s="122">
        <f t="shared" si="7"/>
        <v>1387057</v>
      </c>
      <c r="J20" s="122">
        <f t="shared" si="8"/>
        <v>1324358</v>
      </c>
      <c r="K20" s="122">
        <f t="shared" si="9"/>
        <v>1248851</v>
      </c>
      <c r="L20" s="122">
        <f t="shared" si="10"/>
        <v>1035251</v>
      </c>
      <c r="M20" s="122">
        <f t="shared" si="11"/>
        <v>1054682</v>
      </c>
      <c r="N20" s="3"/>
      <c r="O20" s="3">
        <v>90</v>
      </c>
      <c r="P20" s="123">
        <v>1032351</v>
      </c>
      <c r="Q20" s="122">
        <v>936703</v>
      </c>
      <c r="R20" s="122">
        <v>1022314</v>
      </c>
      <c r="S20" s="122">
        <v>1026834</v>
      </c>
      <c r="T20" s="122">
        <v>1282391</v>
      </c>
      <c r="U20" s="122">
        <v>1319638</v>
      </c>
      <c r="V20" s="122">
        <v>1334089</v>
      </c>
      <c r="W20" s="122">
        <v>1387057</v>
      </c>
      <c r="X20" s="122">
        <v>1324358</v>
      </c>
      <c r="Y20" s="122">
        <v>1248851</v>
      </c>
      <c r="Z20" s="122">
        <v>1035251</v>
      </c>
      <c r="AA20" s="122">
        <v>1054682</v>
      </c>
      <c r="AB20" s="119"/>
      <c r="AC20" s="3">
        <v>90</v>
      </c>
      <c r="AD20" s="123">
        <v>1126801</v>
      </c>
      <c r="AE20" s="122">
        <v>928133</v>
      </c>
      <c r="AF20" s="122">
        <v>948181</v>
      </c>
      <c r="AG20" s="122">
        <v>998644</v>
      </c>
      <c r="AH20" s="122">
        <v>1103361</v>
      </c>
      <c r="AI20" s="122">
        <v>1244385</v>
      </c>
      <c r="AJ20" s="122">
        <v>1263831</v>
      </c>
      <c r="AK20" s="122">
        <v>1246165</v>
      </c>
      <c r="AL20" s="122">
        <v>1307552</v>
      </c>
      <c r="AM20" s="122">
        <v>1213160</v>
      </c>
      <c r="AN20" s="122">
        <v>1069392</v>
      </c>
      <c r="AO20" s="122">
        <v>986192</v>
      </c>
      <c r="AP20" s="119"/>
    </row>
    <row r="21" spans="1:42">
      <c r="A21" s="3">
        <v>91</v>
      </c>
      <c r="B21" s="121">
        <f t="shared" si="0"/>
        <v>1060444</v>
      </c>
      <c r="C21" s="122">
        <f t="shared" si="1"/>
        <v>961180</v>
      </c>
      <c r="D21" s="122">
        <f t="shared" si="2"/>
        <v>1056479</v>
      </c>
      <c r="E21" s="122">
        <f t="shared" si="3"/>
        <v>1129488</v>
      </c>
      <c r="F21" s="122">
        <f t="shared" si="4"/>
        <v>1302205</v>
      </c>
      <c r="G21" s="122">
        <f t="shared" si="5"/>
        <v>1279249</v>
      </c>
      <c r="H21" s="122">
        <f t="shared" si="6"/>
        <v>1337069</v>
      </c>
      <c r="I21" s="122">
        <f t="shared" si="7"/>
        <v>1399337</v>
      </c>
      <c r="J21" s="122">
        <f t="shared" si="8"/>
        <v>1326268</v>
      </c>
      <c r="K21" s="122">
        <f t="shared" si="9"/>
        <v>1164063</v>
      </c>
      <c r="L21" s="122">
        <f t="shared" si="10"/>
        <v>1048032</v>
      </c>
      <c r="M21" s="122">
        <f t="shared" si="11"/>
        <v>1084075</v>
      </c>
      <c r="N21" s="3"/>
      <c r="O21" s="3">
        <v>91</v>
      </c>
      <c r="P21" s="123">
        <v>1060444</v>
      </c>
      <c r="Q21" s="122">
        <v>961180</v>
      </c>
      <c r="R21" s="122">
        <v>1056479</v>
      </c>
      <c r="S21" s="122">
        <v>1129488</v>
      </c>
      <c r="T21" s="122">
        <v>1302205</v>
      </c>
      <c r="U21" s="122">
        <v>1279249</v>
      </c>
      <c r="V21" s="122">
        <v>1337069</v>
      </c>
      <c r="W21" s="122">
        <v>1399337</v>
      </c>
      <c r="X21" s="122">
        <v>1326268</v>
      </c>
      <c r="Y21" s="122">
        <v>1164063</v>
      </c>
      <c r="Z21" s="122">
        <v>1048032</v>
      </c>
      <c r="AA21" s="122">
        <v>1084075</v>
      </c>
      <c r="AB21" s="119"/>
      <c r="AC21" s="3">
        <v>91</v>
      </c>
      <c r="AD21" s="123">
        <v>1045741</v>
      </c>
      <c r="AE21" s="122">
        <v>950486</v>
      </c>
      <c r="AF21" s="122">
        <v>971123</v>
      </c>
      <c r="AG21" s="122">
        <v>1035933</v>
      </c>
      <c r="AH21" s="122">
        <v>1188496</v>
      </c>
      <c r="AI21" s="122">
        <v>1205048</v>
      </c>
      <c r="AJ21" s="122">
        <v>1263463</v>
      </c>
      <c r="AK21" s="122">
        <v>1260234</v>
      </c>
      <c r="AL21" s="122">
        <v>1302636</v>
      </c>
      <c r="AM21" s="122">
        <v>1153415</v>
      </c>
      <c r="AN21" s="122">
        <v>1011672</v>
      </c>
      <c r="AO21" s="122">
        <v>1066468</v>
      </c>
      <c r="AP21" s="119"/>
    </row>
    <row r="22" spans="1:42">
      <c r="A22" s="3">
        <v>92</v>
      </c>
      <c r="B22" s="121">
        <f t="shared" si="0"/>
        <v>1158521</v>
      </c>
      <c r="C22" s="122">
        <f t="shared" si="1"/>
        <v>1012604</v>
      </c>
      <c r="D22" s="122">
        <f t="shared" si="2"/>
        <v>1063068</v>
      </c>
      <c r="E22" s="122">
        <f t="shared" si="3"/>
        <v>1056337</v>
      </c>
      <c r="F22" s="122">
        <f t="shared" si="4"/>
        <v>1193315</v>
      </c>
      <c r="G22" s="122">
        <f t="shared" si="5"/>
        <v>1308083</v>
      </c>
      <c r="H22" s="122">
        <f t="shared" si="6"/>
        <v>1485926</v>
      </c>
      <c r="I22" s="122">
        <f t="shared" si="7"/>
        <v>1388950</v>
      </c>
      <c r="J22" s="122">
        <f t="shared" si="8"/>
        <v>1336309</v>
      </c>
      <c r="K22" s="122">
        <f t="shared" si="9"/>
        <v>1101713</v>
      </c>
      <c r="L22" s="122">
        <f t="shared" si="10"/>
        <v>1060019</v>
      </c>
      <c r="M22" s="122">
        <f t="shared" si="11"/>
        <v>1053180</v>
      </c>
      <c r="N22" s="3"/>
      <c r="O22" s="3">
        <v>92</v>
      </c>
      <c r="P22" s="123">
        <v>1158521</v>
      </c>
      <c r="Q22" s="122">
        <v>1012604</v>
      </c>
      <c r="R22" s="122">
        <v>1063068</v>
      </c>
      <c r="S22" s="122">
        <v>1056337</v>
      </c>
      <c r="T22" s="122">
        <v>1193315</v>
      </c>
      <c r="U22" s="122">
        <v>1308083</v>
      </c>
      <c r="V22" s="122">
        <v>1485926</v>
      </c>
      <c r="W22" s="122">
        <v>1388950</v>
      </c>
      <c r="X22" s="122">
        <v>1336309</v>
      </c>
      <c r="Y22" s="122">
        <v>1101713</v>
      </c>
      <c r="Z22" s="122">
        <v>1060019</v>
      </c>
      <c r="AA22" s="122">
        <v>1053180</v>
      </c>
      <c r="AB22" s="119"/>
      <c r="AC22" s="3">
        <v>92</v>
      </c>
      <c r="AD22" s="123">
        <v>1095756</v>
      </c>
      <c r="AE22" s="122">
        <v>1031404</v>
      </c>
      <c r="AF22" s="122">
        <v>978325</v>
      </c>
      <c r="AG22" s="122">
        <v>983471</v>
      </c>
      <c r="AH22" s="122">
        <v>1081525</v>
      </c>
      <c r="AI22" s="122">
        <v>1203396</v>
      </c>
      <c r="AJ22" s="122">
        <v>1361727</v>
      </c>
      <c r="AK22" s="122">
        <v>1337839</v>
      </c>
      <c r="AL22" s="122">
        <v>1305235</v>
      </c>
      <c r="AM22" s="122">
        <v>1137720</v>
      </c>
      <c r="AN22" s="122">
        <v>995860</v>
      </c>
      <c r="AO22" s="122">
        <v>1039503</v>
      </c>
      <c r="AP22" s="119"/>
    </row>
    <row r="23" spans="1:42">
      <c r="A23" s="3">
        <v>93</v>
      </c>
      <c r="B23" s="121">
        <f t="shared" si="0"/>
        <v>1059207</v>
      </c>
      <c r="C23" s="122">
        <f t="shared" si="1"/>
        <v>993921</v>
      </c>
      <c r="D23" s="122">
        <f t="shared" si="2"/>
        <v>1101652</v>
      </c>
      <c r="E23" s="122">
        <f t="shared" si="3"/>
        <v>1005233</v>
      </c>
      <c r="F23" s="122">
        <f t="shared" si="4"/>
        <v>1178200</v>
      </c>
      <c r="G23" s="122">
        <f t="shared" si="5"/>
        <v>1315999</v>
      </c>
      <c r="H23" s="122">
        <f t="shared" si="6"/>
        <v>1444645</v>
      </c>
      <c r="I23" s="122">
        <f t="shared" si="7"/>
        <v>1465076</v>
      </c>
      <c r="J23" s="122">
        <f t="shared" si="8"/>
        <v>1339082</v>
      </c>
      <c r="K23" s="122">
        <f t="shared" si="9"/>
        <v>1182811</v>
      </c>
      <c r="L23" s="122">
        <f t="shared" si="10"/>
        <v>1041872</v>
      </c>
      <c r="M23" s="122">
        <f t="shared" si="11"/>
        <v>1119205</v>
      </c>
      <c r="N23" s="3"/>
      <c r="O23" s="3">
        <v>93</v>
      </c>
      <c r="P23" s="123">
        <v>1059207</v>
      </c>
      <c r="Q23" s="122">
        <v>993921</v>
      </c>
      <c r="R23" s="122">
        <v>1101652</v>
      </c>
      <c r="S23" s="122">
        <v>1005233</v>
      </c>
      <c r="T23" s="122">
        <v>1178200</v>
      </c>
      <c r="U23" s="122">
        <v>1315999</v>
      </c>
      <c r="V23" s="122">
        <v>1444645</v>
      </c>
      <c r="W23" s="122">
        <v>1465076</v>
      </c>
      <c r="X23" s="122">
        <v>1339082</v>
      </c>
      <c r="Y23" s="122">
        <v>1182811</v>
      </c>
      <c r="Z23" s="122">
        <v>1041872</v>
      </c>
      <c r="AA23" s="122">
        <v>1119205</v>
      </c>
      <c r="AB23" s="119"/>
      <c r="AC23" s="3">
        <v>93</v>
      </c>
      <c r="AD23" s="123">
        <v>1042012</v>
      </c>
      <c r="AE23" s="122">
        <v>981229</v>
      </c>
      <c r="AF23" s="122">
        <v>1013854</v>
      </c>
      <c r="AG23" s="122">
        <v>981418</v>
      </c>
      <c r="AH23" s="122">
        <v>1014491</v>
      </c>
      <c r="AI23" s="122">
        <v>1191008</v>
      </c>
      <c r="AJ23" s="122">
        <v>1315783</v>
      </c>
      <c r="AK23" s="122">
        <v>1359499</v>
      </c>
      <c r="AL23" s="122">
        <v>1318095</v>
      </c>
      <c r="AM23" s="122">
        <v>1177499</v>
      </c>
      <c r="AN23" s="122">
        <v>1043153</v>
      </c>
      <c r="AO23" s="122">
        <v>1008445</v>
      </c>
      <c r="AP23" s="119"/>
    </row>
    <row r="24" spans="1:42">
      <c r="A24" s="3">
        <v>94</v>
      </c>
      <c r="B24" s="121">
        <f t="shared" si="0"/>
        <v>1133032</v>
      </c>
      <c r="C24" s="122">
        <f t="shared" si="1"/>
        <v>992564</v>
      </c>
      <c r="D24" s="122">
        <f t="shared" si="2"/>
        <v>1124967</v>
      </c>
      <c r="E24" s="122">
        <f t="shared" si="3"/>
        <v>1172761</v>
      </c>
      <c r="F24" s="122">
        <f t="shared" si="4"/>
        <v>1314340</v>
      </c>
      <c r="G24" s="122">
        <f t="shared" si="5"/>
        <v>1372991</v>
      </c>
      <c r="H24" s="122">
        <f t="shared" si="6"/>
        <v>1358142</v>
      </c>
      <c r="I24" s="122">
        <f t="shared" si="7"/>
        <v>1378777</v>
      </c>
      <c r="J24" s="122">
        <f t="shared" si="8"/>
        <v>1295540</v>
      </c>
      <c r="K24" s="122">
        <f t="shared" si="9"/>
        <v>1214821</v>
      </c>
      <c r="L24" s="122">
        <f t="shared" si="10"/>
        <v>1101234</v>
      </c>
      <c r="M24" s="122">
        <f t="shared" si="11"/>
        <v>1099834</v>
      </c>
      <c r="N24" s="3"/>
      <c r="O24" s="3">
        <v>94</v>
      </c>
      <c r="P24" s="123">
        <v>1133032</v>
      </c>
      <c r="Q24" s="122">
        <v>992564</v>
      </c>
      <c r="R24" s="122">
        <v>1124967</v>
      </c>
      <c r="S24" s="122">
        <v>1172761</v>
      </c>
      <c r="T24" s="122">
        <v>1314340</v>
      </c>
      <c r="U24" s="122">
        <v>1372991</v>
      </c>
      <c r="V24" s="122">
        <v>1358142</v>
      </c>
      <c r="W24" s="122">
        <v>1378777</v>
      </c>
      <c r="X24" s="122">
        <v>1295540</v>
      </c>
      <c r="Y24" s="122">
        <v>1214821</v>
      </c>
      <c r="Z24" s="122">
        <v>1101234</v>
      </c>
      <c r="AA24" s="122">
        <v>1099834</v>
      </c>
      <c r="AB24" s="119"/>
      <c r="AC24" s="3">
        <v>94</v>
      </c>
      <c r="AD24" s="123">
        <v>1163527</v>
      </c>
      <c r="AE24" s="122">
        <v>1011092</v>
      </c>
      <c r="AF24" s="122">
        <v>997119</v>
      </c>
      <c r="AG24" s="122">
        <v>1080191</v>
      </c>
      <c r="AH24" s="122">
        <v>1179220</v>
      </c>
      <c r="AI24" s="122">
        <v>1266694</v>
      </c>
      <c r="AJ24" s="122">
        <v>1316027</v>
      </c>
      <c r="AK24" s="122">
        <v>1279226</v>
      </c>
      <c r="AL24" s="122">
        <v>1330041</v>
      </c>
      <c r="AM24" s="122">
        <v>1165492</v>
      </c>
      <c r="AN24" s="122">
        <v>1077289</v>
      </c>
      <c r="AO24" s="122">
        <v>1065740</v>
      </c>
      <c r="AP24" s="119"/>
    </row>
    <row r="25" spans="1:42">
      <c r="A25" s="3">
        <v>95</v>
      </c>
      <c r="B25" s="121">
        <f t="shared" si="0"/>
        <v>1179250</v>
      </c>
      <c r="C25" s="122">
        <f t="shared" si="1"/>
        <v>1085599</v>
      </c>
      <c r="D25" s="122">
        <f t="shared" si="2"/>
        <v>1104158</v>
      </c>
      <c r="E25" s="122">
        <f t="shared" si="3"/>
        <v>1133853</v>
      </c>
      <c r="F25" s="122">
        <f t="shared" si="4"/>
        <v>1476616</v>
      </c>
      <c r="G25" s="122">
        <f t="shared" si="5"/>
        <v>1375523</v>
      </c>
      <c r="H25" s="122">
        <f t="shared" si="6"/>
        <v>1488507</v>
      </c>
      <c r="I25" s="122">
        <f t="shared" si="7"/>
        <v>1519457</v>
      </c>
      <c r="J25" s="122">
        <f t="shared" si="8"/>
        <v>1429956</v>
      </c>
      <c r="K25" s="122">
        <f t="shared" si="9"/>
        <v>1332159</v>
      </c>
      <c r="L25" s="122">
        <f t="shared" si="10"/>
        <v>1108058</v>
      </c>
      <c r="M25" s="122">
        <f t="shared" si="11"/>
        <v>1229970</v>
      </c>
      <c r="N25" s="3"/>
      <c r="O25" s="3">
        <v>95</v>
      </c>
      <c r="P25" s="123">
        <v>1179250</v>
      </c>
      <c r="Q25" s="122">
        <v>1085599</v>
      </c>
      <c r="R25" s="122">
        <v>1104158</v>
      </c>
      <c r="S25" s="122">
        <v>1133853</v>
      </c>
      <c r="T25" s="122">
        <v>1476616</v>
      </c>
      <c r="U25" s="122">
        <v>1375523</v>
      </c>
      <c r="V25" s="122">
        <v>1488507</v>
      </c>
      <c r="W25" s="122">
        <v>1519457</v>
      </c>
      <c r="X25" s="122">
        <v>1429956</v>
      </c>
      <c r="Y25" s="122">
        <v>1332159</v>
      </c>
      <c r="Z25" s="122">
        <v>1108058</v>
      </c>
      <c r="AA25" s="122">
        <v>1229970</v>
      </c>
      <c r="AB25" s="119"/>
      <c r="AC25" s="3">
        <v>95</v>
      </c>
      <c r="AD25" s="123">
        <v>1131517</v>
      </c>
      <c r="AE25" s="122">
        <v>1114241</v>
      </c>
      <c r="AF25" s="122">
        <v>1015472</v>
      </c>
      <c r="AG25" s="122">
        <v>1038604</v>
      </c>
      <c r="AH25" s="122">
        <v>1245619</v>
      </c>
      <c r="AI25" s="122">
        <v>1370322</v>
      </c>
      <c r="AJ25" s="122">
        <v>1383230</v>
      </c>
      <c r="AK25" s="122">
        <v>1344509</v>
      </c>
      <c r="AL25" s="122">
        <v>1408053</v>
      </c>
      <c r="AM25" s="122">
        <v>1332386</v>
      </c>
      <c r="AN25" s="122">
        <v>1135847</v>
      </c>
      <c r="AO25" s="122">
        <v>1080155</v>
      </c>
      <c r="AP25" s="119"/>
    </row>
    <row r="26" spans="1:42">
      <c r="A26" s="3">
        <v>96</v>
      </c>
      <c r="B26" s="121">
        <f t="shared" si="0"/>
        <v>1246354</v>
      </c>
      <c r="C26" s="122">
        <f t="shared" si="1"/>
        <v>1186312</v>
      </c>
      <c r="D26" s="122">
        <f t="shared" si="2"/>
        <v>1213512</v>
      </c>
      <c r="E26" s="122">
        <f t="shared" si="3"/>
        <v>1140935</v>
      </c>
      <c r="F26" s="122">
        <f t="shared" si="4"/>
        <v>1404998</v>
      </c>
      <c r="G26" s="122">
        <f t="shared" si="5"/>
        <v>1408278</v>
      </c>
      <c r="H26" s="122">
        <f t="shared" si="6"/>
        <v>1573012</v>
      </c>
      <c r="I26" s="122">
        <f t="shared" si="7"/>
        <v>1532848</v>
      </c>
      <c r="J26" s="122">
        <f t="shared" si="8"/>
        <v>1431455</v>
      </c>
      <c r="K26" s="122">
        <f t="shared" si="9"/>
        <v>1259995</v>
      </c>
      <c r="L26" s="122">
        <f t="shared" si="10"/>
        <v>1093722</v>
      </c>
      <c r="M26" s="122">
        <f t="shared" si="11"/>
        <v>1187596</v>
      </c>
      <c r="N26" s="3"/>
      <c r="O26" s="3">
        <v>96</v>
      </c>
      <c r="P26" s="123">
        <v>1246354</v>
      </c>
      <c r="Q26" s="122">
        <v>1186312</v>
      </c>
      <c r="R26" s="122">
        <v>1213512</v>
      </c>
      <c r="S26" s="122">
        <v>1140935</v>
      </c>
      <c r="T26" s="122">
        <v>1404998</v>
      </c>
      <c r="U26" s="122">
        <v>1408278</v>
      </c>
      <c r="V26" s="122">
        <v>1573012</v>
      </c>
      <c r="W26" s="122">
        <v>1532848</v>
      </c>
      <c r="X26" s="122">
        <v>1431455</v>
      </c>
      <c r="Y26" s="122">
        <v>1259995</v>
      </c>
      <c r="Z26" s="122">
        <v>1093722</v>
      </c>
      <c r="AA26" s="122">
        <v>1187596</v>
      </c>
      <c r="AB26" s="119"/>
      <c r="AC26" s="3">
        <v>96</v>
      </c>
      <c r="AD26" s="123">
        <v>1304960</v>
      </c>
      <c r="AE26" s="122">
        <v>1151614</v>
      </c>
      <c r="AF26" s="122">
        <v>1124031</v>
      </c>
      <c r="AG26" s="122">
        <v>1091244</v>
      </c>
      <c r="AH26" s="122">
        <v>1187621</v>
      </c>
      <c r="AI26" s="122">
        <v>1350881</v>
      </c>
      <c r="AJ26" s="122">
        <v>1391510</v>
      </c>
      <c r="AK26" s="122">
        <v>1422883</v>
      </c>
      <c r="AL26" s="122">
        <v>1451508</v>
      </c>
      <c r="AM26" s="122">
        <v>1234566</v>
      </c>
      <c r="AN26" s="122">
        <v>1119196</v>
      </c>
      <c r="AO26" s="122">
        <v>1098902</v>
      </c>
      <c r="AP26" s="119"/>
    </row>
    <row r="27" spans="1:42">
      <c r="A27" s="3">
        <v>97</v>
      </c>
      <c r="B27" s="121">
        <f t="shared" si="0"/>
        <v>1217586</v>
      </c>
      <c r="C27" s="122">
        <f t="shared" si="1"/>
        <v>1068951</v>
      </c>
      <c r="D27" s="122">
        <f t="shared" si="2"/>
        <v>1247280</v>
      </c>
      <c r="E27" s="122">
        <f t="shared" si="3"/>
        <v>1152042</v>
      </c>
      <c r="F27" s="122">
        <f t="shared" si="4"/>
        <v>1398301</v>
      </c>
      <c r="G27" s="122">
        <f t="shared" si="5"/>
        <v>1481589</v>
      </c>
      <c r="H27" s="122">
        <f t="shared" si="6"/>
        <v>1551352</v>
      </c>
      <c r="I27" s="122">
        <f t="shared" si="7"/>
        <v>1573725</v>
      </c>
      <c r="J27" s="122">
        <f t="shared" si="8"/>
        <v>1495006</v>
      </c>
      <c r="K27" s="122">
        <f t="shared" si="9"/>
        <v>1302970</v>
      </c>
      <c r="L27" s="122">
        <f t="shared" si="10"/>
        <v>1099569</v>
      </c>
      <c r="M27" s="122">
        <f t="shared" si="11"/>
        <v>1232179</v>
      </c>
      <c r="N27" s="3"/>
      <c r="O27" s="3">
        <v>97</v>
      </c>
      <c r="P27" s="123">
        <v>1217586</v>
      </c>
      <c r="Q27" s="122">
        <v>1068951</v>
      </c>
      <c r="R27" s="122">
        <v>1247280</v>
      </c>
      <c r="S27" s="122">
        <v>1152042</v>
      </c>
      <c r="T27" s="122">
        <v>1398301</v>
      </c>
      <c r="U27" s="122">
        <v>1481589</v>
      </c>
      <c r="V27" s="122">
        <v>1551352</v>
      </c>
      <c r="W27" s="122">
        <v>1573725</v>
      </c>
      <c r="X27" s="122">
        <v>1495006</v>
      </c>
      <c r="Y27" s="122">
        <v>1302970</v>
      </c>
      <c r="Z27" s="122">
        <v>1099569</v>
      </c>
      <c r="AA27" s="122">
        <v>1232179</v>
      </c>
      <c r="AB27" s="119"/>
      <c r="AC27" s="3">
        <v>97</v>
      </c>
      <c r="AD27" s="123">
        <v>1201007</v>
      </c>
      <c r="AE27" s="122">
        <v>1090466</v>
      </c>
      <c r="AF27" s="122">
        <v>1125213</v>
      </c>
      <c r="AG27" s="122">
        <v>1134824</v>
      </c>
      <c r="AH27" s="122">
        <v>1179646</v>
      </c>
      <c r="AI27" s="122">
        <v>1409893</v>
      </c>
      <c r="AJ27" s="122">
        <v>1485159</v>
      </c>
      <c r="AK27" s="122">
        <v>1416368</v>
      </c>
      <c r="AL27" s="122">
        <v>1483805</v>
      </c>
      <c r="AM27" s="122">
        <v>1326644</v>
      </c>
      <c r="AN27" s="122">
        <v>1107991</v>
      </c>
      <c r="AO27" s="122">
        <v>1129167</v>
      </c>
      <c r="AP27" s="119"/>
    </row>
    <row r="28" spans="1:42">
      <c r="A28" s="3">
        <v>98</v>
      </c>
      <c r="B28" s="121">
        <f t="shared" si="0"/>
        <v>1199951</v>
      </c>
      <c r="C28" s="122">
        <f t="shared" si="1"/>
        <v>1101425</v>
      </c>
      <c r="D28" s="122">
        <f t="shared" si="2"/>
        <v>1231050</v>
      </c>
      <c r="E28" s="122">
        <f t="shared" si="3"/>
        <v>1216110</v>
      </c>
      <c r="F28" s="122">
        <f t="shared" si="4"/>
        <v>1475554</v>
      </c>
      <c r="G28" s="122">
        <f t="shared" si="5"/>
        <v>1732597</v>
      </c>
      <c r="H28" s="122">
        <f t="shared" si="6"/>
        <v>1636227</v>
      </c>
      <c r="I28" s="122">
        <f t="shared" si="7"/>
        <v>1702059</v>
      </c>
      <c r="J28" s="122">
        <f t="shared" si="8"/>
        <v>1528347</v>
      </c>
      <c r="K28" s="122">
        <f t="shared" si="9"/>
        <v>1488339</v>
      </c>
      <c r="L28" s="122">
        <f t="shared" si="10"/>
        <v>1257936</v>
      </c>
      <c r="M28" s="122">
        <f t="shared" si="11"/>
        <v>1241023</v>
      </c>
      <c r="N28" s="3"/>
      <c r="O28" s="3">
        <v>98</v>
      </c>
      <c r="P28" s="123">
        <v>1199951</v>
      </c>
      <c r="Q28" s="122">
        <v>1101425</v>
      </c>
      <c r="R28" s="122">
        <v>1231050</v>
      </c>
      <c r="S28" s="122">
        <v>1216110</v>
      </c>
      <c r="T28" s="122">
        <v>1475554</v>
      </c>
      <c r="U28" s="122">
        <v>1732597</v>
      </c>
      <c r="V28" s="122">
        <v>1636227</v>
      </c>
      <c r="W28" s="122">
        <v>1702059</v>
      </c>
      <c r="X28" s="122">
        <v>1528347</v>
      </c>
      <c r="Y28" s="122">
        <v>1488339</v>
      </c>
      <c r="Z28" s="122">
        <v>1257936</v>
      </c>
      <c r="AA28" s="122">
        <v>1241023</v>
      </c>
      <c r="AB28" s="119"/>
      <c r="AC28" s="3">
        <v>98</v>
      </c>
      <c r="AD28" s="123">
        <v>1209576</v>
      </c>
      <c r="AE28" s="122">
        <v>1093079</v>
      </c>
      <c r="AF28" s="122">
        <v>1111481</v>
      </c>
      <c r="AG28" s="122">
        <v>1166506</v>
      </c>
      <c r="AH28" s="122">
        <v>1237811</v>
      </c>
      <c r="AI28" s="122">
        <v>1520780</v>
      </c>
      <c r="AJ28" s="122">
        <v>1617518</v>
      </c>
      <c r="AK28" s="122">
        <v>1535477</v>
      </c>
      <c r="AL28" s="122">
        <v>1556459</v>
      </c>
      <c r="AM28" s="122">
        <v>1450499</v>
      </c>
      <c r="AN28" s="122">
        <v>1264464</v>
      </c>
      <c r="AO28" s="122">
        <v>1263707</v>
      </c>
      <c r="AP28" s="119"/>
    </row>
    <row r="29" spans="1:42">
      <c r="A29" s="3">
        <v>99</v>
      </c>
      <c r="B29" s="121">
        <f t="shared" si="0"/>
        <v>1247837</v>
      </c>
      <c r="C29" s="122">
        <f t="shared" si="1"/>
        <v>1126527</v>
      </c>
      <c r="D29" s="122">
        <f t="shared" si="2"/>
        <v>1193710</v>
      </c>
      <c r="E29" s="122">
        <f t="shared" si="3"/>
        <v>1323260</v>
      </c>
      <c r="F29" s="122">
        <f t="shared" si="4"/>
        <v>1438264</v>
      </c>
      <c r="G29" s="122">
        <f t="shared" si="5"/>
        <v>1553838</v>
      </c>
      <c r="H29" s="122">
        <f t="shared" si="6"/>
        <v>1687073</v>
      </c>
      <c r="I29" s="122">
        <f t="shared" si="7"/>
        <v>1736783</v>
      </c>
      <c r="J29" s="122">
        <f t="shared" si="8"/>
        <v>1546143</v>
      </c>
      <c r="K29" s="122">
        <f t="shared" si="9"/>
        <v>1401055</v>
      </c>
      <c r="L29" s="122">
        <f t="shared" si="10"/>
        <v>1174550</v>
      </c>
      <c r="M29" s="122">
        <f t="shared" si="11"/>
        <v>1275246</v>
      </c>
      <c r="N29" s="3"/>
      <c r="O29" s="3">
        <v>99</v>
      </c>
      <c r="P29" s="123">
        <v>1247837</v>
      </c>
      <c r="Q29" s="122">
        <v>1126527</v>
      </c>
      <c r="R29" s="122">
        <v>1193710</v>
      </c>
      <c r="S29" s="122">
        <v>1323260</v>
      </c>
      <c r="T29" s="122">
        <v>1438264</v>
      </c>
      <c r="U29" s="122">
        <v>1553838</v>
      </c>
      <c r="V29" s="122">
        <v>1687073</v>
      </c>
      <c r="W29" s="122">
        <v>1736783</v>
      </c>
      <c r="X29" s="122">
        <v>1546143</v>
      </c>
      <c r="Y29" s="122">
        <v>1401055</v>
      </c>
      <c r="Z29" s="122">
        <v>1174550</v>
      </c>
      <c r="AA29" s="122">
        <v>1275246</v>
      </c>
      <c r="AB29" s="119"/>
      <c r="AC29" s="3">
        <v>99</v>
      </c>
      <c r="AD29" s="123">
        <v>1276386</v>
      </c>
      <c r="AE29" s="122">
        <v>1103597</v>
      </c>
      <c r="AF29" s="122">
        <v>1114373</v>
      </c>
      <c r="AG29" s="122">
        <v>1195190</v>
      </c>
      <c r="AH29" s="122">
        <v>1271612</v>
      </c>
      <c r="AI29" s="122">
        <v>1444816</v>
      </c>
      <c r="AJ29" s="122">
        <v>1489079</v>
      </c>
      <c r="AK29" s="122">
        <v>1579771</v>
      </c>
      <c r="AL29" s="122">
        <v>1578929</v>
      </c>
      <c r="AM29" s="122">
        <v>1395715</v>
      </c>
      <c r="AN29" s="122">
        <v>1191559</v>
      </c>
      <c r="AO29" s="122">
        <v>1163932</v>
      </c>
      <c r="AP29" s="119"/>
    </row>
    <row r="30" spans="1:42">
      <c r="A30" s="10" t="s">
        <v>60</v>
      </c>
      <c r="B30" s="121">
        <f t="shared" si="0"/>
        <v>1333737</v>
      </c>
      <c r="C30" s="122">
        <f t="shared" si="1"/>
        <v>1225902</v>
      </c>
      <c r="D30" s="122">
        <f t="shared" si="2"/>
        <v>1290152</v>
      </c>
      <c r="E30" s="122">
        <f t="shared" si="3"/>
        <v>1276802</v>
      </c>
      <c r="F30" s="122">
        <f t="shared" si="4"/>
        <v>1640327</v>
      </c>
      <c r="G30" s="122">
        <f t="shared" si="5"/>
        <v>1647955</v>
      </c>
      <c r="H30" s="122">
        <f t="shared" si="6"/>
        <v>1669030</v>
      </c>
      <c r="I30" s="122">
        <f t="shared" si="7"/>
        <v>1739726</v>
      </c>
      <c r="J30" s="122">
        <f t="shared" si="8"/>
        <v>1653905</v>
      </c>
      <c r="K30" s="122">
        <f t="shared" si="9"/>
        <v>1398752</v>
      </c>
      <c r="L30" s="122">
        <f t="shared" si="10"/>
        <v>1277653</v>
      </c>
      <c r="M30" s="122">
        <f t="shared" si="11"/>
        <v>1456279</v>
      </c>
      <c r="N30" s="3"/>
      <c r="O30" s="10" t="s">
        <v>60</v>
      </c>
      <c r="P30" s="123">
        <v>1333737</v>
      </c>
      <c r="Q30" s="122">
        <v>1225902</v>
      </c>
      <c r="R30" s="122">
        <v>1290152</v>
      </c>
      <c r="S30" s="122">
        <v>1276802</v>
      </c>
      <c r="T30" s="122">
        <v>1640327</v>
      </c>
      <c r="U30" s="122">
        <v>1647955</v>
      </c>
      <c r="V30" s="122">
        <v>1669030</v>
      </c>
      <c r="W30" s="122">
        <v>1739726</v>
      </c>
      <c r="X30" s="122">
        <v>1653905</v>
      </c>
      <c r="Y30" s="122">
        <v>1398752</v>
      </c>
      <c r="Z30" s="122">
        <v>1277653</v>
      </c>
      <c r="AA30" s="122">
        <v>1456279</v>
      </c>
      <c r="AB30" s="119"/>
      <c r="AC30" s="10" t="s">
        <v>60</v>
      </c>
      <c r="AD30" s="123">
        <v>1300419.3130000001</v>
      </c>
      <c r="AE30" s="122">
        <v>1258856.037</v>
      </c>
      <c r="AF30" s="122">
        <v>1154401</v>
      </c>
      <c r="AG30" s="122">
        <v>1229247</v>
      </c>
      <c r="AH30" s="122">
        <v>1354842</v>
      </c>
      <c r="AI30" s="122">
        <v>1611223</v>
      </c>
      <c r="AJ30" s="122">
        <v>1530403</v>
      </c>
      <c r="AK30" s="122">
        <v>1569673</v>
      </c>
      <c r="AL30" s="122">
        <v>1606420</v>
      </c>
      <c r="AM30" s="122">
        <v>1468147</v>
      </c>
      <c r="AN30" s="122">
        <v>1241292</v>
      </c>
      <c r="AO30" s="122">
        <v>1312937</v>
      </c>
      <c r="AP30" s="119"/>
    </row>
    <row r="31" spans="1:42">
      <c r="A31" s="10" t="s">
        <v>61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3"/>
      <c r="O31" s="10" t="str">
        <f>A31</f>
        <v xml:space="preserve">01 </v>
      </c>
      <c r="P31" s="123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19"/>
      <c r="AC31" s="10" t="str">
        <f>O31</f>
        <v xml:space="preserve">01 </v>
      </c>
      <c r="AD31" s="123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19"/>
    </row>
    <row r="32" spans="1:42">
      <c r="A32" s="10" t="s">
        <v>62</v>
      </c>
      <c r="B32" s="121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3"/>
      <c r="O32" s="10" t="str">
        <f>A32</f>
        <v xml:space="preserve">02 </v>
      </c>
      <c r="P32" s="123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19"/>
      <c r="AC32" s="10" t="str">
        <f>O32</f>
        <v xml:space="preserve">02 </v>
      </c>
      <c r="AD32" s="123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19"/>
    </row>
    <row r="33" spans="1:42">
      <c r="A33" s="10" t="s">
        <v>2</v>
      </c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3"/>
      <c r="O33" s="10" t="str">
        <f>A33</f>
        <v xml:space="preserve">03 </v>
      </c>
      <c r="P33" s="123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19"/>
      <c r="AC33" s="10" t="str">
        <f>O33</f>
        <v xml:space="preserve">03 </v>
      </c>
      <c r="AD33" s="123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19"/>
    </row>
    <row r="34" spans="1:42">
      <c r="A34" s="10"/>
      <c r="B34" s="123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19"/>
      <c r="O34" s="10"/>
      <c r="P34" s="124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19"/>
      <c r="AC34" s="10"/>
      <c r="AD34" s="123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19"/>
    </row>
    <row r="35" spans="1:42">
      <c r="A35" s="3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3"/>
      <c r="O35" s="3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3"/>
      <c r="AC35" s="3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3"/>
    </row>
    <row r="36" spans="1:42">
      <c r="A36" s="3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9" spans="1:42">
      <c r="A39" s="42" t="s">
        <v>172</v>
      </c>
      <c r="B39" s="3">
        <v>800</v>
      </c>
      <c r="C39" s="3">
        <v>800</v>
      </c>
      <c r="D39" s="42">
        <v>1700</v>
      </c>
      <c r="E39" s="3">
        <v>1800</v>
      </c>
      <c r="F39" s="3">
        <v>1700</v>
      </c>
      <c r="G39" s="3">
        <v>1700</v>
      </c>
      <c r="H39" s="3">
        <v>1700</v>
      </c>
      <c r="I39" s="3">
        <v>1700</v>
      </c>
      <c r="J39" s="3">
        <v>1700</v>
      </c>
      <c r="K39" s="3">
        <v>1700</v>
      </c>
      <c r="L39" s="3">
        <v>800</v>
      </c>
      <c r="M39" s="3">
        <v>800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>
      <c r="A40" s="42" t="s">
        <v>173</v>
      </c>
      <c r="B40" s="3"/>
      <c r="C40" s="3"/>
      <c r="D40" s="42" t="s">
        <v>182</v>
      </c>
      <c r="E40" s="3"/>
      <c r="F40" s="3"/>
      <c r="G40" s="3"/>
      <c r="H40" s="3"/>
      <c r="I40" s="3"/>
      <c r="J40" s="3"/>
      <c r="K40" s="3"/>
      <c r="L40" s="3" t="s">
        <v>183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>
      <c r="A41" s="42" t="s">
        <v>174</v>
      </c>
      <c r="B41" s="3">
        <v>744</v>
      </c>
      <c r="C41" s="3">
        <f>28*24</f>
        <v>672</v>
      </c>
      <c r="D41" s="3">
        <v>744</v>
      </c>
      <c r="E41" s="3">
        <v>720</v>
      </c>
      <c r="F41" s="3">
        <v>744</v>
      </c>
      <c r="G41" s="3">
        <v>720</v>
      </c>
      <c r="H41" s="3">
        <v>744</v>
      </c>
      <c r="I41" s="3">
        <v>744</v>
      </c>
      <c r="J41" s="3">
        <v>720</v>
      </c>
      <c r="K41" s="3">
        <v>744</v>
      </c>
      <c r="L41" s="3">
        <v>720</v>
      </c>
      <c r="M41" s="3">
        <v>744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3" spans="1:42">
      <c r="A43" s="84" t="s">
        <v>175</v>
      </c>
      <c r="B43" s="10" t="s">
        <v>4</v>
      </c>
      <c r="C43" s="10" t="s">
        <v>8</v>
      </c>
      <c r="D43" s="10" t="s">
        <v>9</v>
      </c>
      <c r="E43" s="10" t="s">
        <v>10</v>
      </c>
      <c r="F43" s="10" t="s">
        <v>11</v>
      </c>
      <c r="G43" s="10" t="s">
        <v>12</v>
      </c>
      <c r="H43" s="10" t="s">
        <v>13</v>
      </c>
      <c r="I43" s="10" t="s">
        <v>15</v>
      </c>
      <c r="J43" s="10" t="s">
        <v>16</v>
      </c>
      <c r="K43" s="10" t="s">
        <v>17</v>
      </c>
      <c r="L43" s="10" t="s">
        <v>18</v>
      </c>
      <c r="M43" s="10" t="s">
        <v>19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>
      <c r="A44" s="3">
        <v>73</v>
      </c>
      <c r="B44" s="129">
        <f>IF('Total Retail'!B123=B$39,((B3/B$41)/'Total Retail'!B7)," ")</f>
        <v>0.75234944505047352</v>
      </c>
      <c r="C44" s="130" t="str">
        <f>IF('Total Retail'!C123=C$39,((C3/C$41)/'Total Retail'!C7)," ")</f>
        <v xml:space="preserve"> </v>
      </c>
      <c r="D44" s="130" t="str">
        <f>IF('Total Retail'!D123=D$39,((D3/D$41)/'Total Retail'!D7)," ")</f>
        <v xml:space="preserve"> </v>
      </c>
      <c r="E44" s="130" t="str">
        <f>IF('Total Retail'!E123=E$39,((E3/E$41)/'Total Retail'!E7)," ")</f>
        <v xml:space="preserve"> </v>
      </c>
      <c r="F44" s="130" t="str">
        <f>IF('Total Retail'!F123=F$39,((F3/F$41)/'Total Retail'!F7)," ")</f>
        <v xml:space="preserve"> </v>
      </c>
      <c r="G44" s="130" t="str">
        <f>IF('Total Retail'!G123=G$39,((G3/G$41)/'Total Retail'!G7)," ")</f>
        <v xml:space="preserve"> </v>
      </c>
      <c r="H44" s="130">
        <f>IF('Total Retail'!H123=H$39,((H3/H$41)/'Total Retail'!H7)," ")</f>
        <v>0.84054519183328247</v>
      </c>
      <c r="I44" s="130">
        <f>IF('Total Retail'!I123=I$39,((I3/I$41)/'Total Retail'!I7)," ")</f>
        <v>0.80075565003524252</v>
      </c>
      <c r="J44" s="130" t="str">
        <f>IF('Total Retail'!J123=J$39,((J3/J$41)/'Total Retail'!J7)," ")</f>
        <v xml:space="preserve"> </v>
      </c>
      <c r="K44" s="130">
        <f>IF('Total Retail'!K123=K$39,((K3/K$41)/'Total Retail'!K7)," ")</f>
        <v>0.75673707210487984</v>
      </c>
      <c r="L44" s="130" t="str">
        <f>IF('Total Retail'!L123=L$39,((L3/L$41)/'Total Retail'!L7)," ")</f>
        <v xml:space="preserve"> </v>
      </c>
      <c r="M44" s="130" t="str">
        <f>IF('Total Retail'!M123=M$39,((M3/M$41)/'Total Retail'!M7)," ")</f>
        <v xml:space="preserve"> 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>
      <c r="A45" s="3">
        <v>74</v>
      </c>
      <c r="B45" s="131" t="str">
        <f>IF('Total Retail'!B124=B$39,((B4/B$41)/'Total Retail'!B8)," ")</f>
        <v xml:space="preserve"> </v>
      </c>
      <c r="C45" s="132">
        <f>IF('Total Retail'!C124=C$39,((C4/C$41)/'Total Retail'!C8)," ")</f>
        <v>0.79434523809523805</v>
      </c>
      <c r="D45" s="132">
        <f>IF('Total Retail'!D124=D$39,((D4/D$41)/'Total Retail'!D8)," ")</f>
        <v>0.81603538957949462</v>
      </c>
      <c r="E45" s="132" t="str">
        <f>IF('Total Retail'!E124=E$39,((E4/E$41)/'Total Retail'!E8)," ")</f>
        <v xml:space="preserve"> </v>
      </c>
      <c r="F45" s="132" t="str">
        <f>IF('Total Retail'!F124=F$39,((F4/F$41)/'Total Retail'!F8)," ")</f>
        <v xml:space="preserve"> </v>
      </c>
      <c r="G45" s="132">
        <f>IF('Total Retail'!G124=G$39,((G4/G$41)/'Total Retail'!G8)," ")</f>
        <v>0.71244018244354723</v>
      </c>
      <c r="H45" s="132" t="str">
        <f>IF('Total Retail'!H124=H$39,((H4/H$41)/'Total Retail'!H8)," ")</f>
        <v xml:space="preserve"> </v>
      </c>
      <c r="I45" s="132" t="str">
        <f>IF('Total Retail'!I124=I$39,((I4/I$41)/'Total Retail'!I8)," ")</f>
        <v xml:space="preserve"> </v>
      </c>
      <c r="J45" s="132">
        <f>IF('Total Retail'!J124=J$39,((J4/J$41)/'Total Retail'!J8)," ")</f>
        <v>0.73223550170996143</v>
      </c>
      <c r="K45" s="132" t="str">
        <f>IF('Total Retail'!K124=K$39,((K4/K$41)/'Total Retail'!K8)," ")</f>
        <v xml:space="preserve"> </v>
      </c>
      <c r="L45" s="132" t="str">
        <f>IF('Total Retail'!L124=L$39,((L4/L$41)/'Total Retail'!L8)," ")</f>
        <v xml:space="preserve"> </v>
      </c>
      <c r="M45" s="132">
        <f>IF('Total Retail'!M124=M$39,((M4/M$41)/'Total Retail'!M8)," ")</f>
        <v>0.66859767338615617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>
      <c r="A46" s="3">
        <v>75</v>
      </c>
      <c r="B46" s="131">
        <f>IF('Total Retail'!B125=B$39,((B5/B$41)/'Total Retail'!B9)," ")</f>
        <v>0.63681652580497661</v>
      </c>
      <c r="C46" s="132" t="str">
        <f>IF('Total Retail'!C125=C$39,((C5/C$41)/'Total Retail'!C9)," ")</f>
        <v xml:space="preserve"> </v>
      </c>
      <c r="D46" s="132" t="str">
        <f>IF('Total Retail'!D125=D$39,((D5/D$41)/'Total Retail'!D9)," ")</f>
        <v xml:space="preserve"> </v>
      </c>
      <c r="E46" s="132" t="str">
        <f>IF('Total Retail'!E125=E$39,((E5/E$41)/'Total Retail'!E9)," ")</f>
        <v xml:space="preserve"> </v>
      </c>
      <c r="F46" s="132">
        <f>IF('Total Retail'!F125=F$39,((F5/F$41)/'Total Retail'!F9)," ")</f>
        <v>0.74562591926202004</v>
      </c>
      <c r="G46" s="132" t="str">
        <f>IF('Total Retail'!G125=G$39,((G5/G$41)/'Total Retail'!G9)," ")</f>
        <v xml:space="preserve"> </v>
      </c>
      <c r="H46" s="132" t="str">
        <f>IF('Total Retail'!H125=H$39,((H5/H$41)/'Total Retail'!H9)," ")</f>
        <v xml:space="preserve"> </v>
      </c>
      <c r="I46" s="132">
        <f>IF('Total Retail'!I125=I$39,((I5/I$41)/'Total Retail'!I9)," ")</f>
        <v>0.7204415653093601</v>
      </c>
      <c r="J46" s="132">
        <f>IF('Total Retail'!J125=J$39,((J5/J$41)/'Total Retail'!J9)," ")</f>
        <v>0.72572339940760999</v>
      </c>
      <c r="K46" s="132" t="str">
        <f>IF('Total Retail'!K125=K$39,((K5/K$41)/'Total Retail'!K9)," ")</f>
        <v xml:space="preserve"> </v>
      </c>
      <c r="L46" s="132" t="str">
        <f>IF('Total Retail'!L125=L$39,((L5/L$41)/'Total Retail'!L9)," ")</f>
        <v xml:space="preserve"> </v>
      </c>
      <c r="M46" s="132" t="str">
        <f>IF('Total Retail'!M125=M$39,((M5/M$41)/'Total Retail'!M9)," ")</f>
        <v xml:space="preserve"> 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>
      <c r="A47" s="3">
        <v>76</v>
      </c>
      <c r="B47" s="131">
        <f>IF('Total Retail'!B126=B$39,((B6/B$41)/'Total Retail'!B10)," ")</f>
        <v>0.6531551486513093</v>
      </c>
      <c r="C47" s="132">
        <f>IF('Total Retail'!C126=C$39,((C6/C$41)/'Total Retail'!C10)," ")</f>
        <v>0.72433465069666692</v>
      </c>
      <c r="D47" s="132" t="str">
        <f>IF('Total Retail'!D126=D$39,((D6/D$41)/'Total Retail'!D10)," ")</f>
        <v xml:space="preserve"> </v>
      </c>
      <c r="E47" s="132">
        <f>IF('Total Retail'!E126=E$39,((E6/E$41)/'Total Retail'!E10)," ")</f>
        <v>0.75376612973066592</v>
      </c>
      <c r="F47" s="132">
        <f>IF('Total Retail'!F126=F$39,((F6/F$41)/'Total Retail'!F10)," ")</f>
        <v>0.74434794596084919</v>
      </c>
      <c r="G47" s="132">
        <f>IF('Total Retail'!G126=G$39,((G6/G$41)/'Total Retail'!G10)," ")</f>
        <v>0.72556626874808683</v>
      </c>
      <c r="H47" s="132" t="str">
        <f>IF('Total Retail'!H126=H$39,((H6/H$41)/'Total Retail'!H10)," ")</f>
        <v xml:space="preserve"> </v>
      </c>
      <c r="I47" s="132">
        <f>IF('Total Retail'!I126=I$39,((I6/I$41)/'Total Retail'!I10)," ")</f>
        <v>0.74831880923164384</v>
      </c>
      <c r="J47" s="132">
        <f>IF('Total Retail'!J126=J$39,((J6/J$41)/'Total Retail'!J10)," ")</f>
        <v>0.71611305980725615</v>
      </c>
      <c r="K47" s="132" t="str">
        <f>IF('Total Retail'!K126=K$39,((K6/K$41)/'Total Retail'!K10)," ")</f>
        <v xml:space="preserve"> </v>
      </c>
      <c r="L47" s="132" t="str">
        <f>IF('Total Retail'!L126=L$39,((L6/L$41)/'Total Retail'!L10)," ")</f>
        <v xml:space="preserve"> </v>
      </c>
      <c r="M47" s="132" t="str">
        <f>IF('Total Retail'!M126=M$39,((M6/M$41)/'Total Retail'!M10)," ")</f>
        <v xml:space="preserve"> 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>
      <c r="A48" s="3">
        <v>77</v>
      </c>
      <c r="B48" s="131">
        <f>IF('Total Retail'!B127=B$39,((B7/B$41)/'Total Retail'!B11)," ")</f>
        <v>0.69189540238198555</v>
      </c>
      <c r="C48" s="132">
        <f>IF('Total Retail'!C127=C$39,((C7/C$41)/'Total Retail'!C11)," ")</f>
        <v>0.67270989064230347</v>
      </c>
      <c r="D48" s="132" t="str">
        <f>IF('Total Retail'!D127=D$39,((D7/D$41)/'Total Retail'!D11)," ")</f>
        <v xml:space="preserve"> </v>
      </c>
      <c r="E48" s="132" t="str">
        <f>IF('Total Retail'!E127=E$39,((E7/E$41)/'Total Retail'!E11)," ")</f>
        <v xml:space="preserve"> </v>
      </c>
      <c r="F48" s="132" t="str">
        <f>IF('Total Retail'!F127=F$39,((F7/F$41)/'Total Retail'!F11)," ")</f>
        <v xml:space="preserve"> </v>
      </c>
      <c r="G48" s="132">
        <f>IF('Total Retail'!G127=G$39,((G7/G$41)/'Total Retail'!G11)," ")</f>
        <v>0.73796915374677008</v>
      </c>
      <c r="H48" s="132">
        <f>IF('Total Retail'!H127=H$39,((H7/H$41)/'Total Retail'!H11)," ")</f>
        <v>0.74026210084965138</v>
      </c>
      <c r="I48" s="132">
        <f>IF('Total Retail'!I127=I$39,((I7/I$41)/'Total Retail'!I11)," ")</f>
        <v>0.76498496900065616</v>
      </c>
      <c r="J48" s="132">
        <f>IF('Total Retail'!J127=J$39,((J7/J$41)/'Total Retail'!J11)," ")</f>
        <v>0.75032209700804009</v>
      </c>
      <c r="K48" s="132">
        <f>IF('Total Retail'!K127=K$39,((K7/K$41)/'Total Retail'!K11)," ")</f>
        <v>0.70587978759777548</v>
      </c>
      <c r="L48" s="132" t="str">
        <f>IF('Total Retail'!L127=L$39,((L7/L$41)/'Total Retail'!L11)," ")</f>
        <v xml:space="preserve"> </v>
      </c>
      <c r="M48" s="132" t="str">
        <f>IF('Total Retail'!M127=M$39,((M7/M$41)/'Total Retail'!M11)," ")</f>
        <v xml:space="preserve"> 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>
      <c r="A49" s="3">
        <v>78</v>
      </c>
      <c r="B49" s="131">
        <f>IF('Total Retail'!B128=B$39,((B8/B$41)/'Total Retail'!B12)," ")</f>
        <v>0.6672805694706857</v>
      </c>
      <c r="C49" s="132">
        <f>IF('Total Retail'!C128=C$39,((C8/C$41)/'Total Retail'!C12)," ")</f>
        <v>0.67447621565812999</v>
      </c>
      <c r="D49" s="132" t="str">
        <f>IF('Total Retail'!D128=D$39,((D8/D$41)/'Total Retail'!D12)," ")</f>
        <v xml:space="preserve"> </v>
      </c>
      <c r="E49" s="132" t="str">
        <f>IF('Total Retail'!E128=E$39,((E8/E$41)/'Total Retail'!E12)," ")</f>
        <v xml:space="preserve"> </v>
      </c>
      <c r="F49" s="132">
        <f>IF('Total Retail'!F128=F$39,((F8/F$41)/'Total Retail'!F12)," ")</f>
        <v>0.69600815742530109</v>
      </c>
      <c r="G49" s="132">
        <f>IF('Total Retail'!G128=G$39,((G8/G$41)/'Total Retail'!G12)," ")</f>
        <v>0.7361946004993758</v>
      </c>
      <c r="H49" s="132">
        <f>IF('Total Retail'!H128=H$39,((H8/H$41)/'Total Retail'!H12)," ")</f>
        <v>0.73711676757074218</v>
      </c>
      <c r="I49" s="132">
        <f>IF('Total Retail'!I128=I$39,((I8/I$41)/'Total Retail'!I12)," ")</f>
        <v>0.74179215535591214</v>
      </c>
      <c r="J49" s="132">
        <f>IF('Total Retail'!J128=J$39,((J8/J$41)/'Total Retail'!J12)," ")</f>
        <v>0.7554012345679012</v>
      </c>
      <c r="K49" s="132" t="str">
        <f>IF('Total Retail'!K128=K$39,((K8/K$41)/'Total Retail'!K12)," ")</f>
        <v xml:space="preserve"> </v>
      </c>
      <c r="L49" s="132" t="str">
        <f>IF('Total Retail'!L128=L$39,((L8/L$41)/'Total Retail'!L12)," ")</f>
        <v xml:space="preserve"> </v>
      </c>
      <c r="M49" s="132" t="str">
        <f>IF('Total Retail'!M128=M$39,((M8/M$41)/'Total Retail'!M12)," ")</f>
        <v xml:space="preserve"> 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>
      <c r="A50" s="3">
        <v>79</v>
      </c>
      <c r="B50" s="131">
        <f>IF('Total Retail'!B129=B$39,((B9/B$41)/'Total Retail'!B13)," ")</f>
        <v>0.62664697864607</v>
      </c>
      <c r="C50" s="132">
        <f>IF('Total Retail'!C129=C$39,((C9/C$41)/'Total Retail'!C13)," ")</f>
        <v>0.65972782258064511</v>
      </c>
      <c r="D50" s="132" t="str">
        <f>IF('Total Retail'!D129=D$39,((D9/D$41)/'Total Retail'!D13)," ")</f>
        <v xml:space="preserve"> </v>
      </c>
      <c r="E50" s="132" t="str">
        <f>IF('Total Retail'!E129=E$39,((E9/E$41)/'Total Retail'!E13)," ")</f>
        <v xml:space="preserve"> </v>
      </c>
      <c r="F50" s="132" t="str">
        <f>IF('Total Retail'!F129=F$39,((F9/F$41)/'Total Retail'!F13)," ")</f>
        <v xml:space="preserve"> </v>
      </c>
      <c r="G50" s="132" t="str">
        <f>IF('Total Retail'!G129=G$39,((G9/G$41)/'Total Retail'!G13)," ")</f>
        <v xml:space="preserve"> </v>
      </c>
      <c r="H50" s="132">
        <f>IF('Total Retail'!H129=H$39,((H9/H$41)/'Total Retail'!H13)," ")</f>
        <v>0.74821433890328537</v>
      </c>
      <c r="I50" s="132" t="str">
        <f>IF('Total Retail'!I129=I$39,((I9/I$41)/'Total Retail'!I13)," ")</f>
        <v xml:space="preserve"> </v>
      </c>
      <c r="J50" s="132">
        <f>IF('Total Retail'!J129=J$39,((J9/J$41)/'Total Retail'!J13)," ")</f>
        <v>0.72158445925103343</v>
      </c>
      <c r="K50" s="132">
        <f>IF('Total Retail'!K129=K$39,((K9/K$41)/'Total Retail'!K13)," ")</f>
        <v>0.69324602679668157</v>
      </c>
      <c r="L50" s="132" t="str">
        <f>IF('Total Retail'!L129=L$39,((L9/L$41)/'Total Retail'!L13)," ")</f>
        <v xml:space="preserve"> </v>
      </c>
      <c r="M50" s="132">
        <f>IF('Total Retail'!M129=M$39,((M9/M$41)/'Total Retail'!M13)," ")</f>
        <v>0.71639950067369418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>
      <c r="A51" s="3">
        <v>80</v>
      </c>
      <c r="B51" s="131">
        <f>IF('Total Retail'!B130=B$39,((B10/B$41)/'Total Retail'!B14)," ")</f>
        <v>0.64212276410334812</v>
      </c>
      <c r="C51" s="132" t="str">
        <f>IF('Total Retail'!C130=C$39,((C10/C$41)/'Total Retail'!C14)," ")</f>
        <v xml:space="preserve"> </v>
      </c>
      <c r="D51" s="132" t="str">
        <f>IF('Total Retail'!D130=D$39,((D10/D$41)/'Total Retail'!D14)," ")</f>
        <v xml:space="preserve"> </v>
      </c>
      <c r="E51" s="132" t="str">
        <f>IF('Total Retail'!E130=E$39,((E10/E$41)/'Total Retail'!E14)," ")</f>
        <v xml:space="preserve"> </v>
      </c>
      <c r="F51" s="132" t="str">
        <f>IF('Total Retail'!F130=F$39,((F10/F$41)/'Total Retail'!F14)," ")</f>
        <v xml:space="preserve"> </v>
      </c>
      <c r="G51" s="132">
        <f>IF('Total Retail'!G130=G$39,((G10/G$41)/'Total Retail'!G14)," ")</f>
        <v>0.76429315202744086</v>
      </c>
      <c r="H51" s="132" t="str">
        <f>IF('Total Retail'!H130=H$39,((H10/H$41)/'Total Retail'!H14)," ")</f>
        <v xml:space="preserve"> </v>
      </c>
      <c r="I51" s="132">
        <f>IF('Total Retail'!I130=I$39,((I10/I$41)/'Total Retail'!I14)," ")</f>
        <v>0.74513638438077434</v>
      </c>
      <c r="J51" s="132">
        <f>IF('Total Retail'!J130=J$39,((J10/J$41)/'Total Retail'!J14)," ")</f>
        <v>0.74487734487734492</v>
      </c>
      <c r="K51" s="132" t="str">
        <f>IF('Total Retail'!K130=K$39,((K10/K$41)/'Total Retail'!K14)," ")</f>
        <v xml:space="preserve"> </v>
      </c>
      <c r="L51" s="132" t="str">
        <f>IF('Total Retail'!L130=L$39,((L10/L$41)/'Total Retail'!L14)," ")</f>
        <v xml:space="preserve"> </v>
      </c>
      <c r="M51" s="132" t="str">
        <f>IF('Total Retail'!M130=M$39,((M10/M$41)/'Total Retail'!M14)," ")</f>
        <v xml:space="preserve"> 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>
      <c r="A52" s="3">
        <v>81</v>
      </c>
      <c r="B52" s="131">
        <f>IF('Total Retail'!B131=B$39,((B11/B$41)/'Total Retail'!B15)," ")</f>
        <v>0.63507129943042018</v>
      </c>
      <c r="C52" s="132" t="str">
        <f>IF('Total Retail'!C131=C$39,((C11/C$41)/'Total Retail'!C15)," ")</f>
        <v xml:space="preserve"> </v>
      </c>
      <c r="D52" s="132" t="str">
        <f>IF('Total Retail'!D131=D$39,((D11/D$41)/'Total Retail'!D15)," ")</f>
        <v xml:space="preserve"> </v>
      </c>
      <c r="E52" s="132" t="str">
        <f>IF('Total Retail'!E131=E$39,((E11/E$41)/'Total Retail'!E15)," ")</f>
        <v xml:space="preserve"> </v>
      </c>
      <c r="F52" s="132" t="str">
        <f>IF('Total Retail'!F131=F$39,((F11/F$41)/'Total Retail'!F15)," ")</f>
        <v xml:space="preserve"> </v>
      </c>
      <c r="G52" s="132">
        <f>IF('Total Retail'!G131=G$39,((G11/G$41)/'Total Retail'!G15)," ")</f>
        <v>0.71453870496592009</v>
      </c>
      <c r="H52" s="132" t="str">
        <f>IF('Total Retail'!H131=H$39,((H11/H$41)/'Total Retail'!H15)," ")</f>
        <v xml:space="preserve"> </v>
      </c>
      <c r="I52" s="132" t="str">
        <f>IF('Total Retail'!I131=I$39,((I11/I$41)/'Total Retail'!I15)," ")</f>
        <v xml:space="preserve"> </v>
      </c>
      <c r="J52" s="132" t="str">
        <f>IF('Total Retail'!J131=J$39,((J11/J$41)/'Total Retail'!J15)," ")</f>
        <v xml:space="preserve"> </v>
      </c>
      <c r="K52" s="132" t="str">
        <f>IF('Total Retail'!K131=K$39,((K11/K$41)/'Total Retail'!K15)," ")</f>
        <v xml:space="preserve"> </v>
      </c>
      <c r="L52" s="132">
        <f>IF('Total Retail'!L131=L$39,((L11/L$41)/'Total Retail'!L15)," ")</f>
        <v>0.65035906642728902</v>
      </c>
      <c r="M52" s="132">
        <f>IF('Total Retail'!M131=M$39,((M11/M$41)/'Total Retail'!M15)," ")</f>
        <v>0.60209966585271812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>
      <c r="A53" s="3">
        <v>82</v>
      </c>
      <c r="B53" s="131">
        <f>IF('Total Retail'!B132=B$39,((B12/B$41)/'Total Retail'!B16)," ")</f>
        <v>0.55408368810537434</v>
      </c>
      <c r="C53" s="132" t="str">
        <f>IF('Total Retail'!C132=C$39,((C12/C$41)/'Total Retail'!C16)," ")</f>
        <v xml:space="preserve"> </v>
      </c>
      <c r="D53" s="132" t="str">
        <f>IF('Total Retail'!D132=D$39,((D12/D$41)/'Total Retail'!D16)," ")</f>
        <v xml:space="preserve"> </v>
      </c>
      <c r="E53" s="132" t="str">
        <f>IF('Total Retail'!E132=E$39,((E12/E$41)/'Total Retail'!E16)," ")</f>
        <v xml:space="preserve"> </v>
      </c>
      <c r="F53" s="132">
        <f>IF('Total Retail'!F132=F$39,((F12/F$41)/'Total Retail'!F16)," ")</f>
        <v>0.67044795431222948</v>
      </c>
      <c r="G53" s="132">
        <f>IF('Total Retail'!G132=G$39,((G12/G$41)/'Total Retail'!G16)," ")</f>
        <v>0.7134695018740177</v>
      </c>
      <c r="H53" s="132">
        <f>IF('Total Retail'!H132=H$39,((H12/H$41)/'Total Retail'!H16)," ")</f>
        <v>0.72000467896907705</v>
      </c>
      <c r="I53" s="132" t="str">
        <f>IF('Total Retail'!I132=I$39,((I12/I$41)/'Total Retail'!I16)," ")</f>
        <v xml:space="preserve"> </v>
      </c>
      <c r="J53" s="132">
        <f>IF('Total Retail'!J132=J$39,((J12/J$41)/'Total Retail'!J16)," ")</f>
        <v>0.68839212768440716</v>
      </c>
      <c r="K53" s="132" t="str">
        <f>IF('Total Retail'!K132=K$39,((K12/K$41)/'Total Retail'!K16)," ")</f>
        <v xml:space="preserve"> </v>
      </c>
      <c r="L53" s="132" t="str">
        <f>IF('Total Retail'!L132=L$39,((L12/L$41)/'Total Retail'!L16)," ")</f>
        <v xml:space="preserve"> </v>
      </c>
      <c r="M53" s="132" t="str">
        <f>IF('Total Retail'!M132=M$39,((M12/M$41)/'Total Retail'!M16)," ")</f>
        <v xml:space="preserve"> 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>
      <c r="A54" s="3">
        <v>83</v>
      </c>
      <c r="B54" s="131">
        <f>IF('Total Retail'!B133=B$39,((B13/B$41)/'Total Retail'!B17)," ")</f>
        <v>0.60697133481825305</v>
      </c>
      <c r="C54" s="132">
        <f>IF('Total Retail'!C133=C$39,((C13/C$41)/'Total Retail'!C17)," ")</f>
        <v>0.61772104031941988</v>
      </c>
      <c r="D54" s="132" t="str">
        <f>IF('Total Retail'!D133=D$39,((D13/D$41)/'Total Retail'!D17)," ")</f>
        <v xml:space="preserve"> </v>
      </c>
      <c r="E54" s="132">
        <f>IF('Total Retail'!E133=E$39,((E13/E$41)/'Total Retail'!E17)," ")</f>
        <v>0.71553802675824574</v>
      </c>
      <c r="F54" s="132">
        <f>IF('Total Retail'!F133=F$39,((F13/F$41)/'Total Retail'!F17)," ")</f>
        <v>0.68705974785969726</v>
      </c>
      <c r="G54" s="132">
        <f>IF('Total Retail'!G133=G$39,((G13/G$41)/'Total Retail'!G17)," ")</f>
        <v>0.71112289383763394</v>
      </c>
      <c r="H54" s="132">
        <f>IF('Total Retail'!H133=H$39,((H13/H$41)/'Total Retail'!H17)," ")</f>
        <v>0.6964855123601027</v>
      </c>
      <c r="I54" s="132" t="str">
        <f>IF('Total Retail'!I133=I$39,((I13/I$41)/'Total Retail'!I17)," ")</f>
        <v xml:space="preserve"> </v>
      </c>
      <c r="J54" s="132">
        <f>IF('Total Retail'!J133=J$39,((J13/J$41)/'Total Retail'!J17)," ")</f>
        <v>0.6686062043397667</v>
      </c>
      <c r="K54" s="132">
        <f>IF('Total Retail'!K133=K$39,((K13/K$41)/'Total Retail'!K17)," ")</f>
        <v>0.70790506336617232</v>
      </c>
      <c r="L54" s="132">
        <f>IF('Total Retail'!L133=L$39,((L13/L$41)/'Total Retail'!L17)," ")</f>
        <v>0.67871188326135323</v>
      </c>
      <c r="M54" s="132" t="str">
        <f>IF('Total Retail'!M133=M$39,((M13/M$41)/'Total Retail'!M17)," ")</f>
        <v xml:space="preserve"> 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>
      <c r="A55" s="3">
        <v>84</v>
      </c>
      <c r="B55" s="131" t="str">
        <f>IF('Total Retail'!B134=B$39,((B14/B$41)/'Total Retail'!B18)," ")</f>
        <v xml:space="preserve"> </v>
      </c>
      <c r="C55" s="132">
        <f>IF('Total Retail'!C134=C$39,((C14/C$41)/'Total Retail'!C18)," ")</f>
        <v>0.60456266991142682</v>
      </c>
      <c r="D55" s="132" t="str">
        <f>IF('Total Retail'!D134=D$39,((D14/D$41)/'Total Retail'!D18)," ")</f>
        <v xml:space="preserve"> </v>
      </c>
      <c r="E55" s="132" t="str">
        <f>IF('Total Retail'!E134=E$39,((E14/E$41)/'Total Retail'!E18)," ")</f>
        <v xml:space="preserve"> </v>
      </c>
      <c r="F55" s="132" t="str">
        <f>IF('Total Retail'!F134=F$39,((F14/F$41)/'Total Retail'!F18)," ")</f>
        <v xml:space="preserve"> </v>
      </c>
      <c r="G55" s="132" t="str">
        <f>IF('Total Retail'!G134=G$39,((G14/G$41)/'Total Retail'!G18)," ")</f>
        <v xml:space="preserve"> </v>
      </c>
      <c r="H55" s="132" t="str">
        <f>IF('Total Retail'!H134=H$39,((H14/H$41)/'Total Retail'!H18)," ")</f>
        <v xml:space="preserve"> </v>
      </c>
      <c r="I55" s="132">
        <f>IF('Total Retail'!I134=I$39,((I14/I$41)/'Total Retail'!I18)," ")</f>
        <v>0.73479178513065613</v>
      </c>
      <c r="J55" s="132">
        <f>IF('Total Retail'!J134=J$39,((J14/J$41)/'Total Retail'!J18)," ")</f>
        <v>0.70141879319510902</v>
      </c>
      <c r="K55" s="132" t="str">
        <f>IF('Total Retail'!K134=K$39,((K14/K$41)/'Total Retail'!K18)," ")</f>
        <v xml:space="preserve"> </v>
      </c>
      <c r="L55" s="132">
        <f>IF('Total Retail'!L134=L$39,((L14/L$41)/'Total Retail'!L18)," ")</f>
        <v>0.69914116273353</v>
      </c>
      <c r="M55" s="132">
        <f>IF('Total Retail'!M134=M$39,((M14/M$41)/'Total Retail'!M18)," ")</f>
        <v>0.59335449693719267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>
      <c r="A56" s="3">
        <v>85</v>
      </c>
      <c r="B56" s="131">
        <f>IF('Total Retail'!B135=B$39,((B15/B$41)/'Total Retail'!B19)," ")</f>
        <v>0.54644656644438683</v>
      </c>
      <c r="C56" s="132">
        <f>IF('Total Retail'!C135=C$39,((C15/C$41)/'Total Retail'!C19)," ")</f>
        <v>0.6168826891641932</v>
      </c>
      <c r="D56" s="132" t="str">
        <f>IF('Total Retail'!D135=D$39,((D15/D$41)/'Total Retail'!D19)," ")</f>
        <v xml:space="preserve"> </v>
      </c>
      <c r="E56" s="132">
        <f>IF('Total Retail'!E135=E$39,((E15/E$41)/'Total Retail'!E19)," ")</f>
        <v>0.71967175978002751</v>
      </c>
      <c r="F56" s="132">
        <f>IF('Total Retail'!F135=F$39,((F15/F$41)/'Total Retail'!F19)," ")</f>
        <v>0.69260771717233227</v>
      </c>
      <c r="G56" s="132">
        <f>IF('Total Retail'!G135=G$39,((G15/G$41)/'Total Retail'!G19)," ")</f>
        <v>0.66174099664991626</v>
      </c>
      <c r="H56" s="132">
        <f>IF('Total Retail'!H135=H$39,((H15/H$41)/'Total Retail'!H19)," ")</f>
        <v>0.69315571171009194</v>
      </c>
      <c r="I56" s="132" t="str">
        <f>IF('Total Retail'!I135=I$39,((I15/I$41)/'Total Retail'!I19)," ")</f>
        <v xml:space="preserve"> </v>
      </c>
      <c r="J56" s="132">
        <f>IF('Total Retail'!J135=J$39,((J15/J$41)/'Total Retail'!J19)," ")</f>
        <v>0.69810118401323618</v>
      </c>
      <c r="K56" s="132">
        <f>IF('Total Retail'!K135=K$39,((K15/K$41)/'Total Retail'!K19)," ")</f>
        <v>0.71172422790945211</v>
      </c>
      <c r="L56" s="132" t="str">
        <f>IF('Total Retail'!L135=L$39,((L15/L$41)/'Total Retail'!L19)," ")</f>
        <v xml:space="preserve"> </v>
      </c>
      <c r="M56" s="132" t="str">
        <f>IF('Total Retail'!M135=M$39,((M15/M$41)/'Total Retail'!M19)," ")</f>
        <v xml:space="preserve"> 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>
      <c r="A57" s="3">
        <v>86</v>
      </c>
      <c r="B57" s="131">
        <f>IF('Total Retail'!B136=B$39,((B16/B$41)/'Total Retail'!B20)," ")</f>
        <v>0.50798225682286624</v>
      </c>
      <c r="C57" s="132">
        <f>IF('Total Retail'!C136=C$39,((C16/C$41)/'Total Retail'!C20)," ")</f>
        <v>0.56177367576243986</v>
      </c>
      <c r="D57" s="132" t="str">
        <f>IF('Total Retail'!D136=D$39,((D16/D$41)/'Total Retail'!D20)," ")</f>
        <v xml:space="preserve"> </v>
      </c>
      <c r="E57" s="132" t="str">
        <f>IF('Total Retail'!E136=E$39,((E16/E$41)/'Total Retail'!E20)," ")</f>
        <v xml:space="preserve"> </v>
      </c>
      <c r="F57" s="132">
        <f>IF('Total Retail'!F136=F$39,((F16/F$41)/'Total Retail'!F20)," ")</f>
        <v>0.64796583898591198</v>
      </c>
      <c r="G57" s="132" t="str">
        <f>IF('Total Retail'!G136=G$39,((G16/G$41)/'Total Retail'!G20)," ")</f>
        <v xml:space="preserve"> </v>
      </c>
      <c r="H57" s="132" t="str">
        <f>IF('Total Retail'!H136=H$39,((H16/H$41)/'Total Retail'!H20)," ")</f>
        <v xml:space="preserve"> </v>
      </c>
      <c r="I57" s="132">
        <f>IF('Total Retail'!I136=I$39,((I16/I$41)/'Total Retail'!I20)," ")</f>
        <v>0.70163062072336269</v>
      </c>
      <c r="J57" s="132">
        <f>IF('Total Retail'!J136=J$39,((J16/J$41)/'Total Retail'!J20)," ")</f>
        <v>0.71997803975959318</v>
      </c>
      <c r="K57" s="132">
        <f>IF('Total Retail'!K136=K$39,((K16/K$41)/'Total Retail'!K20)," ")</f>
        <v>0.63533731103440072</v>
      </c>
      <c r="L57" s="132" t="str">
        <f>IF('Total Retail'!L136=L$39,((L16/L$41)/'Total Retail'!L20)," ")</f>
        <v xml:space="preserve"> </v>
      </c>
      <c r="M57" s="132" t="str">
        <f>IF('Total Retail'!M136=M$39,((M16/M$41)/'Total Retail'!M20)," ")</f>
        <v xml:space="preserve"> 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>
      <c r="A58" s="3">
        <v>87</v>
      </c>
      <c r="B58" s="131" t="str">
        <f>IF('Total Retail'!B137=B$39,((B17/B$41)/'Total Retail'!B21)," ")</f>
        <v xml:space="preserve"> </v>
      </c>
      <c r="C58" s="132">
        <f>IF('Total Retail'!C137=C$39,((C17/C$41)/'Total Retail'!C21)," ")</f>
        <v>0.5554236740992694</v>
      </c>
      <c r="D58" s="132" t="str">
        <f>IF('Total Retail'!D137=D$39,((D17/D$41)/'Total Retail'!D21)," ")</f>
        <v xml:space="preserve"> </v>
      </c>
      <c r="E58" s="132" t="str">
        <f>IF('Total Retail'!E137=E$39,((E17/E$41)/'Total Retail'!E21)," ")</f>
        <v xml:space="preserve"> </v>
      </c>
      <c r="F58" s="132">
        <f>IF('Total Retail'!F137=F$39,((F17/F$41)/'Total Retail'!F21)," ")</f>
        <v>0.70364670882360791</v>
      </c>
      <c r="G58" s="132">
        <f>IF('Total Retail'!G137=G$39,((G17/G$41)/'Total Retail'!G21)," ")</f>
        <v>0.72652512699117222</v>
      </c>
      <c r="H58" s="132">
        <f>IF('Total Retail'!H137=H$39,((H17/H$41)/'Total Retail'!H21)," ")</f>
        <v>0.70342880026513477</v>
      </c>
      <c r="I58" s="132" t="str">
        <f>IF('Total Retail'!I137=I$39,((I17/I$41)/'Total Retail'!I21)," ")</f>
        <v xml:space="preserve"> </v>
      </c>
      <c r="J58" s="132">
        <f>IF('Total Retail'!J137=J$39,((J17/J$41)/'Total Retail'!J21)," ")</f>
        <v>0.69614956706815656</v>
      </c>
      <c r="K58" s="132">
        <f>IF('Total Retail'!K137=K$39,((K17/K$41)/'Total Retail'!K21)," ")</f>
        <v>0.65649471321500341</v>
      </c>
      <c r="L58" s="132" t="str">
        <f>IF('Total Retail'!L137=L$39,((L17/L$41)/'Total Retail'!L21)," ")</f>
        <v xml:space="preserve"> </v>
      </c>
      <c r="M58" s="132">
        <f>IF('Total Retail'!M137=M$39,((M17/M$41)/'Total Retail'!M21)," ")</f>
        <v>0.58075547890965651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>
      <c r="A59" s="3">
        <v>88</v>
      </c>
      <c r="B59" s="131">
        <f>IF('Total Retail'!B138=B$39,((B18/B$41)/'Total Retail'!B22)," ")</f>
        <v>0.56132110317655748</v>
      </c>
      <c r="C59" s="132" t="str">
        <f>IF('Total Retail'!C138=C$39,((C18/C$41)/'Total Retail'!C22)," ")</f>
        <v xml:space="preserve"> </v>
      </c>
      <c r="D59" s="132" t="str">
        <f>IF('Total Retail'!D138=D$39,((D18/D$41)/'Total Retail'!D22)," ")</f>
        <v xml:space="preserve"> </v>
      </c>
      <c r="E59" s="132">
        <f>IF('Total Retail'!E138=E$39,((E18/E$41)/'Total Retail'!E22)," ")</f>
        <v>0.6673804973966988</v>
      </c>
      <c r="F59" s="132">
        <f>IF('Total Retail'!F138=F$39,((F18/F$41)/'Total Retail'!F22)," ")</f>
        <v>0.64018776100753017</v>
      </c>
      <c r="G59" s="132">
        <f>IF('Total Retail'!G138=G$39,((G18/G$41)/'Total Retail'!G22)," ")</f>
        <v>0.70790809033733559</v>
      </c>
      <c r="H59" s="132" t="str">
        <f>IF('Total Retail'!H138=H$39,((H18/H$41)/'Total Retail'!H22)," ")</f>
        <v xml:space="preserve"> </v>
      </c>
      <c r="I59" s="132">
        <f>IF('Total Retail'!I138=I$39,((I18/I$41)/'Total Retail'!I22)," ")</f>
        <v>0.70416072230588367</v>
      </c>
      <c r="J59" s="132">
        <f>IF('Total Retail'!J138=J$39,((J18/J$41)/'Total Retail'!J22)," ")</f>
        <v>0.72489334370433223</v>
      </c>
      <c r="K59" s="132">
        <f>IF('Total Retail'!K138=K$39,((K18/K$41)/'Total Retail'!K22)," ")</f>
        <v>0.6688751768874015</v>
      </c>
      <c r="L59" s="132" t="str">
        <f>IF('Total Retail'!L138=L$39,((L18/L$41)/'Total Retail'!L22)," ")</f>
        <v xml:space="preserve"> </v>
      </c>
      <c r="M59" s="132">
        <f>IF('Total Retail'!M138=M$39,((M18/M$41)/'Total Retail'!M22)," ")</f>
        <v>0.54636676089992764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>
      <c r="A60" s="3">
        <v>89</v>
      </c>
      <c r="B60" s="131">
        <f>IF('Total Retail'!B139=B$39,((B19/B$41)/'Total Retail'!B23)," ")</f>
        <v>0.69509228837559189</v>
      </c>
      <c r="C60" s="132">
        <f>IF('Total Retail'!C139=C$39,((C19/C$41)/'Total Retail'!C23)," ")</f>
        <v>0.56809129901960786</v>
      </c>
      <c r="D60" s="132" t="str">
        <f>IF('Total Retail'!D139=D$39,((D19/D$41)/'Total Retail'!D23)," ")</f>
        <v xml:space="preserve"> </v>
      </c>
      <c r="E60" s="132">
        <f>IF('Total Retail'!E139=E$39,((E19/E$41)/'Total Retail'!E23)," ")</f>
        <v>0.68349423708730539</v>
      </c>
      <c r="F60" s="132">
        <f>IF('Total Retail'!F139=F$39,((F19/F$41)/'Total Retail'!F23)," ")</f>
        <v>0.67147330220122825</v>
      </c>
      <c r="G60" s="132">
        <f>IF('Total Retail'!G139=G$39,((G19/G$41)/'Total Retail'!G23)," ")</f>
        <v>0.69394868449662961</v>
      </c>
      <c r="H60" s="132" t="str">
        <f>IF('Total Retail'!H139=H$39,((H19/H$41)/'Total Retail'!H23)," ")</f>
        <v xml:space="preserve"> </v>
      </c>
      <c r="I60" s="132">
        <f>IF('Total Retail'!I139=I$39,((I19/I$41)/'Total Retail'!I23)," ")</f>
        <v>0.70155448758430805</v>
      </c>
      <c r="J60" s="132" t="str">
        <f>IF('Total Retail'!J139=J$39,((J19/J$41)/'Total Retail'!J23)," ")</f>
        <v xml:space="preserve"> </v>
      </c>
      <c r="K60" s="132" t="str">
        <f>IF('Total Retail'!K139=K$39,((K19/K$41)/'Total Retail'!K23)," ")</f>
        <v xml:space="preserve"> </v>
      </c>
      <c r="L60" s="132" t="str">
        <f>IF('Total Retail'!L139=L$39,((L19/L$41)/'Total Retail'!L23)," ")</f>
        <v xml:space="preserve"> </v>
      </c>
      <c r="M60" s="132" t="str">
        <f>IF('Total Retail'!M139=M$39,((M19/M$41)/'Total Retail'!M23)," ")</f>
        <v xml:space="preserve"> 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>
      <c r="A61" s="3">
        <v>90</v>
      </c>
      <c r="B61" s="131" t="str">
        <f>IF('Total Retail'!B140=B$39,((B20/B$41)/'Total Retail'!B24)," ")</f>
        <v xml:space="preserve"> </v>
      </c>
      <c r="C61" s="132">
        <f>IF('Total Retail'!C140=C$39,((C20/C$41)/'Total Retail'!C24)," ")</f>
        <v>0.72941039969101196</v>
      </c>
      <c r="D61" s="132">
        <f>IF('Total Retail'!D140=D$39,((D20/D$41)/'Total Retail'!D24)," ")</f>
        <v>0.71492089333467601</v>
      </c>
      <c r="E61" s="132">
        <f>IF('Total Retail'!E140=E$39,((E20/E$41)/'Total Retail'!E24)," ")</f>
        <v>0.62992859246171962</v>
      </c>
      <c r="F61" s="132" t="str">
        <f>IF('Total Retail'!F140=F$39,((F20/F$41)/'Total Retail'!F24)," ")</f>
        <v xml:space="preserve"> </v>
      </c>
      <c r="G61" s="132" t="str">
        <f>IF('Total Retail'!G140=G$39,((G20/G$41)/'Total Retail'!G24)," ")</f>
        <v xml:space="preserve"> </v>
      </c>
      <c r="H61" s="132" t="str">
        <f>IF('Total Retail'!H140=H$39,((H20/H$41)/'Total Retail'!H24)," ")</f>
        <v xml:space="preserve"> </v>
      </c>
      <c r="I61" s="132">
        <f>IF('Total Retail'!I140=I$39,((I20/I$41)/'Total Retail'!I24)," ")</f>
        <v>0.71484813064845965</v>
      </c>
      <c r="J61" s="132">
        <f>IF('Total Retail'!J140=J$39,((J20/J$41)/'Total Retail'!J24)," ")</f>
        <v>0.71101125284542377</v>
      </c>
      <c r="K61" s="132">
        <f>IF('Total Retail'!K140=K$39,((K20/K$41)/'Total Retail'!K24)," ")</f>
        <v>0.66137240821237619</v>
      </c>
      <c r="L61" s="132" t="str">
        <f>IF('Total Retail'!L140=L$39,((L20/L$41)/'Total Retail'!L24)," ")</f>
        <v xml:space="preserve"> </v>
      </c>
      <c r="M61" s="132">
        <f>IF('Total Retail'!M140=M$39,((M20/M$41)/'Total Retail'!M24)," ")</f>
        <v>0.65842235640191982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>
      <c r="A62" s="3">
        <v>91</v>
      </c>
      <c r="B62" s="131">
        <f>IF('Total Retail'!B141=B$39,((B21/B$41)/'Total Retail'!B25)," ")</f>
        <v>0.62984001634522635</v>
      </c>
      <c r="C62" s="132" t="str">
        <f>IF('Total Retail'!C141=C$39,((C21/C$41)/'Total Retail'!C25)," ")</f>
        <v xml:space="preserve"> </v>
      </c>
      <c r="D62" s="132" t="str">
        <f>IF('Total Retail'!D141=D$39,((D21/D$41)/'Total Retail'!D25)," ")</f>
        <v xml:space="preserve"> </v>
      </c>
      <c r="E62" s="132">
        <f>IF('Total Retail'!E141=E$39,((E21/E$41)/'Total Retail'!E25)," ")</f>
        <v>0.63691974556773578</v>
      </c>
      <c r="F62" s="132">
        <f>IF('Total Retail'!F141=F$39,((F21/F$41)/'Total Retail'!F25)," ")</f>
        <v>0.70632588282260234</v>
      </c>
      <c r="G62" s="132" t="str">
        <f>IF('Total Retail'!G141=G$39,((G21/G$41)/'Total Retail'!G25)," ")</f>
        <v xml:space="preserve"> </v>
      </c>
      <c r="H62" s="132" t="str">
        <f>IF('Total Retail'!H141=H$39,((H21/H$41)/'Total Retail'!H25)," ")</f>
        <v xml:space="preserve"> </v>
      </c>
      <c r="I62" s="132">
        <f>IF('Total Retail'!I141=I$39,((I21/I$41)/'Total Retail'!I25)," ")</f>
        <v>0.7023261019698539</v>
      </c>
      <c r="J62" s="132">
        <f>IF('Total Retail'!J141=J$39,((J21/J$41)/'Total Retail'!J25)," ")</f>
        <v>0.69668641788535879</v>
      </c>
      <c r="K62" s="132" t="str">
        <f>IF('Total Retail'!K141=K$39,((K21/K$41)/'Total Retail'!K25)," ")</f>
        <v xml:space="preserve"> </v>
      </c>
      <c r="L62" s="132">
        <f>IF('Total Retail'!L141=L$39,((L21/L$41)/'Total Retail'!L25)," ")</f>
        <v>0.615736040609137</v>
      </c>
      <c r="M62" s="132">
        <f>IF('Total Retail'!M141=M$39,((M21/M$41)/'Total Retail'!M25)," ")</f>
        <v>0.62778546047541617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>
      <c r="A63" s="3">
        <v>92</v>
      </c>
      <c r="B63" s="131">
        <f>IF('Total Retail'!B142=B$39,((B22/B$41)/'Total Retail'!B26)," ")</f>
        <v>0.56377693038393561</v>
      </c>
      <c r="C63" s="132" t="str">
        <f>IF('Total Retail'!C142=C$39,((C22/C$41)/'Total Retail'!C26)," ")</f>
        <v xml:space="preserve"> </v>
      </c>
      <c r="D63" s="132" t="str">
        <f>IF('Total Retail'!D142=D$39,((D22/D$41)/'Total Retail'!D26)," ")</f>
        <v xml:space="preserve"> </v>
      </c>
      <c r="E63" s="132">
        <f>IF('Total Retail'!E142=E$39,((E22/E$41)/'Total Retail'!E26)," ")</f>
        <v>0.66718268404830483</v>
      </c>
      <c r="F63" s="132">
        <f>IF('Total Retail'!F142=F$39,((F22/F$41)/'Total Retail'!F26)," ")</f>
        <v>0.67053428543172577</v>
      </c>
      <c r="G63" s="132" t="str">
        <f>IF('Total Retail'!G142=G$39,((G22/G$41)/'Total Retail'!G26)," ")</f>
        <v xml:space="preserve"> </v>
      </c>
      <c r="H63" s="132" t="str">
        <f>IF('Total Retail'!H142=H$39,((H22/H$41)/'Total Retail'!H26)," ")</f>
        <v xml:space="preserve"> </v>
      </c>
      <c r="I63" s="132" t="str">
        <f>IF('Total Retail'!I142=I$39,((I22/I$41)/'Total Retail'!I26)," ")</f>
        <v xml:space="preserve"> </v>
      </c>
      <c r="J63" s="132" t="str">
        <f>IF('Total Retail'!J142=J$39,((J22/J$41)/'Total Retail'!J26)," ")</f>
        <v xml:space="preserve"> </v>
      </c>
      <c r="K63" s="132">
        <f>IF('Total Retail'!K142=K$39,((K22/K$41)/'Total Retail'!K26)," ")</f>
        <v>0.65464060256885626</v>
      </c>
      <c r="L63" s="132" t="str">
        <f>IF('Total Retail'!L142=L$39,((L22/L$41)/'Total Retail'!L26)," ")</f>
        <v xml:space="preserve"> </v>
      </c>
      <c r="M63" s="132">
        <f>IF('Total Retail'!M142=M$39,((M22/M$41)/'Total Retail'!M26)," ")</f>
        <v>0.65173320263767598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>
      <c r="A64" s="3">
        <v>93</v>
      </c>
      <c r="B64" s="131">
        <f>IF('Total Retail'!B143=B$39,((B23/B$41)/'Total Retail'!B27)," ")</f>
        <v>0.61844714273703094</v>
      </c>
      <c r="C64" s="132" t="str">
        <f>IF('Total Retail'!C143=C$39,((C23/C$41)/'Total Retail'!C27)," ")</f>
        <v xml:space="preserve"> </v>
      </c>
      <c r="D64" s="132" t="str">
        <f>IF('Total Retail'!D143=D$39,((D23/D$41)/'Total Retail'!D27)," ")</f>
        <v xml:space="preserve"> </v>
      </c>
      <c r="E64" s="132">
        <f>IF('Total Retail'!E143=E$39,((E23/E$41)/'Total Retail'!E27)," ")</f>
        <v>0.70906904237909829</v>
      </c>
      <c r="F64" s="132" t="str">
        <f>IF('Total Retail'!F143=F$39,((F23/F$41)/'Total Retail'!F27)," ")</f>
        <v xml:space="preserve"> </v>
      </c>
      <c r="G64" s="132" t="str">
        <f>IF('Total Retail'!G143=G$39,((G23/G$41)/'Total Retail'!G27)," ")</f>
        <v xml:space="preserve"> </v>
      </c>
      <c r="H64" s="132">
        <f>IF('Total Retail'!H143=H$39,((H23/H$41)/'Total Retail'!H27)," ")</f>
        <v>0.69921755510897887</v>
      </c>
      <c r="I64" s="132">
        <f>IF('Total Retail'!I143=I$39,((I23/I$41)/'Total Retail'!I27)," ")</f>
        <v>0.69045868584958303</v>
      </c>
      <c r="J64" s="132">
        <f>IF('Total Retail'!J143=J$39,((J23/J$41)/'Total Retail'!J27)," ")</f>
        <v>0.70368373481313329</v>
      </c>
      <c r="K64" s="132">
        <f>IF('Total Retail'!K143=K$39,((K23/K$41)/'Total Retail'!K27)," ")</f>
        <v>0.65423857250320816</v>
      </c>
      <c r="L64" s="132" t="str">
        <f>IF('Total Retail'!L143=L$39,((L23/L$41)/'Total Retail'!L27)," ")</f>
        <v xml:space="preserve"> </v>
      </c>
      <c r="M64" s="132" t="str">
        <f>IF('Total Retail'!M143=M$39,((M23/M$41)/'Total Retail'!M27)," ")</f>
        <v xml:space="preserve"> 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>
      <c r="A65" s="3">
        <v>94</v>
      </c>
      <c r="B65" s="131">
        <f>IF('Total Retail'!B144=B$39,((B24/B$41)/'Total Retail'!B28)," ")</f>
        <v>0.60050965028323333</v>
      </c>
      <c r="C65" s="132">
        <f>IF('Total Retail'!C144=C$39,((C24/C$41)/'Total Retail'!C28)," ")</f>
        <v>0.5536093560362676</v>
      </c>
      <c r="D65" s="132">
        <f>IF('Total Retail'!D144=D$39,((D24/D$41)/'Total Retail'!D28)," ")</f>
        <v>0.64070017769272825</v>
      </c>
      <c r="E65" s="132" t="str">
        <f>IF('Total Retail'!E144=E$39,((E24/E$41)/'Total Retail'!E28)," ")</f>
        <v xml:space="preserve"> </v>
      </c>
      <c r="F65" s="132">
        <f>IF('Total Retail'!F144=F$39,((F24/F$41)/'Total Retail'!F28)," ")</f>
        <v>0.68872749376427922</v>
      </c>
      <c r="G65" s="132">
        <f>IF('Total Retail'!G144=G$39,((G24/G$41)/'Total Retail'!G28)," ")</f>
        <v>0.69242263777939161</v>
      </c>
      <c r="H65" s="132">
        <f>IF('Total Retail'!H144=H$39,((H24/H$41)/'Total Retail'!H28)," ")</f>
        <v>0.68703789138854154</v>
      </c>
      <c r="I65" s="132">
        <f>IF('Total Retail'!I144=I$39,((I24/I$41)/'Total Retail'!I28)," ")</f>
        <v>0.70759636978736851</v>
      </c>
      <c r="J65" s="132">
        <f>IF('Total Retail'!J144=J$39,((J24/J$41)/'Total Retail'!J28)," ")</f>
        <v>0.68338819259821915</v>
      </c>
      <c r="K65" s="132">
        <f>IF('Total Retail'!K144=K$39,((K24/K$41)/'Total Retail'!K28)," ")</f>
        <v>0.67639764901871702</v>
      </c>
      <c r="L65" s="132" t="str">
        <f>IF('Total Retail'!L144=L$39,((L24/L$41)/'Total Retail'!L28)," ")</f>
        <v xml:space="preserve"> </v>
      </c>
      <c r="M65" s="132" t="str">
        <f>IF('Total Retail'!M144=M$39,((M24/M$41)/'Total Retail'!M28)," ")</f>
        <v xml:space="preserve"> 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>
      <c r="A66" s="3">
        <v>95</v>
      </c>
      <c r="B66" s="131">
        <f>IF('Total Retail'!B145=B$39,((B25/B$41)/'Total Retail'!B29)," ")</f>
        <v>0.5742802321957301</v>
      </c>
      <c r="C66" s="132">
        <f>IF('Total Retail'!C145=C$39,((C25/C$41)/'Total Retail'!C29)," ")</f>
        <v>0.50961347078263475</v>
      </c>
      <c r="D66" s="132" t="str">
        <f>IF('Total Retail'!D145=D$39,((D25/D$41)/'Total Retail'!D29)," ")</f>
        <v xml:space="preserve"> </v>
      </c>
      <c r="E66" s="132">
        <f>IF('Total Retail'!E145=E$39,((E25/E$41)/'Total Retail'!E29)," ")</f>
        <v>0.62941480149213958</v>
      </c>
      <c r="F66" s="132" t="str">
        <f>IF('Total Retail'!F145=F$39,((F25/F$41)/'Total Retail'!F29)," ")</f>
        <v xml:space="preserve"> </v>
      </c>
      <c r="G66" s="132">
        <f>IF('Total Retail'!G145=G$39,((G25/G$41)/'Total Retail'!G29)," ")</f>
        <v>0.67818552045122871</v>
      </c>
      <c r="H66" s="132">
        <f>IF('Total Retail'!H145=H$39,((H25/H$41)/'Total Retail'!H29)," ")</f>
        <v>0.69275673532302739</v>
      </c>
      <c r="I66" s="132" t="str">
        <f>IF('Total Retail'!I145=I$39,((I25/I$41)/'Total Retail'!I29)," ")</f>
        <v xml:space="preserve"> </v>
      </c>
      <c r="J66" s="132">
        <f>IF('Total Retail'!J145=J$39,((J25/J$41)/'Total Retail'!J29)," ")</f>
        <v>0.70803921568627448</v>
      </c>
      <c r="K66" s="132">
        <f>IF('Total Retail'!K145=K$39,((K25/K$41)/'Total Retail'!K29)," ")</f>
        <v>0.66860951841769256</v>
      </c>
      <c r="L66" s="132" t="str">
        <f>IF('Total Retail'!L145=L$39,((L25/L$41)/'Total Retail'!L29)," ")</f>
        <v xml:space="preserve"> </v>
      </c>
      <c r="M66" s="132">
        <f>IF('Total Retail'!M145=M$39,((M25/M$41)/'Total Retail'!M29)," ")</f>
        <v>0.61433871567111398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>
      <c r="A67" s="3">
        <v>96</v>
      </c>
      <c r="B67" s="131">
        <f>IF('Total Retail'!B146=B$39,((B26/B$41)/'Total Retail'!B30)," ")</f>
        <v>0.51434049408882776</v>
      </c>
      <c r="C67" s="132">
        <f>IF('Total Retail'!C146=C$39,((C26/C$41)/'Total Retail'!C30)," ")</f>
        <v>0.52681147063421008</v>
      </c>
      <c r="D67" s="132" t="str">
        <f>IF('Total Retail'!D146=D$39,((D26/D$41)/'Total Retail'!D30)," ")</f>
        <v xml:space="preserve"> </v>
      </c>
      <c r="E67" s="132" t="str">
        <f>IF('Total Retail'!E146=E$39,((E26/E$41)/'Total Retail'!E30)," ")</f>
        <v xml:space="preserve"> </v>
      </c>
      <c r="F67" s="132" t="str">
        <f>IF('Total Retail'!F146=F$39,((F26/F$41)/'Total Retail'!F30)," ")</f>
        <v xml:space="preserve"> </v>
      </c>
      <c r="G67" s="132" t="str">
        <f>IF('Total Retail'!G146=G$39,((G26/G$41)/'Total Retail'!G30)," ")</f>
        <v xml:space="preserve"> </v>
      </c>
      <c r="H67" s="132">
        <f>IF('Total Retail'!H146=H$39,((H26/H$41)/'Total Retail'!H30)," ")</f>
        <v>0.70545994022696534</v>
      </c>
      <c r="I67" s="132" t="str">
        <f>IF('Total Retail'!I146=I$39,((I26/I$41)/'Total Retail'!I30)," ")</f>
        <v xml:space="preserve"> </v>
      </c>
      <c r="J67" s="132">
        <f>IF('Total Retail'!J146=J$39,((J26/J$41)/'Total Retail'!J30)," ")</f>
        <v>0.66738232441908174</v>
      </c>
      <c r="K67" s="132" t="str">
        <f>IF('Total Retail'!K146=K$39,((K26/K$41)/'Total Retail'!K30)," ")</f>
        <v xml:space="preserve"> </v>
      </c>
      <c r="L67" s="132" t="str">
        <f>IF('Total Retail'!L146=L$39,((L26/L$41)/'Total Retail'!L30)," ")</f>
        <v xml:space="preserve"> </v>
      </c>
      <c r="M67" s="132">
        <f>IF('Total Retail'!M146=M$39,((M26/M$41)/'Total Retail'!M30)," ")</f>
        <v>0.53618783432841755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>
      <c r="A68" s="3">
        <v>97</v>
      </c>
      <c r="B68" s="131" t="str">
        <f>IF('Total Retail'!B147=B$39,((B27/B$41)/'Total Retail'!B31)," ")</f>
        <v xml:space="preserve"> </v>
      </c>
      <c r="C68" s="132">
        <f>IF('Total Retail'!C147=C$39,((C27/C$41)/'Total Retail'!C31)," ")</f>
        <v>0.67891630083531496</v>
      </c>
      <c r="D68" s="132" t="str">
        <f>IF('Total Retail'!D147=D$39,((D27/D$41)/'Total Retail'!D31)," ")</f>
        <v xml:space="preserve"> </v>
      </c>
      <c r="E68" s="132">
        <f>IF('Total Retail'!E147=E$39,((E27/E$41)/'Total Retail'!E31)," ")</f>
        <v>0.66392461964038729</v>
      </c>
      <c r="F68" s="132">
        <f>IF('Total Retail'!F147=F$39,((F27/F$41)/'Total Retail'!F31)," ")</f>
        <v>0.62627018592368855</v>
      </c>
      <c r="G68" s="132">
        <f>IF('Total Retail'!G147=G$39,((G27/G$41)/'Total Retail'!G31)," ")</f>
        <v>0.68959869302949051</v>
      </c>
      <c r="H68" s="132" t="str">
        <f>IF('Total Retail'!H147=H$39,((H27/H$41)/'Total Retail'!H31)," ")</f>
        <v xml:space="preserve"> </v>
      </c>
      <c r="I68" s="132">
        <f>IF('Total Retail'!I147=I$39,((I27/I$41)/'Total Retail'!I31)," ")</f>
        <v>0.71195616768547565</v>
      </c>
      <c r="J68" s="132">
        <f>IF('Total Retail'!J147=J$39,((J27/J$41)/'Total Retail'!J31)," ")</f>
        <v>0.71109493911719945</v>
      </c>
      <c r="K68" s="132">
        <f>IF('Total Retail'!K147=K$39,((K27/K$41)/'Total Retail'!K31)," ")</f>
        <v>0.65420387128907742</v>
      </c>
      <c r="L68" s="132">
        <f>IF('Total Retail'!L147=L$39,((L27/L$41)/'Total Retail'!L31)," ")</f>
        <v>0.729311922954473</v>
      </c>
      <c r="M68" s="132" t="str">
        <f>IF('Total Retail'!M147=M$39,((M27/M$41)/'Total Retail'!M31)," ")</f>
        <v xml:space="preserve"> 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>
      <c r="A69" s="3">
        <v>98</v>
      </c>
      <c r="B69" s="131">
        <f>IF('Total Retail'!B148=B$39,((B28/B$41)/'Total Retail'!B32)," ")</f>
        <v>0.68573017244532219</v>
      </c>
      <c r="C69" s="132">
        <f>IF('Total Retail'!C148=C$39,((C28/C$41)/'Total Retail'!C32)," ")</f>
        <v>0.64937610840691273</v>
      </c>
      <c r="D69" s="132" t="str">
        <f>IF('Total Retail'!D148=D$39,((D28/D$41)/'Total Retail'!D32)," ")</f>
        <v xml:space="preserve"> </v>
      </c>
      <c r="E69" s="132" t="str">
        <f>IF('Total Retail'!E148=E$39,((E28/E$41)/'Total Retail'!E32)," ")</f>
        <v xml:space="preserve"> </v>
      </c>
      <c r="F69" s="132" t="str">
        <f>IF('Total Retail'!F148=F$39,((F28/F$41)/'Total Retail'!F32)," ")</f>
        <v xml:space="preserve"> </v>
      </c>
      <c r="G69" s="132">
        <f>IF('Total Retail'!G148=G$39,((G28/G$41)/'Total Retail'!G32)," ")</f>
        <v>0.74825395591487009</v>
      </c>
      <c r="H69" s="132" t="str">
        <f>IF('Total Retail'!H148=H$39,((H28/H$41)/'Total Retail'!H32)," ")</f>
        <v xml:space="preserve"> </v>
      </c>
      <c r="I69" s="132" t="str">
        <f>IF('Total Retail'!I148=I$39,((I28/I$41)/'Total Retail'!I32)," ")</f>
        <v xml:space="preserve"> </v>
      </c>
      <c r="J69" s="132" t="str">
        <f>IF('Total Retail'!J148=J$39,((J28/J$41)/'Total Retail'!J32)," ")</f>
        <v xml:space="preserve"> </v>
      </c>
      <c r="K69" s="132">
        <f>IF('Total Retail'!K148=K$39,((K28/K$41)/'Total Retail'!K32)," ")</f>
        <v>0.66416190078396087</v>
      </c>
      <c r="L69" s="132" t="str">
        <f>IF('Total Retail'!L148=L$39,((L28/L$41)/'Total Retail'!L32)," ")</f>
        <v xml:space="preserve"> </v>
      </c>
      <c r="M69" s="132">
        <f>IF('Total Retail'!M148=M$39,((M28/M$41)/'Total Retail'!M32)," ")</f>
        <v>0.70829794762915788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>
      <c r="A70" s="3">
        <v>99</v>
      </c>
      <c r="B70" s="131">
        <f>IF('Total Retail'!B149=B$39,((B29/B$41)/'Total Retail'!B33)," ")</f>
        <v>0.49199186530278799</v>
      </c>
      <c r="C70" s="132">
        <f>IF('Total Retail'!C149=C$39,((C29/C$41)/'Total Retail'!C33)," ")</f>
        <v>0.61473394363245848</v>
      </c>
      <c r="D70" s="132" t="str">
        <f>IF('Total Retail'!D149=D$39,((D29/D$41)/'Total Retail'!D33)," ")</f>
        <v xml:space="preserve"> </v>
      </c>
      <c r="E70" s="132" t="str">
        <f>IF('Total Retail'!E149=E$39,((E29/E$41)/'Total Retail'!E33)," ")</f>
        <v xml:space="preserve"> </v>
      </c>
      <c r="F70" s="132">
        <f>IF('Total Retail'!F149=F$39,((F29/F$41)/'Total Retail'!F33)," ")</f>
        <v>0.66821657021583436</v>
      </c>
      <c r="G70" s="132">
        <f>IF('Total Retail'!G149=G$39,((G29/G$41)/'Total Retail'!G33)," ")</f>
        <v>0.71318847763824622</v>
      </c>
      <c r="H70" s="132">
        <f>IF('Total Retail'!H149=H$39,((H29/H$41)/'Total Retail'!H33)," ")</f>
        <v>0.68300338450576503</v>
      </c>
      <c r="I70" s="132">
        <f>IF('Total Retail'!I149=I$39,((I29/I$41)/'Total Retail'!I33)," ")</f>
        <v>0.69228521728593473</v>
      </c>
      <c r="J70" s="132">
        <f>IF('Total Retail'!J149=J$39,((J29/J$41)/'Total Retail'!J33)," ")</f>
        <v>0.7024602006324282</v>
      </c>
      <c r="K70" s="132">
        <f>IF('Total Retail'!K149=K$39,((K29/K$41)/'Total Retail'!K33)," ")</f>
        <v>0.66495001442804202</v>
      </c>
      <c r="L70" s="132" t="str">
        <f>IF('Total Retail'!L149=L$39,((L29/L$41)/'Total Retail'!L33)," ")</f>
        <v xml:space="preserve"> </v>
      </c>
      <c r="M70" s="132">
        <f>IF('Total Retail'!M149=M$39,((M29/M$41)/'Total Retail'!M33)," ")</f>
        <v>0.6567204301075269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>
      <c r="A71" s="10" t="s">
        <v>60</v>
      </c>
      <c r="B71" s="131">
        <f>IF('Total Retail'!B150=B$39,((B30/B$41)/'Total Retail'!B34)," ")</f>
        <v>0.52187984223130013</v>
      </c>
      <c r="C71" s="132" t="str">
        <f>IF('Total Retail'!C150=C$39,((C30/C$41)/'Total Retail'!C34)," ")</f>
        <v xml:space="preserve"> </v>
      </c>
      <c r="D71" s="132" t="str">
        <f>IF('Total Retail'!D150=D$39,((D30/D$41)/'Total Retail'!D34)," ")</f>
        <v xml:space="preserve"> </v>
      </c>
      <c r="E71" s="132">
        <f>IF('Total Retail'!E150=E$39,((E30/E$41)/'Total Retail'!E34)," ")</f>
        <v>0.69488092128178336</v>
      </c>
      <c r="F71" s="132">
        <f>IF('Total Retail'!F150=F$39,((F30/F$41)/'Total Retail'!F34)," ")</f>
        <v>0.69440648547963768</v>
      </c>
      <c r="G71" s="132">
        <f>IF('Total Retail'!G150=G$39,((G30/G$41)/'Total Retail'!G34)," ")</f>
        <v>0.70533941105974995</v>
      </c>
      <c r="H71" s="132">
        <f>IF('Total Retail'!H150=H$39,((H30/H$41)/'Total Retail'!H34)," ")</f>
        <v>0.6932385329026941</v>
      </c>
      <c r="I71" s="132">
        <f>IF('Total Retail'!I150=I$39,((I30/I$41)/'Total Retail'!I34)," ")</f>
        <v>0.70794471627292233</v>
      </c>
      <c r="J71" s="132">
        <f>IF('Total Retail'!J150=J$39,((J30/J$41)/'Total Retail'!J34)," ")</f>
        <v>0.71139370634183274</v>
      </c>
      <c r="K71" s="132" t="str">
        <f>IF('Total Retail'!K150=K$39,((K30/K$41)/'Total Retail'!K34)," ")</f>
        <v xml:space="preserve"> </v>
      </c>
      <c r="L71" s="132">
        <f>IF('Total Retail'!L150=L$39,((L30/L$41)/'Total Retail'!L34)," ")</f>
        <v>0.67755557676806244</v>
      </c>
      <c r="M71" s="132">
        <f>IF('Total Retail'!M150=M$39,((M30/M$41)/'Total Retail'!M34)," ")</f>
        <v>0.58850398295605166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3" spans="1:42">
      <c r="A73" s="3" t="s">
        <v>176</v>
      </c>
      <c r="B73" s="133">
        <f t="shared" ref="B73:M73" si="12">AVERAGE(B44:B71)</f>
        <v>0.60774050944763891</v>
      </c>
      <c r="C73" s="133">
        <f t="shared" si="12"/>
        <v>0.62847332866489714</v>
      </c>
      <c r="D73" s="133">
        <f t="shared" si="12"/>
        <v>0.72388548686896625</v>
      </c>
      <c r="E73" s="133">
        <f t="shared" si="12"/>
        <v>0.68093092146867606</v>
      </c>
      <c r="F73" s="133">
        <f t="shared" si="12"/>
        <v>0.68461574729052976</v>
      </c>
      <c r="G73" s="133">
        <f t="shared" si="12"/>
        <v>0.71292811402726786</v>
      </c>
      <c r="H73" s="133">
        <f t="shared" si="12"/>
        <v>0.71713765299409571</v>
      </c>
      <c r="I73" s="133">
        <f t="shared" si="12"/>
        <v>0.72299897285631753</v>
      </c>
      <c r="J73" s="133">
        <f t="shared" si="12"/>
        <v>0.71038853655359568</v>
      </c>
      <c r="K73" s="133">
        <f t="shared" si="12"/>
        <v>0.67717336975835607</v>
      </c>
      <c r="L73" s="133">
        <f t="shared" si="12"/>
        <v>0.67513594212564065</v>
      </c>
      <c r="M73" s="133">
        <f t="shared" si="12"/>
        <v>0.62496882191904479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>
      <c r="A74" s="3" t="s">
        <v>177</v>
      </c>
      <c r="B74" s="133">
        <f t="shared" ref="B74:M74" si="13">AVERAGE(B51:B60)</f>
        <v>0.59363641265959977</v>
      </c>
      <c r="C74" s="133">
        <f t="shared" si="13"/>
        <v>0.58740917471272613</v>
      </c>
      <c r="D74" s="133" t="e">
        <f t="shared" si="13"/>
        <v>#DIV/0!</v>
      </c>
      <c r="E74" s="133">
        <f t="shared" si="13"/>
        <v>0.69652113025556928</v>
      </c>
      <c r="F74" s="133">
        <f t="shared" si="13"/>
        <v>0.67334129005179111</v>
      </c>
      <c r="G74" s="133">
        <f t="shared" si="13"/>
        <v>0.7116933938975083</v>
      </c>
      <c r="H74" s="133">
        <f t="shared" si="13"/>
        <v>0.70326867582610153</v>
      </c>
      <c r="I74" s="133">
        <f t="shared" si="13"/>
        <v>0.71745480002499684</v>
      </c>
      <c r="J74" s="133">
        <f t="shared" si="13"/>
        <v>0.70530207558024327</v>
      </c>
      <c r="K74" s="133">
        <f t="shared" si="13"/>
        <v>0.67606729848248603</v>
      </c>
      <c r="L74" s="133">
        <f t="shared" si="13"/>
        <v>0.67607070414072401</v>
      </c>
      <c r="M74" s="133">
        <f t="shared" si="13"/>
        <v>0.58064410064987371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>
      <c r="A75" s="3" t="s">
        <v>178</v>
      </c>
      <c r="B75" s="133">
        <f t="shared" ref="B75:M75" si="14">AVERAGE(B61:B70)</f>
        <v>0.58486456297276179</v>
      </c>
      <c r="C75" s="133">
        <f t="shared" si="14"/>
        <v>0.60892443571697297</v>
      </c>
      <c r="D75" s="133">
        <f t="shared" si="14"/>
        <v>0.67781053551370207</v>
      </c>
      <c r="E75" s="133">
        <f t="shared" si="14"/>
        <v>0.65607324759823082</v>
      </c>
      <c r="F75" s="133">
        <f t="shared" si="14"/>
        <v>0.67201488363162598</v>
      </c>
      <c r="G75" s="133">
        <f t="shared" si="14"/>
        <v>0.7043298569626455</v>
      </c>
      <c r="H75" s="133">
        <f t="shared" si="14"/>
        <v>0.69349510131065573</v>
      </c>
      <c r="I75" s="133">
        <f t="shared" si="14"/>
        <v>0.70324511220444597</v>
      </c>
      <c r="J75" s="133">
        <f t="shared" si="14"/>
        <v>0.69796828474963979</v>
      </c>
      <c r="K75" s="133">
        <f t="shared" si="14"/>
        <v>0.6623218171527413</v>
      </c>
      <c r="L75" s="133">
        <f t="shared" si="14"/>
        <v>0.67252398178180495</v>
      </c>
      <c r="M75" s="133">
        <f t="shared" si="14"/>
        <v>0.63621227817874693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>
      <c r="A76" s="3"/>
      <c r="B76" s="134">
        <v>0.52</v>
      </c>
      <c r="C76" s="134">
        <v>0.52</v>
      </c>
      <c r="D76" s="134">
        <v>0.59</v>
      </c>
      <c r="E76" s="134">
        <v>0.66</v>
      </c>
      <c r="F76" s="134">
        <v>0.63</v>
      </c>
      <c r="G76" s="134">
        <v>0.68</v>
      </c>
      <c r="H76" s="134">
        <v>0.69</v>
      </c>
      <c r="I76" s="134">
        <v>0.68</v>
      </c>
      <c r="J76" s="134">
        <v>0.75</v>
      </c>
      <c r="K76" s="134">
        <v>0.7</v>
      </c>
      <c r="L76" s="134">
        <v>0.65</v>
      </c>
      <c r="M76" s="134">
        <v>0.57999999999999996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>
      <c r="A77" s="3"/>
      <c r="B77" s="134">
        <v>0.5</v>
      </c>
      <c r="C77" s="134">
        <v>0.49</v>
      </c>
      <c r="D77" s="134">
        <v>0.62</v>
      </c>
      <c r="E77" s="134">
        <v>0.66</v>
      </c>
      <c r="F77" s="134">
        <v>0.66</v>
      </c>
      <c r="G77" s="134">
        <v>0.68</v>
      </c>
      <c r="H77" s="134">
        <v>0.7</v>
      </c>
      <c r="I77" s="134">
        <v>0.7</v>
      </c>
      <c r="J77" s="134">
        <v>0.68</v>
      </c>
      <c r="K77" s="134">
        <v>0.65</v>
      </c>
      <c r="L77" s="134">
        <v>0.6</v>
      </c>
      <c r="M77" s="134">
        <v>0.56000000000000005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81" spans="1:42">
      <c r="A81" s="84" t="s">
        <v>179</v>
      </c>
      <c r="B81" s="10" t="s">
        <v>4</v>
      </c>
      <c r="C81" s="10" t="s">
        <v>8</v>
      </c>
      <c r="D81" s="10" t="s">
        <v>9</v>
      </c>
      <c r="E81" s="10" t="s">
        <v>10</v>
      </c>
      <c r="F81" s="10" t="s">
        <v>11</v>
      </c>
      <c r="G81" s="10" t="s">
        <v>12</v>
      </c>
      <c r="H81" s="10" t="s">
        <v>13</v>
      </c>
      <c r="I81" s="10" t="s">
        <v>15</v>
      </c>
      <c r="J81" s="10" t="s">
        <v>16</v>
      </c>
      <c r="K81" s="10" t="s">
        <v>17</v>
      </c>
      <c r="L81" s="10" t="s">
        <v>18</v>
      </c>
      <c r="M81" s="10" t="s">
        <v>19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>
      <c r="A82" s="3">
        <v>73</v>
      </c>
      <c r="B82" s="129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>
      <c r="A83" s="3">
        <v>74</v>
      </c>
      <c r="B83" s="131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>
      <c r="A84" s="3">
        <v>75</v>
      </c>
      <c r="B84" s="131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>
      <c r="A85" s="3">
        <v>76</v>
      </c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>
      <c r="A86" s="3">
        <v>77</v>
      </c>
      <c r="B86" s="131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>
      <c r="A87" s="3">
        <v>78</v>
      </c>
      <c r="B87" s="131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>
      <c r="A88" s="3">
        <v>79</v>
      </c>
      <c r="B88" s="131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>
      <c r="A89" s="3">
        <v>80</v>
      </c>
      <c r="B89" s="131">
        <f>IF('Total Retail'!B130=B$39,((B10/B$41)/'Firm Retail'!B13)," ")</f>
        <v>0.73723768381635912</v>
      </c>
      <c r="C89" s="132" t="str">
        <f>IF('Total Retail'!C130=C$39,((C10/C$41)/'Firm Retail'!C13)," ")</f>
        <v xml:space="preserve"> </v>
      </c>
      <c r="D89" s="132" t="str">
        <f>IF('Total Retail'!D130=D$39,((D10/D$41)/'Firm Retail'!D13)," ")</f>
        <v xml:space="preserve"> </v>
      </c>
      <c r="E89" s="132" t="str">
        <f>IF('Total Retail'!E130=E$39,((E10/E$41)/'Firm Retail'!E13)," ")</f>
        <v xml:space="preserve"> </v>
      </c>
      <c r="F89" s="132" t="str">
        <f>IF('Total Retail'!F130=F$39,((F10/F$41)/'Firm Retail'!F13)," ")</f>
        <v xml:space="preserve"> </v>
      </c>
      <c r="G89" s="132">
        <f>IF('Total Retail'!G130=G$39,((G10/G$41)/'Firm Retail'!G13)," ")</f>
        <v>0.88476565269800744</v>
      </c>
      <c r="H89" s="132" t="str">
        <f>IF('Total Retail'!H130=H$39,((H10/H$41)/'Firm Retail'!H13)," ")</f>
        <v xml:space="preserve"> </v>
      </c>
      <c r="I89" s="132">
        <f>IF('Total Retail'!I130=I$39,((I10/I$41)/'Firm Retail'!I13)," ")</f>
        <v>0.83600667515891747</v>
      </c>
      <c r="J89" s="132">
        <f>IF('Total Retail'!J130=J$39,((J10/J$41)/'Firm Retail'!J13)," ")</f>
        <v>0.83986170429123452</v>
      </c>
      <c r="K89" s="132" t="str">
        <f>IF('Total Retail'!K130=K$39,((K10/K$41)/'Firm Retail'!K13)," ")</f>
        <v xml:space="preserve"> </v>
      </c>
      <c r="L89" s="132" t="str">
        <f>IF('Total Retail'!L130=L$39,((L10/L$41)/'Firm Retail'!L13)," ")</f>
        <v xml:space="preserve"> </v>
      </c>
      <c r="M89" s="132" t="str">
        <f>IF('Total Retail'!M130=M$39,((M10/M$41)/'Firm Retail'!M13)," ")</f>
        <v xml:space="preserve"> 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>
      <c r="A90" s="3">
        <v>81</v>
      </c>
      <c r="B90" s="131">
        <f>IF('Total Retail'!B131=B$39,((B11/B$41)/'Firm Retail'!B14)," ")</f>
        <v>0.69288468668891356</v>
      </c>
      <c r="C90" s="132" t="str">
        <f>IF('Total Retail'!C131=C$39,((C11/C$41)/'Firm Retail'!C14)," ")</f>
        <v xml:space="preserve"> </v>
      </c>
      <c r="D90" s="132" t="str">
        <f>IF('Total Retail'!D131=D$39,((D11/D$41)/'Firm Retail'!D14)," ")</f>
        <v xml:space="preserve"> </v>
      </c>
      <c r="E90" s="132" t="str">
        <f>IF('Total Retail'!E131=E$39,((E11/E$41)/'Firm Retail'!E14)," ")</f>
        <v xml:space="preserve"> </v>
      </c>
      <c r="F90" s="132" t="str">
        <f>IF('Total Retail'!F131=F$39,((F11/F$41)/'Firm Retail'!F14)," ")</f>
        <v xml:space="preserve"> </v>
      </c>
      <c r="G90" s="132">
        <f>IF('Total Retail'!G131=G$39,((G11/G$41)/'Firm Retail'!G14)," ")</f>
        <v>0.78568656316916485</v>
      </c>
      <c r="H90" s="132" t="str">
        <f>IF('Total Retail'!H131=H$39,((H11/H$41)/'Firm Retail'!H14)," ")</f>
        <v xml:space="preserve"> </v>
      </c>
      <c r="I90" s="132" t="str">
        <f>IF('Total Retail'!I131=I$39,((I11/I$41)/'Firm Retail'!I14)," ")</f>
        <v xml:space="preserve"> </v>
      </c>
      <c r="J90" s="132" t="str">
        <f>IF('Total Retail'!J131=J$39,((J11/J$41)/'Firm Retail'!J14)," ")</f>
        <v xml:space="preserve"> </v>
      </c>
      <c r="K90" s="132" t="str">
        <f>IF('Total Retail'!K131=K$39,((K11/K$41)/'Firm Retail'!K14)," ")</f>
        <v xml:space="preserve"> </v>
      </c>
      <c r="L90" s="132">
        <f>IF('Total Retail'!L131=L$39,((L11/L$41)/'Firm Retail'!L14)," ")</f>
        <v>0.71309055118110232</v>
      </c>
      <c r="M90" s="132">
        <f>IF('Total Retail'!M131=M$39,((M11/M$41)/'Firm Retail'!M14)," ")</f>
        <v>0.65850551690210135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>
      <c r="A91" s="3">
        <v>82</v>
      </c>
      <c r="B91" s="131">
        <f>IF('Total Retail'!B132=B$39,((B12/B$41)/'Firm Retail'!B15)," ")</f>
        <v>0.58738073602907759</v>
      </c>
      <c r="C91" s="132" t="str">
        <f>IF('Total Retail'!C132=C$39,((C12/C$41)/'Firm Retail'!C15)," ")</f>
        <v xml:space="preserve"> </v>
      </c>
      <c r="D91" s="132" t="str">
        <f>IF('Total Retail'!D132=D$39,((D12/D$41)/'Firm Retail'!D15)," ")</f>
        <v xml:space="preserve"> </v>
      </c>
      <c r="E91" s="132" t="str">
        <f>IF('Total Retail'!E132=E$39,((E12/E$41)/'Firm Retail'!E15)," ")</f>
        <v xml:space="preserve"> </v>
      </c>
      <c r="F91" s="132">
        <f>IF('Total Retail'!F132=F$39,((F12/F$41)/'Firm Retail'!F15)," ")</f>
        <v>0.7363578769041218</v>
      </c>
      <c r="G91" s="132">
        <f>IF('Total Retail'!G132=G$39,((G12/G$41)/'Firm Retail'!G15)," ")</f>
        <v>0.76912430759204953</v>
      </c>
      <c r="H91" s="132">
        <f>IF('Total Retail'!H132=H$39,((H12/H$41)/'Firm Retail'!H15)," ")</f>
        <v>0.79442718095426001</v>
      </c>
      <c r="I91" s="132" t="str">
        <f>IF('Total Retail'!I132=I$39,((I12/I$41)/'Firm Retail'!I15)," ")</f>
        <v xml:space="preserve"> </v>
      </c>
      <c r="J91" s="132">
        <f>IF('Total Retail'!J132=J$39,((J12/J$41)/'Firm Retail'!J15)," ")</f>
        <v>0.74556234989255465</v>
      </c>
      <c r="K91" s="132" t="str">
        <f>IF('Total Retail'!K132=K$39,((K12/K$41)/'Firm Retail'!K15)," ")</f>
        <v xml:space="preserve"> </v>
      </c>
      <c r="L91" s="132" t="str">
        <f>IF('Total Retail'!L132=L$39,((L12/L$41)/'Firm Retail'!L15)," ")</f>
        <v xml:space="preserve"> </v>
      </c>
      <c r="M91" s="132" t="str">
        <f>IF('Total Retail'!M132=M$39,((M12/M$41)/'Firm Retail'!M15)," ")</f>
        <v xml:space="preserve"> 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>
      <c r="A92" s="3">
        <v>83</v>
      </c>
      <c r="B92" s="131">
        <f>IF('Total Retail'!B133=B$39,((B13/B$41)/'Firm Retail'!B16)," ")</f>
        <v>0.66615666900296877</v>
      </c>
      <c r="C92" s="132">
        <f>IF('Total Retail'!C133=C$39,((C13/C$41)/'Firm Retail'!C16)," ")</f>
        <v>0.66272058630295383</v>
      </c>
      <c r="D92" s="132" t="str">
        <f>IF('Total Retail'!D133=D$39,((D13/D$41)/'Firm Retail'!D16)," ")</f>
        <v xml:space="preserve"> </v>
      </c>
      <c r="E92" s="132">
        <f>IF('Total Retail'!E133=E$39,((E13/E$41)/'Firm Retail'!E16)," ")</f>
        <v>0.8011755988143876</v>
      </c>
      <c r="F92" s="132">
        <f>IF('Total Retail'!F133=F$39,((F13/F$41)/'Firm Retail'!F16)," ")</f>
        <v>0.77467721570544146</v>
      </c>
      <c r="G92" s="132">
        <f>IF('Total Retail'!G133=G$39,((G13/G$41)/'Firm Retail'!G16)," ")</f>
        <v>0.79737085480248382</v>
      </c>
      <c r="H92" s="132">
        <f>IF('Total Retail'!H133=H$39,((H13/H$41)/'Firm Retail'!H16)," ")</f>
        <v>0.77399821659899037</v>
      </c>
      <c r="I92" s="132" t="str">
        <f>IF('Total Retail'!I133=I$39,((I13/I$41)/'Firm Retail'!I16)," ")</f>
        <v xml:space="preserve"> </v>
      </c>
      <c r="J92" s="132">
        <f>IF('Total Retail'!J133=J$39,((J13/J$41)/'Firm Retail'!J16)," ")</f>
        <v>0.73416995929118778</v>
      </c>
      <c r="K92" s="132">
        <f>IF('Total Retail'!K133=K$39,((K13/K$41)/'Firm Retail'!K16)," ")</f>
        <v>0.8000870934244465</v>
      </c>
      <c r="L92" s="132">
        <f>IF('Total Retail'!L133=L$39,((L13/L$41)/'Firm Retail'!L16)," ")</f>
        <v>0.76270865504816532</v>
      </c>
      <c r="M92" s="132" t="str">
        <f>IF('Total Retail'!M133=M$39,((M13/M$41)/'Firm Retail'!M16)," ")</f>
        <v xml:space="preserve"> 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>
      <c r="A93" s="3">
        <v>84</v>
      </c>
      <c r="B93" s="131" t="str">
        <f>IF('Total Retail'!B134=B$39,((B14/B$41)/'Firm Retail'!B17)," ")</f>
        <v xml:space="preserve"> </v>
      </c>
      <c r="C93" s="132">
        <f>IF('Total Retail'!C134=C$39,((C14/C$41)/'Firm Retail'!C17)," ")</f>
        <v>0.65754137158118131</v>
      </c>
      <c r="D93" s="132" t="str">
        <f>IF('Total Retail'!D134=D$39,((D14/D$41)/'Firm Retail'!D17)," ")</f>
        <v xml:space="preserve"> </v>
      </c>
      <c r="E93" s="132" t="str">
        <f>IF('Total Retail'!E134=E$39,((E14/E$41)/'Firm Retail'!E17)," ")</f>
        <v xml:space="preserve"> </v>
      </c>
      <c r="F93" s="132" t="str">
        <f>IF('Total Retail'!F134=F$39,((F14/F$41)/'Firm Retail'!F17)," ")</f>
        <v xml:space="preserve"> </v>
      </c>
      <c r="G93" s="132" t="str">
        <f>IF('Total Retail'!G134=G$39,((G14/G$41)/'Firm Retail'!G17)," ")</f>
        <v xml:space="preserve"> </v>
      </c>
      <c r="H93" s="132" t="str">
        <f>IF('Total Retail'!H134=H$39,((H14/H$41)/'Firm Retail'!H17)," ")</f>
        <v xml:space="preserve"> </v>
      </c>
      <c r="I93" s="132">
        <f>IF('Total Retail'!I134=I$39,((I14/I$41)/'Firm Retail'!I17)," ")</f>
        <v>0.82698549972613788</v>
      </c>
      <c r="J93" s="132">
        <f>IF('Total Retail'!J134=J$39,((J14/J$41)/'Firm Retail'!J17)," ")</f>
        <v>0.79027777777777786</v>
      </c>
      <c r="K93" s="132" t="str">
        <f>IF('Total Retail'!K134=K$39,((K14/K$41)/'Firm Retail'!K17)," ")</f>
        <v xml:space="preserve"> </v>
      </c>
      <c r="L93" s="132">
        <f>IF('Total Retail'!L134=L$39,((L14/L$41)/'Firm Retail'!L17)," ")</f>
        <v>0.78904320987654319</v>
      </c>
      <c r="M93" s="132">
        <f>IF('Total Retail'!M134=M$39,((M14/M$41)/'Firm Retail'!M17)," ")</f>
        <v>0.66780954663542058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>
      <c r="A94" s="3">
        <v>85</v>
      </c>
      <c r="B94" s="131">
        <f>IF('Total Retail'!B135=B$39,((B15/B$41)/'Firm Retail'!B18)," ")</f>
        <v>0.59183967520756775</v>
      </c>
      <c r="C94" s="132">
        <f>IF('Total Retail'!C135=C$39,((C15/C$41)/'Firm Retail'!C18)," ")</f>
        <v>0.69825065123186292</v>
      </c>
      <c r="D94" s="132" t="str">
        <f>IF('Total Retail'!D135=D$39,((D15/D$41)/'Firm Retail'!D18)," ")</f>
        <v xml:space="preserve"> </v>
      </c>
      <c r="E94" s="132">
        <f>IF('Total Retail'!E135=E$39,((E15/E$41)/'Firm Retail'!E18)," ")</f>
        <v>0.84852545682287062</v>
      </c>
      <c r="F94" s="132">
        <f>IF('Total Retail'!F135=F$39,((F15/F$41)/'Firm Retail'!F18)," ")</f>
        <v>0.77611620977692863</v>
      </c>
      <c r="G94" s="132">
        <f>IF('Total Retail'!G135=G$39,((G15/G$41)/'Firm Retail'!G18)," ")</f>
        <v>0.75645643848731448</v>
      </c>
      <c r="H94" s="132">
        <f>IF('Total Retail'!H135=H$39,((H15/H$41)/'Firm Retail'!H18)," ")</f>
        <v>0.77889574494354274</v>
      </c>
      <c r="I94" s="132" t="str">
        <f>IF('Total Retail'!I135=I$39,((I15/I$41)/'Firm Retail'!I18)," ")</f>
        <v xml:space="preserve"> </v>
      </c>
      <c r="J94" s="132">
        <f>IF('Total Retail'!J135=J$39,((J15/J$41)/'Firm Retail'!J18)," ")</f>
        <v>0.77211499971407327</v>
      </c>
      <c r="K94" s="132">
        <f>IF('Total Retail'!K135=K$39,((K15/K$41)/'Firm Retail'!K18)," ")</f>
        <v>0.81828625319313253</v>
      </c>
      <c r="L94" s="132" t="str">
        <f>IF('Total Retail'!L135=L$39,((L15/L$41)/'Firm Retail'!L18)," ")</f>
        <v xml:space="preserve"> </v>
      </c>
      <c r="M94" s="132" t="str">
        <f>IF('Total Retail'!M135=M$39,((M15/M$41)/'Firm Retail'!M18)," ")</f>
        <v xml:space="preserve"> 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>
      <c r="A95" s="3">
        <v>86</v>
      </c>
      <c r="B95" s="131">
        <f>IF('Total Retail'!B136=B$39,((B16/B$41)/'Firm Retail'!B19)," ")</f>
        <v>0.55968528550712737</v>
      </c>
      <c r="C95" s="132">
        <f>IF('Total Retail'!C136=C$39,((C16/C$41)/'Firm Retail'!C19)," ")</f>
        <v>0.66842055003819711</v>
      </c>
      <c r="D95" s="132" t="str">
        <f>IF('Total Retail'!D136=D$39,((D16/D$41)/'Firm Retail'!D19)," ")</f>
        <v xml:space="preserve"> </v>
      </c>
      <c r="E95" s="132" t="str">
        <f>IF('Total Retail'!E136=E$39,((E16/E$41)/'Firm Retail'!E19)," ")</f>
        <v xml:space="preserve"> </v>
      </c>
      <c r="F95" s="132">
        <f>IF('Total Retail'!F136=F$39,((F16/F$41)/'Firm Retail'!F19)," ")</f>
        <v>0.72952554555350135</v>
      </c>
      <c r="G95" s="132" t="str">
        <f>IF('Total Retail'!G136=G$39,((G16/G$41)/'Firm Retail'!G19)," ")</f>
        <v xml:space="preserve"> </v>
      </c>
      <c r="H95" s="132" t="str">
        <f>IF('Total Retail'!H136=H$39,((H16/H$41)/'Firm Retail'!H19)," ")</f>
        <v xml:space="preserve"> </v>
      </c>
      <c r="I95" s="132">
        <f>IF('Total Retail'!I136=I$39,((I16/I$41)/'Firm Retail'!I19)," ")</f>
        <v>0.76719053955834882</v>
      </c>
      <c r="J95" s="132">
        <f>IF('Total Retail'!J136=J$39,((J16/J$41)/'Firm Retail'!J19)," ")</f>
        <v>0.80815386611312923</v>
      </c>
      <c r="K95" s="132">
        <f>IF('Total Retail'!K136=K$39,((K16/K$41)/'Firm Retail'!K19)," ")</f>
        <v>0.69425972294484917</v>
      </c>
      <c r="L95" s="132" t="str">
        <f>IF('Total Retail'!L136=L$39,((L16/L$41)/'Firm Retail'!L19)," ")</f>
        <v xml:space="preserve"> </v>
      </c>
      <c r="M95" s="132" t="str">
        <f>IF('Total Retail'!M136=M$39,((M16/M$41)/'Firm Retail'!M19)," ")</f>
        <v xml:space="preserve"> 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>
      <c r="A96" s="3">
        <v>87</v>
      </c>
      <c r="B96" s="131" t="str">
        <f>IF('Total Retail'!B137=B$39,((B17/B$41)/'Firm Retail'!B20)," ")</f>
        <v xml:space="preserve"> </v>
      </c>
      <c r="C96" s="132">
        <f>IF('Total Retail'!C137=C$39,((C17/C$41)/'Firm Retail'!C20)," ")</f>
        <v>0.61871360159977551</v>
      </c>
      <c r="D96" s="132" t="str">
        <f>IF('Total Retail'!D137=D$39,((D17/D$41)/'Firm Retail'!D20)," ")</f>
        <v xml:space="preserve"> </v>
      </c>
      <c r="E96" s="132" t="str">
        <f>IF('Total Retail'!E137=E$39,((E17/E$41)/'Firm Retail'!E20)," ")</f>
        <v xml:space="preserve"> </v>
      </c>
      <c r="F96" s="132">
        <f>IF('Total Retail'!F137=F$39,((F17/F$41)/'Firm Retail'!F20)," ")</f>
        <v>0.80973621832071385</v>
      </c>
      <c r="G96" s="132">
        <f>IF('Total Retail'!G137=G$39,((G17/G$41)/'Firm Retail'!G20)," ")</f>
        <v>0.80277641545419864</v>
      </c>
      <c r="H96" s="132">
        <f>IF('Total Retail'!H137=H$39,((H17/H$41)/'Firm Retail'!H20)," ")</f>
        <v>0.79000465260545905</v>
      </c>
      <c r="I96" s="132" t="str">
        <f>IF('Total Retail'!I137=I$39,((I17/I$41)/'Firm Retail'!I20)," ")</f>
        <v xml:space="preserve"> </v>
      </c>
      <c r="J96" s="132">
        <f>IF('Total Retail'!J137=J$39,((J17/J$41)/'Firm Retail'!J20)," ")</f>
        <v>0.7687767094017095</v>
      </c>
      <c r="K96" s="132">
        <f>IF('Total Retail'!K137=K$39,((K17/K$41)/'Firm Retail'!K20)," ")</f>
        <v>0.76385605335313245</v>
      </c>
      <c r="L96" s="132" t="str">
        <f>IF('Total Retail'!L137=L$39,((L17/L$41)/'Firm Retail'!L20)," ")</f>
        <v xml:space="preserve"> </v>
      </c>
      <c r="M96" s="132">
        <f>IF('Total Retail'!M137=M$39,((M17/M$41)/'Firm Retail'!M20)," ")</f>
        <v>0.67614816604461037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>
      <c r="A97" s="3">
        <v>88</v>
      </c>
      <c r="B97" s="131">
        <f>IF('Total Retail'!B138=B$39,((B18/B$41)/'Firm Retail'!B21)," ")</f>
        <v>0.63914006532923973</v>
      </c>
      <c r="C97" s="132" t="str">
        <f>IF('Total Retail'!C138=C$39,((C18/C$41)/'Firm Retail'!C21)," ")</f>
        <v xml:space="preserve"> </v>
      </c>
      <c r="D97" s="132" t="str">
        <f>IF('Total Retail'!D138=D$39,((D18/D$41)/'Firm Retail'!D21)," ")</f>
        <v xml:space="preserve"> </v>
      </c>
      <c r="E97" s="132">
        <f>IF('Total Retail'!E138=E$39,((E18/E$41)/'Firm Retail'!E21)," ")</f>
        <v>0.76984777330522014</v>
      </c>
      <c r="F97" s="132">
        <f>IF('Total Retail'!F138=F$39,((F18/F$41)/'Firm Retail'!F21)," ")</f>
        <v>0.73563744224208671</v>
      </c>
      <c r="G97" s="132">
        <f>IF('Total Retail'!G138=G$39,((G18/G$41)/'Firm Retail'!G21)," ")</f>
        <v>0.79520311496467566</v>
      </c>
      <c r="H97" s="132" t="str">
        <f>IF('Total Retail'!H138=H$39,((H18/H$41)/'Firm Retail'!H21)," ")</f>
        <v xml:space="preserve"> </v>
      </c>
      <c r="I97" s="132">
        <f>IF('Total Retail'!I138=I$39,((I18/I$41)/'Firm Retail'!I21)," ")</f>
        <v>0.80541474654377887</v>
      </c>
      <c r="J97" s="132">
        <f>IF('Total Retail'!J138=J$39,((J18/J$41)/'Firm Retail'!J21)," ")</f>
        <v>0.82182472876917323</v>
      </c>
      <c r="K97" s="132">
        <f>IF('Total Retail'!K138=K$39,((K18/K$41)/'Firm Retail'!K21)," ")</f>
        <v>0.74951459541419263</v>
      </c>
      <c r="L97" s="132" t="str">
        <f>IF('Total Retail'!L138=L$39,((L18/L$41)/'Firm Retail'!L21)," ")</f>
        <v xml:space="preserve"> </v>
      </c>
      <c r="M97" s="132">
        <f>IF('Total Retail'!M138=M$39,((M18/M$41)/'Firm Retail'!M21)," ")</f>
        <v>0.61520415896925773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>
      <c r="A98" s="3">
        <v>89</v>
      </c>
      <c r="B98" s="131">
        <f>IF('Total Retail'!B139=B$39,((B19/B$41)/'Firm Retail'!B22)," ")</f>
        <v>0.83308224944645537</v>
      </c>
      <c r="C98" s="132">
        <f>IF('Total Retail'!C139=C$39,((C19/C$41)/'Firm Retail'!C22)," ")</f>
        <v>0.66302977265883778</v>
      </c>
      <c r="D98" s="132" t="str">
        <f>IF('Total Retail'!D139=D$39,((D19/D$41)/'Firm Retail'!D22)," ")</f>
        <v xml:space="preserve"> </v>
      </c>
      <c r="E98" s="132">
        <f>IF('Total Retail'!E139=E$39,((E19/E$41)/'Firm Retail'!E22)," ")</f>
        <v>0.80712570756217006</v>
      </c>
      <c r="F98" s="132">
        <f>IF('Total Retail'!F139=F$39,((F19/F$41)/'Firm Retail'!F22)," ")</f>
        <v>0.77084363284307666</v>
      </c>
      <c r="G98" s="132">
        <f>IF('Total Retail'!G139=G$39,((G19/G$41)/'Firm Retail'!G22)," ")</f>
        <v>0.80446410566646498</v>
      </c>
      <c r="H98" s="132" t="str">
        <f>IF('Total Retail'!H139=H$39,((H19/H$41)/'Firm Retail'!H22)," ")</f>
        <v xml:space="preserve"> </v>
      </c>
      <c r="I98" s="132">
        <f>IF('Total Retail'!I139=I$39,((I19/I$41)/'Firm Retail'!I22)," ")</f>
        <v>0.80240490877309567</v>
      </c>
      <c r="J98" s="132" t="str">
        <f>IF('Total Retail'!J139=J$39,((J19/J$41)/'Firm Retail'!J22)," ")</f>
        <v xml:space="preserve"> </v>
      </c>
      <c r="K98" s="132" t="str">
        <f>IF('Total Retail'!K139=K$39,((K19/K$41)/'Firm Retail'!K22)," ")</f>
        <v xml:space="preserve"> </v>
      </c>
      <c r="L98" s="132" t="str">
        <f>IF('Total Retail'!L139=L$39,((L19/L$41)/'Firm Retail'!L22)," ")</f>
        <v xml:space="preserve"> </v>
      </c>
      <c r="M98" s="132" t="str">
        <f>IF('Total Retail'!M139=M$39,((M19/M$41)/'Firm Retail'!M22)," ")</f>
        <v xml:space="preserve"> 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>
      <c r="A99" s="3">
        <v>90</v>
      </c>
      <c r="B99" s="131" t="str">
        <f>IF('Total Retail'!B140=B$39,((B20/B$41)/'Firm Retail'!B23)," ")</f>
        <v xml:space="preserve"> </v>
      </c>
      <c r="C99" s="132">
        <f>IF('Total Retail'!C140=C$39,((C20/C$41)/'Firm Retail'!C23)," ")</f>
        <v>0.87392054784296169</v>
      </c>
      <c r="D99" s="132">
        <f>IF('Total Retail'!D140=D$39,((D20/D$41)/'Firm Retail'!D23)," ")</f>
        <v>0.83126313187492273</v>
      </c>
      <c r="E99" s="132">
        <f>IF('Total Retail'!E140=E$39,((E20/E$41)/'Firm Retail'!E23)," ")</f>
        <v>0.73894214162348881</v>
      </c>
      <c r="F99" s="132" t="str">
        <f>IF('Total Retail'!F140=F$39,((F20/F$41)/'Firm Retail'!F23)," ")</f>
        <v xml:space="preserve"> </v>
      </c>
      <c r="G99" s="132" t="str">
        <f>IF('Total Retail'!G140=G$39,((G20/G$41)/'Firm Retail'!G23)," ")</f>
        <v xml:space="preserve"> </v>
      </c>
      <c r="H99" s="132" t="str">
        <f>IF('Total Retail'!H140=H$39,((H20/H$41)/'Firm Retail'!H23)," ")</f>
        <v xml:space="preserve"> </v>
      </c>
      <c r="I99" s="132">
        <f>IF('Total Retail'!I140=I$39,((I20/I$41)/'Firm Retail'!I23)," ")</f>
        <v>0.81804472344501222</v>
      </c>
      <c r="J99" s="132">
        <f>IF('Total Retail'!J140=J$39,((J20/J$41)/'Firm Retail'!J23)," ")</f>
        <v>0.83004788407541119</v>
      </c>
      <c r="K99" s="132">
        <f>IF('Total Retail'!K140=K$39,((K20/K$41)/'Firm Retail'!K23)," ")</f>
        <v>0.76751859718473292</v>
      </c>
      <c r="L99" s="132" t="str">
        <f>IF('Total Retail'!L140=L$39,((L20/L$41)/'Firm Retail'!L23)," ")</f>
        <v xml:space="preserve"> </v>
      </c>
      <c r="M99" s="132">
        <f>IF('Total Retail'!M140=M$39,((M20/M$41)/'Firm Retail'!M23)," ")</f>
        <v>0.76255155101308947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>
      <c r="A100" s="3">
        <v>91</v>
      </c>
      <c r="B100" s="131">
        <f>IF('Total Retail'!B141=B$39,((B21/B$41)/'Firm Retail'!B24)," ")</f>
        <v>0.73736573046520815</v>
      </c>
      <c r="C100" s="132" t="str">
        <f>IF('Total Retail'!C141=C$39,((C21/C$41)/'Firm Retail'!C24)," ")</f>
        <v xml:space="preserve"> </v>
      </c>
      <c r="D100" s="132" t="str">
        <f>IF('Total Retail'!D141=D$39,((D21/D$41)/'Firm Retail'!D24)," ")</f>
        <v xml:space="preserve"> </v>
      </c>
      <c r="E100" s="132">
        <f>IF('Total Retail'!E141=E$39,((E21/E$41)/'Firm Retail'!E24)," ")</f>
        <v>0.72458814472671285</v>
      </c>
      <c r="F100" s="132">
        <f>IF('Total Retail'!F141=F$39,((F21/F$41)/'Firm Retail'!F24)," ")</f>
        <v>0.8256016686954758</v>
      </c>
      <c r="G100" s="132" t="str">
        <f>IF('Total Retail'!G141=G$39,((G21/G$41)/'Firm Retail'!G24)," ")</f>
        <v xml:space="preserve"> </v>
      </c>
      <c r="H100" s="132" t="str">
        <f>IF('Total Retail'!H141=H$39,((H21/H$41)/'Firm Retail'!H24)," ")</f>
        <v xml:space="preserve"> </v>
      </c>
      <c r="I100" s="132">
        <f>IF('Total Retail'!I141=I$39,((I21/I$41)/'Firm Retail'!I24)," ")</f>
        <v>0.80342985949392087</v>
      </c>
      <c r="J100" s="132">
        <f>IF('Total Retail'!J141=J$39,((J21/J$41)/'Firm Retail'!J24)," ")</f>
        <v>0.79364019340322656</v>
      </c>
      <c r="K100" s="132" t="str">
        <f>IF('Total Retail'!K141=K$39,((K21/K$41)/'Firm Retail'!K24)," ")</f>
        <v xml:space="preserve"> </v>
      </c>
      <c r="L100" s="132">
        <f>IF('Total Retail'!L141=L$39,((L21/L$41)/'Firm Retail'!L24)," ")</f>
        <v>0.72598503740648379</v>
      </c>
      <c r="M100" s="132">
        <f>IF('Total Retail'!M141=M$39,((M21/M$41)/'Firm Retail'!M24)," ")</f>
        <v>0.72600401283679172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>
      <c r="A101" s="3">
        <v>92</v>
      </c>
      <c r="B101" s="131">
        <f>IF('Total Retail'!B142=B$39,((B22/B$41)/'Firm Retail'!B25)," ")</f>
        <v>0.6723453720727246</v>
      </c>
      <c r="C101" s="132" t="str">
        <f>IF('Total Retail'!C142=C$39,((C22/C$41)/'Firm Retail'!C25)," ")</f>
        <v xml:space="preserve"> </v>
      </c>
      <c r="D101" s="132" t="str">
        <f>IF('Total Retail'!D142=D$39,((D22/D$41)/'Firm Retail'!D25)," ")</f>
        <v xml:space="preserve"> </v>
      </c>
      <c r="E101" s="132">
        <f>IF('Total Retail'!E142=E$39,((E22/E$41)/'Firm Retail'!E25)," ")</f>
        <v>0.80923040387326106</v>
      </c>
      <c r="F101" s="132">
        <f>IF('Total Retail'!F142=F$39,((F22/F$41)/'Firm Retail'!F25)," ")</f>
        <v>0.79598908722217776</v>
      </c>
      <c r="G101" s="132" t="str">
        <f>IF('Total Retail'!G142=G$39,((G22/G$41)/'Firm Retail'!G25)," ")</f>
        <v xml:space="preserve"> </v>
      </c>
      <c r="H101" s="132" t="str">
        <f>IF('Total Retail'!H142=H$39,((H22/H$41)/'Firm Retail'!H25)," ")</f>
        <v xml:space="preserve"> </v>
      </c>
      <c r="I101" s="132" t="str">
        <f>IF('Total Retail'!I142=I$39,((I22/I$41)/'Firm Retail'!I25)," ")</f>
        <v xml:space="preserve"> </v>
      </c>
      <c r="J101" s="132" t="str">
        <f>IF('Total Retail'!J142=J$39,((J22/J$41)/'Firm Retail'!J25)," ")</f>
        <v xml:space="preserve"> </v>
      </c>
      <c r="K101" s="132">
        <f>IF('Total Retail'!K142=K$39,((K22/K$41)/'Firm Retail'!K25)," ")</f>
        <v>0.76924521714844296</v>
      </c>
      <c r="L101" s="132" t="str">
        <f>IF('Total Retail'!L142=L$39,((L22/L$41)/'Firm Retail'!L25)," ")</f>
        <v xml:space="preserve"> </v>
      </c>
      <c r="M101" s="132">
        <f>IF('Total Retail'!M142=M$39,((M22/M$41)/'Firm Retail'!M25)," ")</f>
        <v>0.77311005796233323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>
      <c r="A102" s="3">
        <v>93</v>
      </c>
      <c r="B102" s="131">
        <f>IF('Total Retail'!B143=B$39,((B23/B$41)/'Firm Retail'!B26)," ")</f>
        <v>0.73045937536205496</v>
      </c>
      <c r="C102" s="132" t="str">
        <f>IF('Total Retail'!C143=C$39,((C23/C$41)/'Firm Retail'!C26)," ")</f>
        <v xml:space="preserve"> </v>
      </c>
      <c r="D102" s="132" t="str">
        <f>IF('Total Retail'!D143=D$39,((D23/D$41)/'Firm Retail'!D26)," ")</f>
        <v xml:space="preserve"> </v>
      </c>
      <c r="E102" s="132">
        <f>IF('Total Retail'!E143=E$39,((E23/E$41)/'Firm Retail'!E26)," ")</f>
        <v>0.83402445904686051</v>
      </c>
      <c r="F102" s="132" t="str">
        <f>IF('Total Retail'!F143=F$39,((F23/F$41)/'Firm Retail'!F26)," ")</f>
        <v xml:space="preserve"> </v>
      </c>
      <c r="G102" s="132" t="str">
        <f>IF('Total Retail'!G143=G$39,((G23/G$41)/'Firm Retail'!G26)," ")</f>
        <v xml:space="preserve"> </v>
      </c>
      <c r="H102" s="132">
        <f>IF('Total Retail'!H143=H$39,((H23/H$41)/'Firm Retail'!H26)," ")</f>
        <v>0.78996222560522145</v>
      </c>
      <c r="I102" s="132">
        <f>IF('Total Retail'!I143=I$39,((I23/I$41)/'Firm Retail'!I26)," ")</f>
        <v>0.79020392136557416</v>
      </c>
      <c r="J102" s="132">
        <f>IF('Total Retail'!J143=J$39,((J23/J$41)/'Firm Retail'!J26)," ")</f>
        <v>0.7884002166643117</v>
      </c>
      <c r="K102" s="132">
        <f>IF('Total Retail'!K143=K$39,((K23/K$41)/'Firm Retail'!K26)," ")</f>
        <v>0.73806858457882807</v>
      </c>
      <c r="L102" s="132" t="str">
        <f>IF('Total Retail'!L143=L$39,((L23/L$41)/'Firm Retail'!L26)," ")</f>
        <v xml:space="preserve"> </v>
      </c>
      <c r="M102" s="132" t="str">
        <f>IF('Total Retail'!M143=M$39,((M23/M$41)/'Firm Retail'!M26)," ")</f>
        <v xml:space="preserve"> 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>
      <c r="A103" s="3">
        <v>94</v>
      </c>
      <c r="B103" s="131">
        <f>IF('Total Retail'!B144=B$39,((B24/B$41)/'Firm Retail'!B27)," ")</f>
        <v>0.68047027395812321</v>
      </c>
      <c r="C103" s="132">
        <f>IF('Total Retail'!C144=C$39,((C24/C$41)/'Firm Retail'!C27)," ")</f>
        <v>0.64135030912060875</v>
      </c>
      <c r="D103" s="132">
        <f>IF('Total Retail'!D144=D$39,((D24/D$41)/'Firm Retail'!D27)," ")</f>
        <v>0.73471934856892074</v>
      </c>
      <c r="E103" s="132" t="str">
        <f>IF('Total Retail'!E144=E$39,((E24/E$41)/'Firm Retail'!E27)," ")</f>
        <v xml:space="preserve"> </v>
      </c>
      <c r="F103" s="132">
        <f>IF('Total Retail'!F144=F$39,((F24/F$41)/'Firm Retail'!F27)," ")</f>
        <v>0.77143494388881062</v>
      </c>
      <c r="G103" s="132">
        <f>IF('Total Retail'!G144=G$39,((G24/G$41)/'Firm Retail'!G27)," ")</f>
        <v>0.77802200915726016</v>
      </c>
      <c r="H103" s="132">
        <f>IF('Total Retail'!H144=H$39,((H24/H$41)/'Firm Retail'!H27)," ")</f>
        <v>0.77056128215253472</v>
      </c>
      <c r="I103" s="132">
        <f>IF('Total Retail'!I144=I$39,((I24/I$41)/'Firm Retail'!I27)," ")</f>
        <v>0.79128731531730068</v>
      </c>
      <c r="J103" s="132">
        <f>IF('Total Retail'!J144=J$39,((J24/J$41)/'Firm Retail'!J27)," ")</f>
        <v>0.76862926574588253</v>
      </c>
      <c r="K103" s="132">
        <f>IF('Total Retail'!K144=K$39,((K24/K$41)/'Firm Retail'!K27)," ")</f>
        <v>0.76802630514166648</v>
      </c>
      <c r="L103" s="132" t="str">
        <f>IF('Total Retail'!L144=L$39,((L24/L$41)/'Firm Retail'!L27)," ")</f>
        <v xml:space="preserve"> </v>
      </c>
      <c r="M103" s="132" t="str">
        <f>IF('Total Retail'!M144=M$39,((M24/M$41)/'Firm Retail'!M27)," ")</f>
        <v xml:space="preserve"> 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>
      <c r="A104" s="3">
        <v>95</v>
      </c>
      <c r="B104" s="131">
        <f>IF('Total Retail'!B145=B$39,((B25/B$41)/'Firm Retail'!B28)," ")</f>
        <v>0.66906434818920013</v>
      </c>
      <c r="C104" s="132">
        <f>IF('Total Retail'!C145=C$39,((C25/C$41)/'Firm Retail'!C28)," ")</f>
        <v>0.59943402685749625</v>
      </c>
      <c r="D104" s="132" t="str">
        <f>IF('Total Retail'!D145=D$39,((D25/D$41)/'Firm Retail'!D28)," ")</f>
        <v xml:space="preserve"> </v>
      </c>
      <c r="E104" s="132">
        <f>IF('Total Retail'!E145=E$39,((E25/E$41)/'Firm Retail'!E28)," ")</f>
        <v>0.71516613684529218</v>
      </c>
      <c r="F104" s="132" t="str">
        <f>IF('Total Retail'!F145=F$39,((F25/F$41)/'Firm Retail'!F28)," ")</f>
        <v xml:space="preserve"> </v>
      </c>
      <c r="G104" s="132">
        <f>IF('Total Retail'!G145=G$39,((G25/G$41)/'Firm Retail'!G28)," ")</f>
        <v>0.75452156836931716</v>
      </c>
      <c r="H104" s="132">
        <f>IF('Total Retail'!H145=H$39,((H25/H$41)/'Firm Retail'!H28)," ")</f>
        <v>0.77097551121884511</v>
      </c>
      <c r="I104" s="132" t="str">
        <f>IF('Total Retail'!I145=I$39,((I25/I$41)/'Firm Retail'!I28)," ")</f>
        <v xml:space="preserve"> </v>
      </c>
      <c r="J104" s="132">
        <f>IF('Total Retail'!J145=J$39,((J25/J$41)/'Firm Retail'!J28)," ")</f>
        <v>0.79220183486238527</v>
      </c>
      <c r="K104" s="132">
        <f>IF('Total Retail'!K145=K$39,((K25/K$41)/'Firm Retail'!K28)," ")</f>
        <v>0.76584101382488479</v>
      </c>
      <c r="L104" s="132" t="str">
        <f>IF('Total Retail'!L145=L$39,((L25/L$41)/'Firm Retail'!L28)," ")</f>
        <v xml:space="preserve"> </v>
      </c>
      <c r="M104" s="132">
        <f>IF('Total Retail'!M145=M$39,((M25/M$41)/'Firm Retail'!M28)," ")</f>
        <v>0.73311994850153783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>
      <c r="A105" s="3">
        <v>96</v>
      </c>
      <c r="B105" s="131">
        <f>IF('Total Retail'!B146=B$39,((B26/B$41)/'Firm Retail'!B29)," ")</f>
        <v>0.58369581506874979</v>
      </c>
      <c r="C105" s="132">
        <f>IF('Total Retail'!C146=C$39,((C26/C$41)/'Firm Retail'!C29)," ")</f>
        <v>0.59923463614909644</v>
      </c>
      <c r="D105" s="132" t="str">
        <f>IF('Total Retail'!D146=D$39,((D26/D$41)/'Firm Retail'!D29)," ")</f>
        <v xml:space="preserve"> </v>
      </c>
      <c r="E105" s="132" t="str">
        <f>IF('Total Retail'!E146=E$39,((E26/E$41)/'Firm Retail'!E29)," ")</f>
        <v xml:space="preserve"> </v>
      </c>
      <c r="F105" s="132" t="str">
        <f>IF('Total Retail'!F146=F$39,((F26/F$41)/'Firm Retail'!F29)," ")</f>
        <v xml:space="preserve"> </v>
      </c>
      <c r="G105" s="132" t="str">
        <f>IF('Total Retail'!G146=G$39,((G26/G$41)/'Firm Retail'!G29)," ")</f>
        <v xml:space="preserve"> </v>
      </c>
      <c r="H105" s="132">
        <f>IF('Total Retail'!H146=H$39,((H26/H$41)/'Firm Retail'!H29)," ")</f>
        <v>0.79873949409150558</v>
      </c>
      <c r="I105" s="132" t="str">
        <f>IF('Total Retail'!I146=I$39,((I26/I$41)/'Firm Retail'!I29)," ")</f>
        <v xml:space="preserve"> </v>
      </c>
      <c r="J105" s="132">
        <f>IF('Total Retail'!J146=J$39,((J26/J$41)/'Firm Retail'!J29)," ")</f>
        <v>0.75365122988796218</v>
      </c>
      <c r="K105" s="132" t="str">
        <f>IF('Total Retail'!K146=K$39,((K26/K$41)/'Firm Retail'!K29)," ")</f>
        <v xml:space="preserve"> </v>
      </c>
      <c r="L105" s="132" t="str">
        <f>IF('Total Retail'!L146=L$39,((L26/L$41)/'Firm Retail'!L29)," ")</f>
        <v xml:space="preserve"> </v>
      </c>
      <c r="M105" s="132">
        <f>IF('Total Retail'!M146=M$39,((M26/M$41)/'Firm Retail'!M29)," ")</f>
        <v>0.62819015458311644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>
      <c r="A106" s="3">
        <v>97</v>
      </c>
      <c r="B106" s="131" t="str">
        <f>IF('Total Retail'!B147=B$39,((B27/B$41)/'Firm Retail'!B30)," ")</f>
        <v xml:space="preserve"> </v>
      </c>
      <c r="C106" s="132">
        <f>IF('Total Retail'!C147=C$39,((C27/C$41)/'Firm Retail'!C30)," ")</f>
        <v>0.79974906629318399</v>
      </c>
      <c r="D106" s="132" t="str">
        <f>IF('Total Retail'!D147=D$39,((D27/D$41)/'Firm Retail'!D30)," ")</f>
        <v xml:space="preserve"> </v>
      </c>
      <c r="E106" s="132">
        <f>IF('Total Retail'!E147=E$39,((E27/E$41)/'Firm Retail'!E30)," ")</f>
        <v>0.75868104947052317</v>
      </c>
      <c r="F106" s="132">
        <f>IF('Total Retail'!F147=F$39,((F27/F$41)/'Firm Retail'!F30)," ")</f>
        <v>0.70390892432846042</v>
      </c>
      <c r="G106" s="132">
        <f>IF('Total Retail'!G147=G$39,((G27/G$41)/'Firm Retail'!G30)," ")</f>
        <v>0.77098632446609205</v>
      </c>
      <c r="H106" s="132" t="str">
        <f>IF('Total Retail'!H147=H$39,((H27/H$41)/'Firm Retail'!H30)," ")</f>
        <v xml:space="preserve"> </v>
      </c>
      <c r="I106" s="132">
        <f>IF('Total Retail'!I147=I$39,((I27/I$41)/'Firm Retail'!I30)," ")</f>
        <v>0.79849821600360449</v>
      </c>
      <c r="J106" s="132">
        <f>IF('Total Retail'!J147=J$39,((J27/J$41)/'Firm Retail'!J30)," ")</f>
        <v>0.79646997400161967</v>
      </c>
      <c r="K106" s="132">
        <f>IF('Total Retail'!K147=K$39,((K27/K$41)/'Firm Retail'!K30)," ")</f>
        <v>0.71423481380132958</v>
      </c>
      <c r="L106" s="132">
        <f>IF('Total Retail'!L147=L$39,((L27/L$41)/'Firm Retail'!L30)," ")</f>
        <v>0.84467874262536868</v>
      </c>
      <c r="M106" s="132" t="str">
        <f>IF('Total Retail'!M147=M$39,((M27/M$41)/'Firm Retail'!M30)," ")</f>
        <v xml:space="preserve"> 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>
      <c r="A107" s="3">
        <v>98</v>
      </c>
      <c r="B107" s="131">
        <f>IF('Total Retail'!B148=B$39,((B28/B$41)/'Firm Retail'!B31)," ")</f>
        <v>0.8060156749582198</v>
      </c>
      <c r="C107" s="132">
        <f>IF('Total Retail'!C148=C$39,((C28/C$41)/'Firm Retail'!C31)," ")</f>
        <v>0.75046945861678005</v>
      </c>
      <c r="D107" s="132" t="str">
        <f>IF('Total Retail'!D148=D$39,((D28/D$41)/'Firm Retail'!D31)," ")</f>
        <v xml:space="preserve"> </v>
      </c>
      <c r="E107" s="132" t="str">
        <f>IF('Total Retail'!E148=E$39,((E28/E$41)/'Firm Retail'!E31)," ")</f>
        <v xml:space="preserve"> </v>
      </c>
      <c r="F107" s="132" t="str">
        <f>IF('Total Retail'!F148=F$39,((F28/F$41)/'Firm Retail'!F31)," ")</f>
        <v xml:space="preserve"> </v>
      </c>
      <c r="G107" s="132">
        <f>IF('Total Retail'!G148=G$39,((G28/G$41)/'Firm Retail'!G31)," ")</f>
        <v>0.82382222602609456</v>
      </c>
      <c r="H107" s="132" t="str">
        <f>IF('Total Retail'!H148=H$39,((H28/H$41)/'Firm Retail'!H31)," ")</f>
        <v xml:space="preserve"> </v>
      </c>
      <c r="I107" s="132" t="str">
        <f>IF('Total Retail'!I148=I$39,((I28/I$41)/'Firm Retail'!I31)," ")</f>
        <v xml:space="preserve"> </v>
      </c>
      <c r="J107" s="132" t="str">
        <f>IF('Total Retail'!J148=J$39,((J28/J$41)/'Firm Retail'!J31)," ")</f>
        <v xml:space="preserve"> </v>
      </c>
      <c r="K107" s="132">
        <f>IF('Total Retail'!K148=K$39,((K28/K$41)/'Firm Retail'!K31)," ")</f>
        <v>0.75064001694607518</v>
      </c>
      <c r="L107" s="132" t="str">
        <f>IF('Total Retail'!L148=L$39,((L28/L$41)/'Firm Retail'!L31)," ")</f>
        <v xml:space="preserve"> </v>
      </c>
      <c r="M107" s="132">
        <f>IF('Total Retail'!M148=M$39,((M28/M$41)/'Firm Retail'!M31)," ")</f>
        <v>0.80815972222222221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>
      <c r="A108" s="3">
        <v>99</v>
      </c>
      <c r="B108" s="131">
        <f>IF('Total Retail'!B149=B$39,((B29/B$41)/'Firm Retail'!B32)," ")</f>
        <v>0.56093654475491783</v>
      </c>
      <c r="C108" s="132">
        <f>IF('Total Retail'!C149=C$39,((C29/C$41)/'Firm Retail'!C32)," ")</f>
        <v>0.70258988444497661</v>
      </c>
      <c r="D108" s="132" t="str">
        <f>IF('Total Retail'!D149=D$39,((D29/D$41)/'Firm Retail'!D32)," ")</f>
        <v xml:space="preserve"> </v>
      </c>
      <c r="E108" s="132" t="str">
        <f>IF('Total Retail'!E149=E$39,((E29/E$41)/'Firm Retail'!E32)," ")</f>
        <v xml:space="preserve"> </v>
      </c>
      <c r="F108" s="132">
        <f>IF('Total Retail'!F149=F$39,((F29/F$41)/'Firm Retail'!F32)," ")</f>
        <v>0.73114619426414851</v>
      </c>
      <c r="G108" s="132">
        <f>IF('Total Retail'!G149=G$39,((G29/G$41)/'Firm Retail'!G32)," ")</f>
        <v>0.79576265978367744</v>
      </c>
      <c r="H108" s="132">
        <f>IF('Total Retail'!H149=H$39,((H29/H$41)/'Firm Retail'!H32)," ")</f>
        <v>0.759909931822768</v>
      </c>
      <c r="I108" s="132">
        <f>IF('Total Retail'!I149=I$39,((I29/I$41)/'Firm Retail'!I32)," ")</f>
        <v>0.76063400217926758</v>
      </c>
      <c r="J108" s="132">
        <f>IF('Total Retail'!J149=J$39,((J29/J$41)/'Firm Retail'!J32)," ")</f>
        <v>0.76638859148227445</v>
      </c>
      <c r="K108" s="132">
        <f>IF('Total Retail'!K149=K$39,((K29/K$41)/'Firm Retail'!K32)," ")</f>
        <v>0.73848566308243724</v>
      </c>
      <c r="L108" s="132" t="str">
        <f>IF('Total Retail'!L149=L$39,((L29/L$41)/'Firm Retail'!L32)," ")</f>
        <v xml:space="preserve"> </v>
      </c>
      <c r="M108" s="132">
        <f>IF('Total Retail'!M149=M$39,((M29/M$41)/'Firm Retail'!M32)," ")</f>
        <v>0.7617956989247312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>
      <c r="A109" s="10" t="s">
        <v>60</v>
      </c>
      <c r="B109" s="131">
        <f>IF('Total Retail'!B150=B$39,((B30/B$41)/'Firm Retail'!B33)," ")</f>
        <v>0.59576512398289005</v>
      </c>
      <c r="C109" s="132" t="str">
        <f>IF('Total Retail'!C150=C$39,((C30/C$41)/'Firm Retail'!C33)," ")</f>
        <v xml:space="preserve"> </v>
      </c>
      <c r="D109" s="132" t="str">
        <f>IF('Total Retail'!D150=D$39,((D30/D$41)/'Firm Retail'!D33)," ")</f>
        <v xml:space="preserve"> </v>
      </c>
      <c r="E109" s="132">
        <f>IF('Total Retail'!E150=E$39,((E30/E$41)/'Firm Retail'!E33)," ")</f>
        <v>0.77777899610136458</v>
      </c>
      <c r="F109" s="132">
        <f>IF('Total Retail'!F150=F$39,((F30/F$41)/'Firm Retail'!F33)," ")</f>
        <v>0.77440835665537389</v>
      </c>
      <c r="G109" s="132">
        <f>IF('Total Retail'!G150=G$39,((G30/G$41)/'Firm Retail'!G33)," ")</f>
        <v>0.78545860977655757</v>
      </c>
      <c r="H109" s="132">
        <f>IF('Total Retail'!H150=H$39,((H30/H$41)/'Firm Retail'!H33)," ")</f>
        <v>0.73143785212687262</v>
      </c>
      <c r="I109" s="132">
        <f>IF('Total Retail'!I150=I$39,((I30/I$41)/'Firm Retail'!I33)," ")</f>
        <v>0.77223956335847499</v>
      </c>
      <c r="J109" s="132">
        <f>IF('Total Retail'!J150=J$39,((J30/J$41)/'Firm Retail'!J33)," ")</f>
        <v>0.79898792270531405</v>
      </c>
      <c r="K109" s="132" t="str">
        <f>IF('Total Retail'!K150=K$39,((K30/K$41)/'Firm Retail'!K33)," ")</f>
        <v xml:space="preserve"> </v>
      </c>
      <c r="L109" s="132">
        <f>IF('Total Retail'!L150=L$39,((L30/L$41)/'Firm Retail'!L33)," ")</f>
        <v>0.77232542034860074</v>
      </c>
      <c r="M109" s="132">
        <f>IF('Total Retail'!M150=M$39,((M30/M$41)/'Firm Retail'!M33)," ")</f>
        <v>0.65842072120614903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1" spans="1:42">
      <c r="A111" s="3" t="s">
        <v>176</v>
      </c>
      <c r="B111" s="133">
        <f t="shared" ref="B111:M111" si="15">AVERAGE(B89:B109)</f>
        <v>0.66726619469645865</v>
      </c>
      <c r="C111" s="133">
        <f t="shared" si="15"/>
        <v>0.6873403432875318</v>
      </c>
      <c r="D111" s="133">
        <f t="shared" si="15"/>
        <v>0.78299124022192168</v>
      </c>
      <c r="E111" s="133">
        <f t="shared" si="15"/>
        <v>0.78046235165383204</v>
      </c>
      <c r="F111" s="133">
        <f t="shared" si="15"/>
        <v>0.76426025510771689</v>
      </c>
      <c r="G111" s="133">
        <f t="shared" si="15"/>
        <v>0.79317291788666855</v>
      </c>
      <c r="H111" s="133">
        <f t="shared" si="15"/>
        <v>0.77589120921200005</v>
      </c>
      <c r="I111" s="133">
        <f t="shared" si="15"/>
        <v>0.79769499757695284</v>
      </c>
      <c r="J111" s="133">
        <f t="shared" si="15"/>
        <v>0.7864211298870134</v>
      </c>
      <c r="K111" s="133">
        <f t="shared" si="15"/>
        <v>0.75677414846447322</v>
      </c>
      <c r="L111" s="133">
        <f t="shared" si="15"/>
        <v>0.76797193608104397</v>
      </c>
      <c r="M111" s="133">
        <f t="shared" si="15"/>
        <v>0.70575160465011344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>
      <c r="A112" s="3" t="s">
        <v>177</v>
      </c>
      <c r="B112" s="133">
        <f t="shared" ref="B112:M112" si="16">AVERAGE(B89:B98)</f>
        <v>0.6634258813784637</v>
      </c>
      <c r="C112" s="133">
        <f t="shared" si="16"/>
        <v>0.66144608890213463</v>
      </c>
      <c r="D112" s="133" t="e">
        <f t="shared" si="16"/>
        <v>#DIV/0!</v>
      </c>
      <c r="E112" s="133">
        <f t="shared" si="16"/>
        <v>0.80666863412616219</v>
      </c>
      <c r="F112" s="133">
        <f t="shared" si="16"/>
        <v>0.76184202019226721</v>
      </c>
      <c r="G112" s="133">
        <f t="shared" si="16"/>
        <v>0.7994809316042949</v>
      </c>
      <c r="H112" s="133">
        <f t="shared" si="16"/>
        <v>0.78433144877556304</v>
      </c>
      <c r="I112" s="133">
        <f t="shared" si="16"/>
        <v>0.80760047395205581</v>
      </c>
      <c r="J112" s="133">
        <f t="shared" si="16"/>
        <v>0.78509276190635513</v>
      </c>
      <c r="K112" s="133">
        <f t="shared" si="16"/>
        <v>0.7652007436659507</v>
      </c>
      <c r="L112" s="133">
        <f t="shared" si="16"/>
        <v>0.75494747203527035</v>
      </c>
      <c r="M112" s="133">
        <f t="shared" si="16"/>
        <v>0.65441684713784753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>
      <c r="A113" s="3" t="s">
        <v>178</v>
      </c>
      <c r="B113" s="133">
        <f t="shared" ref="B113:M113" si="17">AVERAGE(B99:B108)</f>
        <v>0.6800441418536497</v>
      </c>
      <c r="C113" s="133">
        <f t="shared" si="17"/>
        <v>0.70953541847501478</v>
      </c>
      <c r="D113" s="133">
        <f t="shared" si="17"/>
        <v>0.78299124022192168</v>
      </c>
      <c r="E113" s="133">
        <f t="shared" si="17"/>
        <v>0.76343872259768963</v>
      </c>
      <c r="F113" s="133">
        <f t="shared" si="17"/>
        <v>0.76561616367981455</v>
      </c>
      <c r="G113" s="133">
        <f t="shared" si="17"/>
        <v>0.78462295756048817</v>
      </c>
      <c r="H113" s="133">
        <f t="shared" si="17"/>
        <v>0.77802968897817482</v>
      </c>
      <c r="I113" s="133">
        <f t="shared" si="17"/>
        <v>0.79368300630078004</v>
      </c>
      <c r="J113" s="133">
        <f t="shared" si="17"/>
        <v>0.78617864876538424</v>
      </c>
      <c r="K113" s="133">
        <f t="shared" si="17"/>
        <v>0.75150752646354957</v>
      </c>
      <c r="L113" s="133">
        <f t="shared" si="17"/>
        <v>0.78533189001592629</v>
      </c>
      <c r="M113" s="133">
        <f t="shared" si="17"/>
        <v>0.74184730657768883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>
      <c r="A114" s="3" t="s">
        <v>180</v>
      </c>
      <c r="B114" s="134">
        <v>0.59</v>
      </c>
      <c r="C114" s="134">
        <v>0.67</v>
      </c>
      <c r="D114" s="134">
        <v>0.67</v>
      </c>
      <c r="E114" s="134">
        <v>0.74</v>
      </c>
      <c r="F114" s="134">
        <v>0.69</v>
      </c>
      <c r="G114" s="134">
        <v>0.74</v>
      </c>
      <c r="H114" s="134">
        <v>0.75</v>
      </c>
      <c r="I114" s="134">
        <v>0.75</v>
      </c>
      <c r="J114" s="134">
        <v>0.83</v>
      </c>
      <c r="K114" s="134">
        <v>0.78</v>
      </c>
      <c r="L114" s="134">
        <v>0.72</v>
      </c>
      <c r="M114" s="134">
        <v>0.64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>
      <c r="A115" s="3" t="s">
        <v>181</v>
      </c>
      <c r="B115" s="134">
        <v>0.56999999999999995</v>
      </c>
      <c r="C115" s="134">
        <v>0.63</v>
      </c>
      <c r="D115" s="134">
        <v>0.71</v>
      </c>
      <c r="E115" s="134">
        <v>0.73</v>
      </c>
      <c r="F115" s="134">
        <v>0.73</v>
      </c>
      <c r="G115" s="134">
        <v>0.75</v>
      </c>
      <c r="H115" s="134">
        <v>0.77</v>
      </c>
      <c r="I115" s="134">
        <v>0.77</v>
      </c>
      <c r="J115" s="134">
        <v>0.75</v>
      </c>
      <c r="K115" s="134">
        <v>0.71</v>
      </c>
      <c r="L115" s="134">
        <v>0.69</v>
      </c>
      <c r="M115" s="134">
        <v>0.64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</sheetData>
  <phoneticPr fontId="9" type="noConversion"/>
  <pageMargins left="0.25" right="0.25694444444444442" top="0.25" bottom="0.25" header="0" footer="0"/>
  <pageSetup scale="71" orientation="landscape" horizontalDpi="0" verticalDpi="0" copies="0"/>
  <headerFooter alignWithMargins="0"/>
  <customProperties>
    <customPr name="_pios_id" r:id="rId1"/>
    <customPr name="EpmWorksheetKeyString_GU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81"/>
  <sheetViews>
    <sheetView showGridLines="0" zoomScale="80" zoomScaleNormal="80" workbookViewId="0">
      <selection activeCell="T21" sqref="T21"/>
    </sheetView>
  </sheetViews>
  <sheetFormatPr defaultColWidth="9.6640625" defaultRowHeight="15"/>
  <cols>
    <col min="1" max="2" width="9.6640625" style="1" customWidth="1"/>
    <col min="3" max="3" width="16" style="1" customWidth="1"/>
    <col min="4" max="4" width="18.6640625" style="1" customWidth="1"/>
    <col min="5" max="5" width="17.6640625" style="1" customWidth="1"/>
    <col min="6" max="6" width="1.44140625" style="1" customWidth="1"/>
    <col min="7" max="7" width="9.6640625" style="1" customWidth="1"/>
    <col min="8" max="8" width="3" style="1" customWidth="1"/>
    <col min="9" max="9" width="5.6640625" style="1" customWidth="1"/>
    <col min="10" max="10" width="9.44140625" style="1" customWidth="1"/>
    <col min="11" max="11" width="11.21875" style="1" customWidth="1"/>
    <col min="12" max="12" width="7.6640625" style="1" customWidth="1"/>
    <col min="13" max="13" width="8.6640625" style="1" customWidth="1"/>
    <col min="14" max="14" width="11.33203125" style="1" customWidth="1"/>
    <col min="15" max="15" width="10" style="1" customWidth="1"/>
    <col min="16" max="16" width="6.6640625" style="1" customWidth="1"/>
    <col min="17" max="17" width="8.77734375" style="1" customWidth="1"/>
    <col min="18" max="18" width="11.33203125" style="1" customWidth="1"/>
    <col min="19" max="19" width="12" style="1" customWidth="1"/>
    <col min="20" max="20" width="12.5546875" style="1" customWidth="1"/>
    <col min="21" max="21" width="11.5546875" style="1" customWidth="1"/>
    <col min="22" max="16384" width="9.6640625" style="1"/>
  </cols>
  <sheetData>
    <row r="1" spans="1:23" ht="15.75">
      <c r="A1" s="3"/>
      <c r="B1" s="3"/>
      <c r="C1" s="13"/>
      <c r="D1" s="13"/>
      <c r="E1" s="13"/>
      <c r="F1" s="3"/>
      <c r="G1" s="5" t="s">
        <v>212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3"/>
      <c r="B2" s="3"/>
      <c r="C2" s="13"/>
      <c r="D2" s="13"/>
      <c r="E2" s="13"/>
      <c r="F2" s="3"/>
      <c r="G2" s="3"/>
      <c r="H2" s="3"/>
      <c r="I2" s="135" t="s">
        <v>213</v>
      </c>
      <c r="J2" s="136"/>
      <c r="K2" s="136"/>
      <c r="L2" s="136"/>
      <c r="M2" s="136"/>
      <c r="N2" s="136"/>
      <c r="O2" s="136"/>
      <c r="P2" s="137" t="s">
        <v>229</v>
      </c>
      <c r="Q2" s="136"/>
      <c r="R2" s="136"/>
      <c r="S2" s="136"/>
      <c r="T2" s="138" t="s">
        <v>231</v>
      </c>
      <c r="U2" s="136"/>
      <c r="V2" s="138" t="s">
        <v>232</v>
      </c>
      <c r="W2" s="139" t="s">
        <v>86</v>
      </c>
    </row>
    <row r="3" spans="1:23" ht="15.75">
      <c r="A3" s="5" t="s">
        <v>186</v>
      </c>
      <c r="B3" s="3"/>
      <c r="C3" s="140" t="s">
        <v>198</v>
      </c>
      <c r="D3" s="136"/>
      <c r="E3" s="136"/>
      <c r="F3" s="139"/>
      <c r="G3" s="3"/>
      <c r="H3" s="3"/>
      <c r="I3" s="135" t="s">
        <v>214</v>
      </c>
      <c r="J3" s="136"/>
      <c r="K3" s="136"/>
      <c r="L3" s="135" t="s">
        <v>224</v>
      </c>
      <c r="M3" s="136"/>
      <c r="N3" s="136"/>
      <c r="O3" s="136"/>
      <c r="P3" s="141"/>
      <c r="Q3" s="142"/>
      <c r="R3" s="143"/>
      <c r="S3" s="143"/>
      <c r="T3" s="141"/>
      <c r="U3" s="142"/>
      <c r="V3" s="141"/>
      <c r="W3" s="139"/>
    </row>
    <row r="4" spans="1:23">
      <c r="A4" s="144" t="s">
        <v>187</v>
      </c>
      <c r="B4" s="145"/>
      <c r="C4" s="146" t="s">
        <v>199</v>
      </c>
      <c r="D4" s="147" t="s">
        <v>161</v>
      </c>
      <c r="E4" s="147" t="s">
        <v>205</v>
      </c>
      <c r="F4" s="139"/>
      <c r="G4" s="3"/>
      <c r="H4" s="3"/>
      <c r="I4" s="148"/>
      <c r="J4" s="149" t="s">
        <v>220</v>
      </c>
      <c r="K4" s="150"/>
      <c r="L4" s="151"/>
      <c r="M4" s="7"/>
      <c r="N4" s="149" t="s">
        <v>224</v>
      </c>
      <c r="O4" s="150"/>
      <c r="P4" s="152"/>
      <c r="Q4" s="9"/>
      <c r="R4" s="3"/>
      <c r="S4" s="3"/>
      <c r="T4" s="119"/>
      <c r="U4" s="9"/>
      <c r="V4" s="119"/>
      <c r="W4" s="139"/>
    </row>
    <row r="5" spans="1:23">
      <c r="A5" s="139"/>
      <c r="B5" s="3"/>
      <c r="C5" s="153" t="s">
        <v>49</v>
      </c>
      <c r="D5" s="12" t="s">
        <v>49</v>
      </c>
      <c r="E5" s="12" t="s">
        <v>49</v>
      </c>
      <c r="F5" s="139"/>
      <c r="G5" s="3"/>
      <c r="H5" s="3"/>
      <c r="I5" s="153" t="s">
        <v>161</v>
      </c>
      <c r="J5" s="154" t="s">
        <v>221</v>
      </c>
      <c r="K5" s="155"/>
      <c r="L5" s="153" t="s">
        <v>161</v>
      </c>
      <c r="M5" s="12" t="s">
        <v>161</v>
      </c>
      <c r="N5" s="154" t="s">
        <v>221</v>
      </c>
      <c r="O5" s="155"/>
      <c r="P5" s="152" t="s">
        <v>161</v>
      </c>
      <c r="Q5" s="154" t="s">
        <v>221</v>
      </c>
      <c r="R5" s="155"/>
      <c r="S5" s="155"/>
      <c r="T5" s="119"/>
      <c r="U5" s="9"/>
      <c r="V5" s="119"/>
      <c r="W5" s="139"/>
    </row>
    <row r="6" spans="1:23">
      <c r="A6" s="156" t="s">
        <v>49</v>
      </c>
      <c r="B6" s="143"/>
      <c r="C6" s="146" t="s">
        <v>200</v>
      </c>
      <c r="D6" s="147" t="s">
        <v>202</v>
      </c>
      <c r="E6" s="147" t="s">
        <v>206</v>
      </c>
      <c r="F6" s="139"/>
      <c r="G6" s="3"/>
      <c r="H6" s="3"/>
      <c r="I6" s="139"/>
      <c r="J6" s="9"/>
      <c r="K6" s="3"/>
      <c r="L6" s="153" t="s">
        <v>225</v>
      </c>
      <c r="M6" s="12" t="s">
        <v>228</v>
      </c>
      <c r="N6" s="9"/>
      <c r="O6" s="3"/>
      <c r="P6" s="152"/>
      <c r="Q6" s="9"/>
      <c r="R6" s="3"/>
      <c r="S6" s="3"/>
      <c r="T6" s="119"/>
      <c r="U6" s="9"/>
      <c r="V6" s="119"/>
      <c r="W6" s="139"/>
    </row>
    <row r="7" spans="1:23">
      <c r="A7" s="139" t="s">
        <v>188</v>
      </c>
      <c r="B7" s="3"/>
      <c r="C7" s="153"/>
      <c r="D7" s="12" t="s">
        <v>203</v>
      </c>
      <c r="E7" s="12" t="s">
        <v>207</v>
      </c>
      <c r="F7" s="139"/>
      <c r="G7" s="3"/>
      <c r="H7" s="3"/>
      <c r="I7" s="139"/>
      <c r="J7" s="157"/>
      <c r="K7" s="158"/>
      <c r="L7" s="153" t="s">
        <v>226</v>
      </c>
      <c r="M7" s="12" t="s">
        <v>226</v>
      </c>
      <c r="N7" s="157"/>
      <c r="O7" s="158"/>
      <c r="P7" s="152"/>
      <c r="Q7" s="157"/>
      <c r="R7" s="157"/>
      <c r="S7" s="158"/>
      <c r="T7" s="119"/>
      <c r="U7" s="9"/>
      <c r="V7" s="119"/>
      <c r="W7" s="139"/>
    </row>
    <row r="8" spans="1:23">
      <c r="A8" s="139" t="s">
        <v>189</v>
      </c>
      <c r="B8" s="3"/>
      <c r="C8" s="153"/>
      <c r="D8" s="12" t="s">
        <v>204</v>
      </c>
      <c r="E8" s="12" t="s">
        <v>208</v>
      </c>
      <c r="F8" s="139"/>
      <c r="G8" s="3"/>
      <c r="H8" s="3"/>
      <c r="I8" s="139"/>
      <c r="J8" s="159"/>
      <c r="K8" s="160"/>
      <c r="L8" s="153" t="s">
        <v>227</v>
      </c>
      <c r="M8" s="12" t="s">
        <v>227</v>
      </c>
      <c r="N8" s="159"/>
      <c r="O8" s="160"/>
      <c r="P8" s="152"/>
      <c r="Q8" s="159"/>
      <c r="R8" s="159"/>
      <c r="S8" s="160"/>
      <c r="T8" s="119"/>
      <c r="U8" s="9"/>
      <c r="V8" s="119"/>
      <c r="W8" s="139"/>
    </row>
    <row r="9" spans="1:23">
      <c r="A9" s="139" t="s">
        <v>190</v>
      </c>
      <c r="B9" s="3"/>
      <c r="C9" s="153"/>
      <c r="D9" s="12"/>
      <c r="E9" s="12" t="s">
        <v>209</v>
      </c>
      <c r="F9" s="139"/>
      <c r="G9" s="3"/>
      <c r="H9" s="3"/>
      <c r="I9" s="139"/>
      <c r="J9" s="159"/>
      <c r="K9" s="160"/>
      <c r="L9" s="153"/>
      <c r="M9" s="12"/>
      <c r="N9" s="159"/>
      <c r="O9" s="160"/>
      <c r="P9" s="152"/>
      <c r="Q9" s="159"/>
      <c r="R9" s="159"/>
      <c r="S9" s="160"/>
      <c r="T9" s="119"/>
      <c r="U9" s="9"/>
      <c r="V9" s="119"/>
      <c r="W9" s="139"/>
    </row>
    <row r="10" spans="1:23">
      <c r="A10" s="139" t="s">
        <v>191</v>
      </c>
      <c r="B10" s="3"/>
      <c r="C10" s="153"/>
      <c r="D10" s="12"/>
      <c r="E10" s="12" t="s">
        <v>210</v>
      </c>
      <c r="F10" s="139"/>
      <c r="G10" s="3"/>
      <c r="H10" s="3"/>
      <c r="I10" s="139"/>
      <c r="J10" s="159"/>
      <c r="K10" s="160"/>
      <c r="L10" s="153"/>
      <c r="M10" s="12"/>
      <c r="N10" s="159"/>
      <c r="O10" s="160"/>
      <c r="P10" s="152"/>
      <c r="Q10" s="159"/>
      <c r="R10" s="159"/>
      <c r="S10" s="160"/>
      <c r="T10" s="119"/>
      <c r="U10" s="9"/>
      <c r="V10" s="119"/>
      <c r="W10" s="139"/>
    </row>
    <row r="11" spans="1:23">
      <c r="A11" s="139" t="s">
        <v>192</v>
      </c>
      <c r="B11" s="3"/>
      <c r="C11" s="153"/>
      <c r="D11" s="12"/>
      <c r="E11" s="12" t="s">
        <v>211</v>
      </c>
      <c r="F11" s="139"/>
      <c r="G11" s="3"/>
      <c r="H11" s="3"/>
      <c r="I11" s="139"/>
      <c r="J11" s="159"/>
      <c r="K11" s="160"/>
      <c r="L11" s="153"/>
      <c r="M11" s="12"/>
      <c r="N11" s="159"/>
      <c r="O11" s="160"/>
      <c r="P11" s="152"/>
      <c r="Q11" s="159"/>
      <c r="R11" s="159"/>
      <c r="S11" s="160"/>
      <c r="T11" s="119"/>
      <c r="U11" s="9"/>
      <c r="V11" s="119"/>
      <c r="W11" s="139"/>
    </row>
    <row r="12" spans="1:23">
      <c r="A12" s="143" t="s">
        <v>193</v>
      </c>
      <c r="B12" s="143"/>
      <c r="C12" s="161"/>
      <c r="D12" s="161"/>
      <c r="E12" s="161"/>
      <c r="F12" s="3"/>
      <c r="G12" s="3"/>
      <c r="H12" s="3"/>
      <c r="I12" s="139"/>
      <c r="J12" s="159"/>
      <c r="K12" s="160"/>
      <c r="L12" s="153"/>
      <c r="M12" s="12"/>
      <c r="N12" s="159"/>
      <c r="O12" s="160"/>
      <c r="P12" s="152"/>
      <c r="Q12" s="159"/>
      <c r="R12" s="159"/>
      <c r="S12" s="160"/>
      <c r="T12" s="119"/>
      <c r="U12" s="9"/>
      <c r="V12" s="119"/>
      <c r="W12" s="139"/>
    </row>
    <row r="13" spans="1:23">
      <c r="A13" s="3"/>
      <c r="B13" s="3"/>
      <c r="C13" s="13"/>
      <c r="D13" s="13"/>
      <c r="E13" s="13"/>
      <c r="F13" s="3"/>
      <c r="G13" s="3"/>
      <c r="H13" s="3"/>
      <c r="I13" s="139"/>
      <c r="J13" s="159"/>
      <c r="K13" s="160"/>
      <c r="L13" s="153"/>
      <c r="M13" s="12"/>
      <c r="N13" s="159"/>
      <c r="O13" s="160"/>
      <c r="P13" s="152"/>
      <c r="Q13" s="159"/>
      <c r="R13" s="159"/>
      <c r="S13" s="160"/>
      <c r="T13" s="119"/>
      <c r="U13" s="9"/>
      <c r="V13" s="119"/>
      <c r="W13" s="139"/>
    </row>
    <row r="14" spans="1:23">
      <c r="A14" s="3"/>
      <c r="B14" s="3"/>
      <c r="C14" s="13"/>
      <c r="D14" s="13"/>
      <c r="E14" s="13"/>
      <c r="F14" s="3"/>
      <c r="G14" s="3"/>
      <c r="H14" s="3"/>
      <c r="I14" s="139"/>
      <c r="J14" s="159"/>
      <c r="K14" s="160"/>
      <c r="L14" s="153"/>
      <c r="M14" s="12"/>
      <c r="N14" s="159"/>
      <c r="O14" s="160"/>
      <c r="P14" s="152"/>
      <c r="Q14" s="159"/>
      <c r="R14" s="159"/>
      <c r="S14" s="160"/>
      <c r="T14" s="119"/>
      <c r="U14" s="9"/>
      <c r="V14" s="119"/>
      <c r="W14" s="139"/>
    </row>
    <row r="15" spans="1:23">
      <c r="A15" s="3"/>
      <c r="B15" s="3"/>
      <c r="C15" s="13"/>
      <c r="D15" s="13"/>
      <c r="E15" s="13"/>
      <c r="F15" s="3"/>
      <c r="G15" s="3"/>
      <c r="H15" s="3"/>
      <c r="I15" s="139"/>
      <c r="J15" s="159"/>
      <c r="K15" s="160"/>
      <c r="L15" s="153"/>
      <c r="M15" s="12"/>
      <c r="N15" s="159"/>
      <c r="O15" s="160"/>
      <c r="P15" s="152"/>
      <c r="Q15" s="159"/>
      <c r="R15" s="159"/>
      <c r="S15" s="160"/>
      <c r="T15" s="119"/>
      <c r="U15" s="9"/>
      <c r="V15" s="119"/>
      <c r="W15" s="139"/>
    </row>
    <row r="16" spans="1:23">
      <c r="A16" s="3" t="s">
        <v>194</v>
      </c>
      <c r="B16" s="3"/>
      <c r="C16" s="13"/>
      <c r="D16" s="13"/>
      <c r="E16" s="13"/>
      <c r="F16" s="3"/>
      <c r="G16" s="3"/>
      <c r="H16" s="3"/>
      <c r="I16" s="139"/>
      <c r="J16" s="159"/>
      <c r="K16" s="160"/>
      <c r="L16" s="153"/>
      <c r="M16" s="12"/>
      <c r="N16" s="159"/>
      <c r="O16" s="160"/>
      <c r="P16" s="152"/>
      <c r="Q16" s="159"/>
      <c r="R16" s="159"/>
      <c r="S16" s="160"/>
      <c r="T16" s="119"/>
      <c r="U16" s="9"/>
      <c r="V16" s="119"/>
      <c r="W16" s="139"/>
    </row>
    <row r="17" spans="1:23">
      <c r="A17" s="3" t="s">
        <v>195</v>
      </c>
      <c r="B17" s="14"/>
      <c r="C17" s="162" t="s">
        <v>201</v>
      </c>
      <c r="D17" s="13"/>
      <c r="E17" s="13"/>
      <c r="F17" s="3"/>
      <c r="G17" s="3"/>
      <c r="H17" s="3"/>
      <c r="I17" s="139"/>
      <c r="J17" s="159"/>
      <c r="K17" s="160"/>
      <c r="L17" s="153"/>
      <c r="M17" s="12"/>
      <c r="N17" s="159"/>
      <c r="O17" s="160"/>
      <c r="P17" s="152"/>
      <c r="Q17" s="159"/>
      <c r="R17" s="159"/>
      <c r="S17" s="160"/>
      <c r="T17" s="119"/>
      <c r="U17" s="9"/>
      <c r="V17" s="119"/>
      <c r="W17" s="139"/>
    </row>
    <row r="18" spans="1:23">
      <c r="A18" s="3" t="s">
        <v>196</v>
      </c>
      <c r="B18" s="3"/>
      <c r="C18" s="7"/>
      <c r="D18" s="13"/>
      <c r="E18" s="13"/>
      <c r="F18" s="3"/>
      <c r="G18" s="3"/>
      <c r="H18" s="3"/>
      <c r="I18" s="139"/>
      <c r="J18" s="159"/>
      <c r="K18" s="160"/>
      <c r="L18" s="153"/>
      <c r="M18" s="12"/>
      <c r="N18" s="159"/>
      <c r="O18" s="160"/>
      <c r="P18" s="152"/>
      <c r="Q18" s="159"/>
      <c r="R18" s="159"/>
      <c r="S18" s="160"/>
      <c r="T18" s="119"/>
      <c r="U18" s="9"/>
      <c r="V18" s="119"/>
      <c r="W18" s="139"/>
    </row>
    <row r="19" spans="1:23">
      <c r="A19" s="3"/>
      <c r="B19" s="14"/>
      <c r="C19" s="13"/>
      <c r="D19" s="13"/>
      <c r="E19" s="13"/>
      <c r="F19" s="3"/>
      <c r="G19" s="3"/>
      <c r="H19" s="3"/>
      <c r="I19" s="139"/>
      <c r="J19" s="159"/>
      <c r="K19" s="160"/>
      <c r="L19" s="153"/>
      <c r="M19" s="12"/>
      <c r="N19" s="159"/>
      <c r="O19" s="160"/>
      <c r="P19" s="152"/>
      <c r="Q19" s="159"/>
      <c r="R19" s="159"/>
      <c r="S19" s="160"/>
      <c r="T19" s="119"/>
      <c r="U19" s="9"/>
      <c r="V19" s="119"/>
      <c r="W19" s="139"/>
    </row>
    <row r="20" spans="1:23">
      <c r="A20" s="3" t="s">
        <v>197</v>
      </c>
      <c r="B20" s="3"/>
      <c r="C20" s="13"/>
      <c r="D20" s="13"/>
      <c r="E20" s="13"/>
      <c r="F20" s="3"/>
      <c r="G20" s="3"/>
      <c r="H20" s="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3"/>
    </row>
    <row r="21" spans="1:23">
      <c r="A21" s="3"/>
      <c r="B21" s="3"/>
      <c r="C21" s="13"/>
      <c r="D21" s="13"/>
      <c r="E21" s="1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3"/>
      <c r="B22" s="3"/>
      <c r="C22" s="13"/>
      <c r="D22" s="13"/>
      <c r="E22" s="1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>
      <c r="A23" s="3"/>
      <c r="B23" s="3"/>
      <c r="C23" s="13"/>
      <c r="D23" s="13"/>
      <c r="E23" s="13"/>
      <c r="F23" s="3"/>
      <c r="G23" s="3"/>
      <c r="H23" s="3"/>
      <c r="I23" s="157"/>
      <c r="J23" s="163"/>
      <c r="K23" s="9" t="s">
        <v>222</v>
      </c>
      <c r="L23" s="3"/>
      <c r="M23" s="3"/>
      <c r="N23" s="3"/>
      <c r="O23" s="3"/>
      <c r="P23" s="3"/>
      <c r="Q23" s="3" t="s">
        <v>230</v>
      </c>
      <c r="R23" s="3"/>
      <c r="S23" s="3"/>
      <c r="T23" s="3"/>
      <c r="U23" s="3"/>
      <c r="V23" s="3"/>
      <c r="W23" s="3"/>
    </row>
    <row r="24" spans="1:23">
      <c r="A24" s="3"/>
      <c r="B24" s="3"/>
      <c r="C24" s="13"/>
      <c r="D24" s="13"/>
      <c r="E24" s="13"/>
      <c r="F24" s="3"/>
      <c r="G24" s="3"/>
      <c r="H24" s="3"/>
      <c r="I24" s="158"/>
      <c r="J24" s="164"/>
      <c r="K24" s="9" t="s">
        <v>223</v>
      </c>
      <c r="L24" s="3"/>
      <c r="M24" s="3"/>
      <c r="N24" s="14"/>
      <c r="O24" s="14"/>
      <c r="P24" s="14"/>
      <c r="Q24" s="3"/>
      <c r="R24" s="3"/>
      <c r="S24" s="3"/>
      <c r="T24" s="3"/>
      <c r="U24" s="3"/>
      <c r="V24" s="3"/>
      <c r="W24" s="3"/>
    </row>
    <row r="25" spans="1:23">
      <c r="A25" s="3"/>
      <c r="B25" s="3"/>
      <c r="C25" s="13"/>
      <c r="D25" s="13"/>
      <c r="E25" s="13"/>
      <c r="F25" s="3"/>
      <c r="G25" s="3"/>
      <c r="H25" s="3"/>
      <c r="I25" s="14"/>
      <c r="J25" s="1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>
      <c r="A26" s="3"/>
      <c r="B26" s="3"/>
      <c r="C26" s="13"/>
      <c r="D26" s="13"/>
      <c r="E26" s="13"/>
      <c r="F26" s="3"/>
      <c r="G26" s="3"/>
      <c r="H26" s="3"/>
      <c r="I26" s="3" t="s">
        <v>215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>
      <c r="A27" s="3"/>
      <c r="B27" s="3"/>
      <c r="C27" s="13"/>
      <c r="D27" s="13"/>
      <c r="E27" s="13"/>
      <c r="F27" s="3"/>
      <c r="G27" s="3"/>
      <c r="H27" s="3"/>
      <c r="I27" s="143"/>
      <c r="J27" s="14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>
      <c r="A28" s="3"/>
      <c r="B28" s="3"/>
      <c r="C28" s="13"/>
      <c r="D28" s="13"/>
      <c r="E28" s="13"/>
      <c r="F28" s="3"/>
      <c r="G28" s="3"/>
      <c r="H28" s="3"/>
      <c r="I28" s="3" t="s">
        <v>216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>
      <c r="A29" s="3"/>
      <c r="B29" s="3"/>
      <c r="C29" s="13"/>
      <c r="D29" s="13"/>
      <c r="E29" s="13"/>
      <c r="F29" s="3"/>
      <c r="G29" s="3"/>
      <c r="H29" s="3"/>
      <c r="I29" s="3" t="s">
        <v>217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>
      <c r="A30" s="3"/>
      <c r="B30" s="3"/>
      <c r="C30" s="13"/>
      <c r="D30" s="13"/>
      <c r="E30" s="13"/>
      <c r="F30" s="3"/>
      <c r="G30" s="3"/>
      <c r="H30" s="3"/>
      <c r="I30" s="3" t="s">
        <v>218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>
      <c r="A31" s="3"/>
      <c r="B31" s="3"/>
      <c r="C31" s="13"/>
      <c r="D31" s="13"/>
      <c r="E31" s="13"/>
      <c r="F31" s="3"/>
      <c r="G31" s="3"/>
      <c r="H31" s="3"/>
      <c r="I31" s="3" t="s">
        <v>219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>
      <c r="A32" s="3"/>
      <c r="B32" s="3"/>
      <c r="C32" s="13"/>
      <c r="D32" s="13"/>
      <c r="E32" s="1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>
      <c r="A33" s="3"/>
      <c r="B33" s="3"/>
      <c r="C33" s="13"/>
      <c r="D33" s="13"/>
      <c r="E33" s="1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>
      <c r="A34" s="3"/>
      <c r="B34" s="3"/>
      <c r="C34" s="13"/>
      <c r="D34" s="13"/>
      <c r="E34" s="1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>
      <c r="A35" s="3"/>
      <c r="B35" s="3"/>
      <c r="C35" s="13"/>
      <c r="D35" s="13"/>
      <c r="E35" s="1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>
      <c r="A36" s="3"/>
      <c r="B36" s="3"/>
      <c r="C36" s="13"/>
      <c r="D36" s="13"/>
      <c r="E36" s="1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>
      <c r="A37" s="3"/>
      <c r="B37" s="3"/>
      <c r="C37" s="13"/>
      <c r="D37" s="13"/>
      <c r="E37" s="1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>
      <c r="A38" s="3"/>
      <c r="B38" s="3"/>
      <c r="C38" s="13"/>
      <c r="D38" s="13"/>
      <c r="E38" s="1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>
      <c r="A39" s="3"/>
      <c r="B39" s="3"/>
      <c r="C39" s="13"/>
      <c r="D39" s="13"/>
      <c r="E39" s="1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>
      <c r="A40" s="3"/>
      <c r="B40" s="3"/>
      <c r="C40" s="13"/>
      <c r="D40" s="13"/>
      <c r="E40" s="1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>
      <c r="A41" s="3"/>
      <c r="B41" s="3"/>
      <c r="C41" s="13"/>
      <c r="D41" s="13"/>
      <c r="E41" s="1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>
      <c r="A42" s="3"/>
      <c r="B42" s="3"/>
      <c r="C42" s="13"/>
      <c r="D42" s="13"/>
      <c r="E42" s="1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>
      <c r="A43" s="3"/>
      <c r="B43" s="3"/>
      <c r="C43" s="13"/>
      <c r="D43" s="13"/>
      <c r="E43" s="1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>
      <c r="A44" s="3"/>
      <c r="B44" s="3"/>
      <c r="C44" s="13"/>
      <c r="D44" s="13"/>
      <c r="E44" s="1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>
      <c r="A45" s="3"/>
      <c r="B45" s="3"/>
      <c r="C45" s="13"/>
      <c r="D45" s="13"/>
      <c r="E45" s="1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>
      <c r="A46" s="3"/>
      <c r="B46" s="3"/>
      <c r="C46" s="13"/>
      <c r="D46" s="13"/>
      <c r="E46" s="1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>
      <c r="A47" s="3"/>
      <c r="B47" s="3"/>
      <c r="C47" s="13"/>
      <c r="D47" s="13"/>
      <c r="E47" s="1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>
      <c r="A48" s="3"/>
      <c r="B48" s="3"/>
      <c r="C48" s="13"/>
      <c r="D48" s="13"/>
      <c r="E48" s="1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>
      <c r="A49" s="3"/>
      <c r="B49" s="3"/>
      <c r="C49" s="13"/>
      <c r="D49" s="13"/>
      <c r="E49" s="1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"/>
      <c r="B50" s="3"/>
      <c r="C50" s="13"/>
      <c r="D50" s="13"/>
      <c r="E50" s="1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3"/>
      <c r="B51" s="3"/>
      <c r="C51" s="13"/>
      <c r="D51" s="13"/>
      <c r="E51" s="1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3"/>
      <c r="B52" s="3"/>
      <c r="C52" s="13"/>
      <c r="D52" s="13"/>
      <c r="E52" s="1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3"/>
      <c r="B53" s="3"/>
      <c r="C53" s="13"/>
      <c r="D53" s="13"/>
      <c r="E53" s="1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3"/>
      <c r="B54" s="3"/>
      <c r="C54" s="13"/>
      <c r="D54" s="13"/>
      <c r="E54" s="1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>
      <c r="A55" s="3"/>
      <c r="B55" s="3"/>
      <c r="C55" s="13"/>
      <c r="D55" s="13"/>
      <c r="E55" s="1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>
      <c r="A56" s="3"/>
      <c r="B56" s="3"/>
      <c r="C56" s="13"/>
      <c r="D56" s="13"/>
      <c r="E56" s="1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3"/>
      <c r="B57" s="3"/>
      <c r="C57" s="13"/>
      <c r="D57" s="13"/>
      <c r="E57" s="1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3"/>
      <c r="B58" s="3"/>
      <c r="C58" s="13"/>
      <c r="D58" s="13"/>
      <c r="E58" s="1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3"/>
      <c r="B59" s="3"/>
      <c r="C59" s="13"/>
      <c r="D59" s="13"/>
      <c r="E59" s="1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3"/>
      <c r="B60" s="3"/>
      <c r="C60" s="13"/>
      <c r="D60" s="13"/>
      <c r="E60" s="1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3"/>
      <c r="B61" s="3"/>
      <c r="C61" s="13"/>
      <c r="D61" s="13"/>
      <c r="E61" s="1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>
      <c r="A62" s="3"/>
      <c r="B62" s="3"/>
      <c r="C62" s="13"/>
      <c r="D62" s="13"/>
      <c r="E62" s="1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3"/>
      <c r="B63" s="3"/>
      <c r="C63" s="13"/>
      <c r="D63" s="13"/>
      <c r="E63" s="1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A64" s="3"/>
      <c r="B64" s="3"/>
      <c r="C64" s="13"/>
      <c r="D64" s="13"/>
      <c r="E64" s="1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>
      <c r="A65" s="3"/>
      <c r="B65" s="3"/>
      <c r="C65" s="13"/>
      <c r="D65" s="13"/>
      <c r="E65" s="1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>
      <c r="A66" s="3"/>
      <c r="B66" s="3"/>
      <c r="C66" s="13"/>
      <c r="D66" s="13"/>
      <c r="E66" s="1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>
      <c r="A67" s="3"/>
      <c r="B67" s="3"/>
      <c r="C67" s="13"/>
      <c r="D67" s="13"/>
      <c r="E67" s="1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>
      <c r="A68" s="3"/>
      <c r="B68" s="3"/>
      <c r="C68" s="13"/>
      <c r="D68" s="13"/>
      <c r="E68" s="1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>
      <c r="A69" s="3"/>
      <c r="B69" s="3"/>
      <c r="C69" s="13"/>
      <c r="D69" s="13"/>
      <c r="E69" s="1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>
      <c r="A70" s="3"/>
      <c r="B70" s="3"/>
      <c r="C70" s="13"/>
      <c r="D70" s="13"/>
      <c r="E70" s="1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>
      <c r="A71" s="3"/>
      <c r="B71" s="3"/>
      <c r="C71" s="13"/>
      <c r="D71" s="13"/>
      <c r="E71" s="1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>
      <c r="A72" s="3"/>
      <c r="B72" s="3"/>
      <c r="C72" s="13"/>
      <c r="D72" s="13"/>
      <c r="E72" s="1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>
      <c r="A73" s="3"/>
      <c r="B73" s="3"/>
      <c r="C73" s="13"/>
      <c r="D73" s="13"/>
      <c r="E73" s="1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>
      <c r="A74" s="3"/>
      <c r="B74" s="3"/>
      <c r="C74" s="13"/>
      <c r="D74" s="13"/>
      <c r="E74" s="1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>
      <c r="A75" s="3"/>
      <c r="B75" s="3"/>
      <c r="C75" s="13"/>
      <c r="D75" s="13"/>
      <c r="E75" s="1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>
      <c r="A76" s="3"/>
      <c r="B76" s="3"/>
      <c r="C76" s="13"/>
      <c r="D76" s="13"/>
      <c r="E76" s="1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>
      <c r="A77" s="3"/>
      <c r="B77" s="3"/>
      <c r="C77" s="13"/>
      <c r="D77" s="13"/>
      <c r="E77" s="1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>
      <c r="A78" s="3"/>
      <c r="B78" s="3"/>
      <c r="C78" s="13"/>
      <c r="D78" s="13"/>
      <c r="E78" s="1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>
      <c r="A79" s="3"/>
      <c r="B79" s="3"/>
      <c r="C79" s="13"/>
      <c r="D79" s="13"/>
      <c r="E79" s="1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A80" s="3"/>
      <c r="B80" s="3"/>
      <c r="C80" s="13"/>
      <c r="D80" s="13"/>
      <c r="E80" s="1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>
      <c r="A81" s="3"/>
      <c r="B81" s="3"/>
      <c r="C81" s="13"/>
      <c r="D81" s="13"/>
      <c r="E81" s="1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</sheetData>
  <phoneticPr fontId="9" type="noConversion"/>
  <pageMargins left="0.25" right="0.25694444444444442" top="0.25" bottom="0.25" header="0" footer="0"/>
  <pageSetup scale="71" orientation="landscape" r:id="rId1"/>
  <headerFooter alignWithMargins="0"/>
  <customProperties>
    <customPr name="_pios_id" r:id="rId2"/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3A5B-56A1-4C80-ACD1-2B94EC9CE9AE}">
  <sheetPr>
    <tabColor rgb="FFFFC000"/>
  </sheetPr>
  <dimension ref="A1:BA469"/>
  <sheetViews>
    <sheetView showGridLines="0" tabSelected="1" topLeftCell="A217" zoomScale="70" zoomScaleNormal="70" workbookViewId="0">
      <selection activeCell="L247" sqref="L247"/>
    </sheetView>
  </sheetViews>
  <sheetFormatPr defaultColWidth="9.6640625" defaultRowHeight="15"/>
  <cols>
    <col min="1" max="1" width="8.33203125" style="1" customWidth="1"/>
    <col min="2" max="13" width="6.6640625" style="1" customWidth="1"/>
    <col min="14" max="14" width="19.109375" style="1" customWidth="1"/>
    <col min="15" max="15" width="9.6640625" style="1" customWidth="1"/>
    <col min="16" max="17" width="8.109375" style="225" customWidth="1"/>
    <col min="18" max="19" width="8.77734375" style="225" customWidth="1"/>
    <col min="20" max="27" width="8.109375" style="225" customWidth="1"/>
    <col min="28" max="34" width="6.6640625" style="1" customWidth="1"/>
    <col min="35" max="35" width="7.6640625" style="1" customWidth="1"/>
    <col min="36" max="37" width="6.6640625" style="1" customWidth="1"/>
    <col min="38" max="38" width="7.109375" style="1" customWidth="1"/>
    <col min="39" max="39" width="5.5546875" style="1" bestFit="1" customWidth="1"/>
    <col min="40" max="40" width="5.6640625" style="1" customWidth="1"/>
    <col min="41" max="52" width="6.6640625" style="1" customWidth="1"/>
    <col min="53" max="16384" width="9.6640625" style="1"/>
  </cols>
  <sheetData>
    <row r="1" spans="1:53" ht="15.75">
      <c r="A1" s="5" t="s">
        <v>59</v>
      </c>
      <c r="H1" s="21" t="s">
        <v>84</v>
      </c>
      <c r="K1" s="22" t="s">
        <v>87</v>
      </c>
    </row>
    <row r="2" spans="1:53" ht="15.75">
      <c r="A2" s="310"/>
      <c r="H2" s="22" t="s">
        <v>85</v>
      </c>
      <c r="R2" s="225" t="s">
        <v>94</v>
      </c>
    </row>
    <row r="3" spans="1:53" ht="15.75">
      <c r="A3" s="310"/>
      <c r="H3" s="22"/>
    </row>
    <row r="4" spans="1:53" ht="15.75">
      <c r="B4" s="5" t="s">
        <v>72</v>
      </c>
      <c r="AA4" s="90" t="s">
        <v>100</v>
      </c>
      <c r="AO4" s="5" t="s">
        <v>101</v>
      </c>
    </row>
    <row r="5" spans="1:53" ht="15.75">
      <c r="B5" s="5"/>
      <c r="Q5" s="311"/>
      <c r="R5" s="307" t="s">
        <v>48</v>
      </c>
      <c r="S5" s="307" t="s">
        <v>50</v>
      </c>
      <c r="T5" s="451" t="s">
        <v>289</v>
      </c>
      <c r="U5" s="452"/>
      <c r="AA5" s="90"/>
      <c r="AO5" s="5"/>
    </row>
    <row r="6" spans="1:53">
      <c r="A6" s="165"/>
      <c r="B6" s="165" t="s">
        <v>4</v>
      </c>
      <c r="C6" s="165" t="s">
        <v>8</v>
      </c>
      <c r="D6" s="165" t="s">
        <v>9</v>
      </c>
      <c r="E6" s="165" t="s">
        <v>10</v>
      </c>
      <c r="F6" s="165" t="s">
        <v>11</v>
      </c>
      <c r="G6" s="165" t="s">
        <v>12</v>
      </c>
      <c r="H6" s="165" t="s">
        <v>13</v>
      </c>
      <c r="I6" s="391" t="s">
        <v>15</v>
      </c>
      <c r="J6" s="391" t="s">
        <v>16</v>
      </c>
      <c r="K6" s="391" t="s">
        <v>17</v>
      </c>
      <c r="L6" s="391" t="s">
        <v>18</v>
      </c>
      <c r="M6" s="165" t="s">
        <v>19</v>
      </c>
      <c r="N6" s="165"/>
      <c r="O6" s="165"/>
      <c r="Q6" s="312"/>
      <c r="R6" s="313" t="s">
        <v>49</v>
      </c>
      <c r="S6" s="313" t="s">
        <v>49</v>
      </c>
      <c r="T6" s="314" t="s">
        <v>96</v>
      </c>
      <c r="U6" s="315" t="s">
        <v>51</v>
      </c>
      <c r="AA6" s="225" t="s">
        <v>4</v>
      </c>
      <c r="AB6" s="165" t="s">
        <v>8</v>
      </c>
      <c r="AC6" s="165" t="s">
        <v>9</v>
      </c>
      <c r="AD6" s="316" t="s">
        <v>10</v>
      </c>
      <c r="AE6" s="165" t="s">
        <v>11</v>
      </c>
      <c r="AF6" s="165" t="s">
        <v>12</v>
      </c>
      <c r="AG6" s="165" t="s">
        <v>13</v>
      </c>
      <c r="AH6" s="165" t="s">
        <v>15</v>
      </c>
      <c r="AI6" s="165" t="s">
        <v>16</v>
      </c>
      <c r="AJ6" s="165" t="s">
        <v>17</v>
      </c>
      <c r="AK6" s="165" t="s">
        <v>18</v>
      </c>
      <c r="AL6" s="165" t="s">
        <v>19</v>
      </c>
      <c r="AM6" s="165"/>
      <c r="AN6" s="165"/>
      <c r="AO6" s="165" t="s">
        <v>4</v>
      </c>
      <c r="AP6" s="165" t="s">
        <v>8</v>
      </c>
      <c r="AQ6" s="165" t="s">
        <v>9</v>
      </c>
      <c r="AR6" s="165" t="s">
        <v>10</v>
      </c>
      <c r="AS6" s="165" t="s">
        <v>11</v>
      </c>
      <c r="AT6" s="165" t="s">
        <v>12</v>
      </c>
      <c r="AU6" s="165" t="s">
        <v>13</v>
      </c>
      <c r="AV6" s="165" t="s">
        <v>15</v>
      </c>
      <c r="AW6" s="165" t="s">
        <v>16</v>
      </c>
      <c r="AX6" s="165" t="s">
        <v>17</v>
      </c>
      <c r="AY6" s="165" t="s">
        <v>18</v>
      </c>
      <c r="AZ6" s="165" t="s">
        <v>19</v>
      </c>
      <c r="BA6" s="165"/>
    </row>
    <row r="7" spans="1:53" ht="15.75">
      <c r="A7" s="323">
        <f>'Instant Old no Delete'!A7</f>
        <v>1973</v>
      </c>
      <c r="B7" s="14">
        <v>1335</v>
      </c>
      <c r="C7" s="174">
        <v>1405</v>
      </c>
      <c r="D7" s="14">
        <v>1245</v>
      </c>
      <c r="E7" s="14">
        <v>1190</v>
      </c>
      <c r="F7" s="14">
        <v>1470</v>
      </c>
      <c r="G7" s="14">
        <v>1485</v>
      </c>
      <c r="H7" s="14">
        <v>1470</v>
      </c>
      <c r="I7" s="3">
        <v>1535</v>
      </c>
      <c r="J7" s="168">
        <v>1543</v>
      </c>
      <c r="K7" s="174">
        <v>1468</v>
      </c>
      <c r="L7" s="3">
        <v>1330</v>
      </c>
      <c r="M7" s="14">
        <v>1450</v>
      </c>
      <c r="Q7" s="288" t="s">
        <v>20</v>
      </c>
      <c r="R7" s="257"/>
      <c r="S7" s="257">
        <f t="shared" ref="S7:S57" si="0">MAX(E7:K7)</f>
        <v>1543</v>
      </c>
      <c r="T7" s="317"/>
      <c r="U7" s="318">
        <f t="shared" ref="U7:U56" si="1">MAX(B7:D7)</f>
        <v>1405</v>
      </c>
      <c r="Z7" s="225">
        <f t="shared" ref="Z7:Z48" si="2">A7</f>
        <v>1973</v>
      </c>
      <c r="AA7" s="319"/>
      <c r="AB7" s="31"/>
      <c r="AC7" s="31"/>
      <c r="AD7" s="30"/>
      <c r="AE7" s="31"/>
      <c r="AF7" s="31"/>
      <c r="AG7" s="31"/>
      <c r="AH7" s="31"/>
      <c r="AI7" s="31"/>
      <c r="AJ7" s="31"/>
      <c r="AK7" s="31"/>
      <c r="AL7" s="368"/>
      <c r="AN7" s="1">
        <f t="shared" ref="AN7:AN58" si="3">Z7</f>
        <v>1973</v>
      </c>
      <c r="AO7" s="30"/>
      <c r="AP7" s="31"/>
      <c r="AQ7" s="15"/>
      <c r="AR7" s="31"/>
      <c r="AS7" s="31"/>
      <c r="AT7" s="31"/>
      <c r="AU7" s="31"/>
      <c r="AV7" s="31"/>
      <c r="AW7" s="31"/>
      <c r="AX7" s="31"/>
      <c r="AY7" s="31"/>
      <c r="AZ7" s="31"/>
    </row>
    <row r="8" spans="1:53" ht="15.75">
      <c r="A8" s="323">
        <f>'Instant Old no Delete'!A8</f>
        <v>1974</v>
      </c>
      <c r="B8" s="3">
        <v>1240</v>
      </c>
      <c r="C8" s="3">
        <v>1435</v>
      </c>
      <c r="D8" s="3">
        <v>1325</v>
      </c>
      <c r="E8" s="3">
        <v>1420</v>
      </c>
      <c r="F8" s="3">
        <v>1490</v>
      </c>
      <c r="G8" s="3">
        <v>1605</v>
      </c>
      <c r="H8" s="3">
        <v>1515</v>
      </c>
      <c r="I8" s="3">
        <v>1570</v>
      </c>
      <c r="J8" s="168">
        <v>1625</v>
      </c>
      <c r="K8" s="3">
        <v>1395</v>
      </c>
      <c r="L8" s="3">
        <v>1328</v>
      </c>
      <c r="M8" s="3">
        <v>1530</v>
      </c>
      <c r="Q8" s="288" t="s">
        <v>21</v>
      </c>
      <c r="R8" s="257">
        <f>MAX(T8:U8)</f>
        <v>1450</v>
      </c>
      <c r="S8" s="257">
        <f t="shared" si="0"/>
        <v>1625</v>
      </c>
      <c r="T8" s="317">
        <f>MAX(L7:M7)</f>
        <v>1450</v>
      </c>
      <c r="U8" s="318">
        <f t="shared" si="1"/>
        <v>1435</v>
      </c>
      <c r="Z8" s="225">
        <f t="shared" si="2"/>
        <v>1974</v>
      </c>
      <c r="AA8" s="320" t="str">
        <f>IF(B124&lt;1000,(B8/$R8)," ")</f>
        <v xml:space="preserve"> </v>
      </c>
      <c r="AB8" s="321">
        <f>IF(C124&lt;1000,(C8/$R8)," ")</f>
        <v>0.98965517241379308</v>
      </c>
      <c r="AC8" s="321">
        <f>IF(D124&gt;1200,(D8/$S8)," ")</f>
        <v>0.81538461538461537</v>
      </c>
      <c r="AD8" s="321">
        <f>IF(E124&gt;1200,(E8/$S8)," ")</f>
        <v>0.87384615384615383</v>
      </c>
      <c r="AE8" s="321">
        <f>IF(F124&gt;1200,(F8/$S8)," ")</f>
        <v>0.91692307692307695</v>
      </c>
      <c r="AF8" s="321">
        <f>IF(G124&gt;1200,(G8/$S8)," ")</f>
        <v>0.98769230769230765</v>
      </c>
      <c r="AG8" s="321">
        <f>IF(H124&gt;1200,(H8/$S8)," ")</f>
        <v>0.93230769230769228</v>
      </c>
      <c r="AH8" s="321">
        <f>IF(I124&gt;1200,(I8/$S8)," ")</f>
        <v>0.96615384615384614</v>
      </c>
      <c r="AI8" s="321">
        <f>IF(J124&gt;1200,(J8/$S8)," ")</f>
        <v>1</v>
      </c>
      <c r="AJ8" s="321">
        <f>IF(K124&gt;1200,(K8/$S8)," ")</f>
        <v>0.8584615384615385</v>
      </c>
      <c r="AK8" s="321" t="str">
        <f>IF(L124&lt;1000,(L8/$R8)," ")</f>
        <v xml:space="preserve"> </v>
      </c>
      <c r="AL8" s="369" t="str">
        <f>IF(M124&lt;1000,(M8/$R9)," ")</f>
        <v xml:space="preserve"> </v>
      </c>
      <c r="AN8" s="1">
        <f t="shared" si="3"/>
        <v>1974</v>
      </c>
      <c r="AO8" s="20">
        <f t="shared" ref="AO8:AZ29" si="4">B8-B7</f>
        <v>-95</v>
      </c>
      <c r="AP8" s="1">
        <f t="shared" si="4"/>
        <v>30</v>
      </c>
      <c r="AQ8" s="1">
        <f t="shared" si="4"/>
        <v>80</v>
      </c>
      <c r="AR8" s="1">
        <f t="shared" si="4"/>
        <v>230</v>
      </c>
      <c r="AS8" s="1">
        <f t="shared" si="4"/>
        <v>20</v>
      </c>
      <c r="AT8" s="1">
        <f t="shared" si="4"/>
        <v>120</v>
      </c>
      <c r="AU8" s="1">
        <f t="shared" si="4"/>
        <v>45</v>
      </c>
      <c r="AV8" s="1">
        <f t="shared" si="4"/>
        <v>35</v>
      </c>
      <c r="AW8" s="1">
        <f t="shared" si="4"/>
        <v>82</v>
      </c>
      <c r="AX8" s="1">
        <f t="shared" si="4"/>
        <v>-73</v>
      </c>
      <c r="AY8" s="1">
        <f t="shared" si="4"/>
        <v>-2</v>
      </c>
      <c r="AZ8" s="1">
        <f t="shared" si="4"/>
        <v>80</v>
      </c>
    </row>
    <row r="9" spans="1:53" ht="15.75">
      <c r="A9" s="323">
        <f>'Instant Old no Delete'!A9</f>
        <v>1975</v>
      </c>
      <c r="B9" s="174">
        <v>1580</v>
      </c>
      <c r="C9" s="3">
        <v>1355</v>
      </c>
      <c r="D9" s="3">
        <v>1460</v>
      </c>
      <c r="E9" s="3">
        <v>1560</v>
      </c>
      <c r="F9" s="3">
        <v>1600</v>
      </c>
      <c r="G9" s="168">
        <v>1660</v>
      </c>
      <c r="H9" s="3">
        <v>1605</v>
      </c>
      <c r="I9" s="3">
        <v>1615</v>
      </c>
      <c r="J9" s="3">
        <v>1580</v>
      </c>
      <c r="K9" s="3">
        <v>1540</v>
      </c>
      <c r="L9" s="3">
        <v>1500</v>
      </c>
      <c r="M9" s="3">
        <v>1665</v>
      </c>
      <c r="Q9" s="288" t="s">
        <v>22</v>
      </c>
      <c r="R9" s="257">
        <f t="shared" ref="R9:R36" si="5">MAX(T9:U9)</f>
        <v>1580</v>
      </c>
      <c r="S9" s="257">
        <f t="shared" si="0"/>
        <v>1660</v>
      </c>
      <c r="T9" s="317">
        <f t="shared" ref="T9:T55" si="6">MAX(L8:M8)</f>
        <v>1530</v>
      </c>
      <c r="U9" s="318">
        <f t="shared" si="1"/>
        <v>1580</v>
      </c>
      <c r="Z9" s="225">
        <f t="shared" si="2"/>
        <v>1975</v>
      </c>
      <c r="AA9" s="320">
        <f>IF(B125&lt;1000,(B9/$R9)," ")</f>
        <v>1</v>
      </c>
      <c r="AB9" s="321">
        <f>IF(C125&lt;1000,(C9/$R9)," ")</f>
        <v>0.85759493670886078</v>
      </c>
      <c r="AC9" s="321" t="str">
        <f>IF(D125&gt;1200,(D9/$S9)," ")</f>
        <v xml:space="preserve"> </v>
      </c>
      <c r="AD9" s="321">
        <f>IF(E125&gt;1200,(E9/$S9)," ")</f>
        <v>0.93975903614457834</v>
      </c>
      <c r="AE9" s="321">
        <f>IF(F125&gt;1200,(F9/$S9)," ")</f>
        <v>0.96385542168674698</v>
      </c>
      <c r="AF9" s="321">
        <f>IF(G125&gt;1200,(G9/$S9)," ")</f>
        <v>1</v>
      </c>
      <c r="AG9" s="321">
        <f>IF(H125&gt;1200,(H9/$S9)," ")</f>
        <v>0.9668674698795181</v>
      </c>
      <c r="AH9" s="321">
        <f>IF(I125&gt;1200,(I9/$S9)," ")</f>
        <v>0.97289156626506024</v>
      </c>
      <c r="AI9" s="321">
        <f>IF(J125&gt;1200,(J9/$S9)," ")</f>
        <v>0.95180722891566261</v>
      </c>
      <c r="AJ9" s="321">
        <f>IF(K125&gt;1200,(K9/$S9)," ")</f>
        <v>0.92771084337349397</v>
      </c>
      <c r="AK9" s="321">
        <f>IF(L125&lt;1000,(L9/$R9)," ")</f>
        <v>0.94936708860759489</v>
      </c>
      <c r="AL9" s="369" t="str">
        <f>IF(M125&lt;1000,(M9/$R10)," ")</f>
        <v xml:space="preserve"> </v>
      </c>
      <c r="AN9" s="1">
        <f t="shared" si="3"/>
        <v>1975</v>
      </c>
      <c r="AO9" s="20">
        <f t="shared" si="4"/>
        <v>340</v>
      </c>
      <c r="AP9" s="1">
        <f t="shared" si="4"/>
        <v>-80</v>
      </c>
      <c r="AQ9" s="1">
        <f t="shared" si="4"/>
        <v>135</v>
      </c>
      <c r="AR9" s="1">
        <f t="shared" si="4"/>
        <v>140</v>
      </c>
      <c r="AS9" s="1">
        <f t="shared" si="4"/>
        <v>110</v>
      </c>
      <c r="AT9" s="1">
        <f t="shared" si="4"/>
        <v>55</v>
      </c>
      <c r="AU9" s="1">
        <f t="shared" si="4"/>
        <v>90</v>
      </c>
      <c r="AV9" s="1">
        <f t="shared" si="4"/>
        <v>45</v>
      </c>
      <c r="AW9" s="1">
        <f t="shared" si="4"/>
        <v>-45</v>
      </c>
      <c r="AX9" s="1">
        <f t="shared" si="4"/>
        <v>145</v>
      </c>
      <c r="AY9" s="1">
        <f t="shared" si="4"/>
        <v>172</v>
      </c>
      <c r="AZ9" s="1">
        <f t="shared" si="4"/>
        <v>135</v>
      </c>
    </row>
    <row r="10" spans="1:53" ht="15.75">
      <c r="A10" s="323">
        <f>'Instant Old no Delete'!A10</f>
        <v>1976</v>
      </c>
      <c r="B10" s="174">
        <v>1820</v>
      </c>
      <c r="C10" s="3">
        <v>1590</v>
      </c>
      <c r="D10" s="3">
        <v>1390</v>
      </c>
      <c r="E10" s="3">
        <v>1375</v>
      </c>
      <c r="F10" s="3">
        <v>1455</v>
      </c>
      <c r="G10" s="3">
        <v>1545</v>
      </c>
      <c r="H10" s="3">
        <v>1655</v>
      </c>
      <c r="I10" s="3">
        <v>1655</v>
      </c>
      <c r="J10" s="168">
        <v>1670</v>
      </c>
      <c r="K10" s="3">
        <v>1620</v>
      </c>
      <c r="L10" s="3">
        <v>1765</v>
      </c>
      <c r="M10" s="3">
        <v>1760</v>
      </c>
      <c r="Q10" s="288" t="s">
        <v>23</v>
      </c>
      <c r="R10" s="257">
        <f t="shared" si="5"/>
        <v>1820</v>
      </c>
      <c r="S10" s="257">
        <f t="shared" si="0"/>
        <v>1670</v>
      </c>
      <c r="T10" s="317">
        <f t="shared" si="6"/>
        <v>1665</v>
      </c>
      <c r="U10" s="318">
        <f t="shared" si="1"/>
        <v>1820</v>
      </c>
      <c r="Z10" s="225">
        <f t="shared" si="2"/>
        <v>1976</v>
      </c>
      <c r="AA10" s="320">
        <f>IF(B126&lt;1000,(B10/$R10)," ")</f>
        <v>1</v>
      </c>
      <c r="AB10" s="321">
        <f>IF(C126&lt;1000,(C10/$R10)," ")</f>
        <v>0.87362637362637363</v>
      </c>
      <c r="AC10" s="321">
        <f>IF(D126&gt;1200,(D10/$S10)," ")</f>
        <v>0.83233532934131738</v>
      </c>
      <c r="AD10" s="321">
        <f>IF(E126&gt;1200,(E10/$S10)," ")</f>
        <v>0.82335329341317365</v>
      </c>
      <c r="AE10" s="321">
        <f>IF(F126&gt;1200,(F10/$S10)," ")</f>
        <v>0.87125748502994016</v>
      </c>
      <c r="AF10" s="321">
        <f>IF(G126&gt;1200,(G10/$S10)," ")</f>
        <v>0.92514970059880242</v>
      </c>
      <c r="AG10" s="321">
        <f>IF(H126&gt;1200,(H10/$S10)," ")</f>
        <v>0.99101796407185627</v>
      </c>
      <c r="AH10" s="321">
        <f>IF(I126&gt;1200,(I10/$S10)," ")</f>
        <v>0.99101796407185627</v>
      </c>
      <c r="AI10" s="321">
        <f>IF(J126&gt;1200,(J10/$S10)," ")</f>
        <v>1</v>
      </c>
      <c r="AJ10" s="321">
        <f>IF(K126&gt;1200,(K10/$S10)," ")</f>
        <v>0.97005988023952094</v>
      </c>
      <c r="AK10" s="321" t="str">
        <f>IF(L126&lt;1000,(L10/$R10)," ")</f>
        <v xml:space="preserve"> </v>
      </c>
      <c r="AL10" s="369">
        <f>IF(M126&lt;1000,(M10/$R11)," ")</f>
        <v>0.91191709844559588</v>
      </c>
      <c r="AN10" s="1">
        <f t="shared" si="3"/>
        <v>1976</v>
      </c>
      <c r="AO10" s="20">
        <f t="shared" si="4"/>
        <v>240</v>
      </c>
      <c r="AP10" s="1">
        <f t="shared" si="4"/>
        <v>235</v>
      </c>
      <c r="AQ10" s="1">
        <f t="shared" si="4"/>
        <v>-70</v>
      </c>
      <c r="AR10" s="1">
        <f t="shared" si="4"/>
        <v>-185</v>
      </c>
      <c r="AS10" s="1">
        <f t="shared" si="4"/>
        <v>-145</v>
      </c>
      <c r="AT10" s="1">
        <f t="shared" si="4"/>
        <v>-115</v>
      </c>
      <c r="AU10" s="1">
        <f t="shared" si="4"/>
        <v>50</v>
      </c>
      <c r="AV10" s="1">
        <f t="shared" si="4"/>
        <v>40</v>
      </c>
      <c r="AW10" s="1">
        <f t="shared" si="4"/>
        <v>90</v>
      </c>
      <c r="AX10" s="1">
        <f t="shared" si="4"/>
        <v>80</v>
      </c>
      <c r="AY10" s="1">
        <f t="shared" si="4"/>
        <v>265</v>
      </c>
      <c r="AZ10" s="1">
        <f t="shared" si="4"/>
        <v>95</v>
      </c>
    </row>
    <row r="11" spans="1:53" ht="15.75">
      <c r="A11" s="323">
        <f>'Instant Old no Delete'!A11</f>
        <v>1977</v>
      </c>
      <c r="B11" s="174">
        <v>1930</v>
      </c>
      <c r="C11" s="3">
        <v>1830</v>
      </c>
      <c r="D11" s="3">
        <v>1555</v>
      </c>
      <c r="E11" s="3">
        <v>1510</v>
      </c>
      <c r="F11" s="3">
        <v>1568</v>
      </c>
      <c r="G11" s="168">
        <v>1835</v>
      </c>
      <c r="H11" s="3">
        <v>1750</v>
      </c>
      <c r="I11" s="3">
        <v>1725</v>
      </c>
      <c r="J11" s="3">
        <v>1800</v>
      </c>
      <c r="K11" s="3">
        <v>1640</v>
      </c>
      <c r="L11" s="3">
        <v>1472</v>
      </c>
      <c r="M11" s="3">
        <v>1795</v>
      </c>
      <c r="Q11" s="288" t="s">
        <v>24</v>
      </c>
      <c r="R11" s="257">
        <f t="shared" si="5"/>
        <v>1930</v>
      </c>
      <c r="S11" s="257">
        <f t="shared" si="0"/>
        <v>1835</v>
      </c>
      <c r="T11" s="317">
        <f t="shared" si="6"/>
        <v>1765</v>
      </c>
      <c r="U11" s="318">
        <f t="shared" si="1"/>
        <v>1930</v>
      </c>
      <c r="Z11" s="225">
        <f t="shared" si="2"/>
        <v>1977</v>
      </c>
      <c r="AA11" s="320">
        <f>IF(B127&lt;1000,(B11/$R11)," ")</f>
        <v>1</v>
      </c>
      <c r="AB11" s="321">
        <f>IF(C127&lt;1000,(C11/$R11)," ")</f>
        <v>0.94818652849740936</v>
      </c>
      <c r="AC11" s="321">
        <f>IF(D127&gt;1200,(D11/$S11)," ")</f>
        <v>0.84741144414168934</v>
      </c>
      <c r="AD11" s="321">
        <f>IF(E127&gt;1200,(E11/$S11)," ")</f>
        <v>0.82288828337874664</v>
      </c>
      <c r="AE11" s="321">
        <f>IF(F127&gt;1200,(F11/$S11)," ")</f>
        <v>0.85449591280653947</v>
      </c>
      <c r="AF11" s="321">
        <f>IF(G127&gt;1200,(G11/$S11)," ")</f>
        <v>1</v>
      </c>
      <c r="AG11" s="321">
        <f>IF(H127&gt;1200,(H11/$S11)," ")</f>
        <v>0.9536784741144414</v>
      </c>
      <c r="AH11" s="321">
        <f>IF(I127&gt;1200,(I11/$S11)," ")</f>
        <v>0.94005449591280654</v>
      </c>
      <c r="AI11" s="321">
        <f>IF(J127&gt;1200,(J11/$S11)," ")</f>
        <v>0.98092643051771122</v>
      </c>
      <c r="AJ11" s="321">
        <f>IF(K127&gt;1200,(K11/$S11)," ")</f>
        <v>0.89373297002724794</v>
      </c>
      <c r="AK11" s="321" t="str">
        <f>IF(L127&lt;1000,(L11/$R11)," ")</f>
        <v xml:space="preserve"> </v>
      </c>
      <c r="AL11" s="369">
        <f>IF(M127&lt;1000,(M11/$R12)," ")</f>
        <v>0.88641975308641974</v>
      </c>
      <c r="AN11" s="1">
        <f t="shared" si="3"/>
        <v>1977</v>
      </c>
      <c r="AO11" s="20">
        <f t="shared" si="4"/>
        <v>110</v>
      </c>
      <c r="AP11" s="1">
        <f t="shared" si="4"/>
        <v>240</v>
      </c>
      <c r="AQ11" s="1">
        <f t="shared" si="4"/>
        <v>165</v>
      </c>
      <c r="AR11" s="1">
        <f t="shared" si="4"/>
        <v>135</v>
      </c>
      <c r="AS11" s="1">
        <f t="shared" si="4"/>
        <v>113</v>
      </c>
      <c r="AT11" s="1">
        <f t="shared" si="4"/>
        <v>290</v>
      </c>
      <c r="AU11" s="1">
        <f t="shared" si="4"/>
        <v>95</v>
      </c>
      <c r="AV11" s="1">
        <f t="shared" si="4"/>
        <v>70</v>
      </c>
      <c r="AW11" s="1">
        <f t="shared" si="4"/>
        <v>130</v>
      </c>
      <c r="AX11" s="1">
        <f t="shared" si="4"/>
        <v>20</v>
      </c>
      <c r="AY11" s="1">
        <f t="shared" si="4"/>
        <v>-293</v>
      </c>
      <c r="AZ11" s="1">
        <f t="shared" si="4"/>
        <v>35</v>
      </c>
    </row>
    <row r="12" spans="1:53" ht="15.75">
      <c r="A12" s="323">
        <f>'Instant Old no Delete'!A12</f>
        <v>1978</v>
      </c>
      <c r="B12" s="174">
        <v>2025</v>
      </c>
      <c r="C12" s="3">
        <v>2017</v>
      </c>
      <c r="D12" s="3">
        <v>1700</v>
      </c>
      <c r="E12" s="3">
        <v>1550</v>
      </c>
      <c r="F12" s="3">
        <v>1870</v>
      </c>
      <c r="G12" s="3">
        <v>1900</v>
      </c>
      <c r="H12" s="3">
        <v>1840</v>
      </c>
      <c r="I12" s="168">
        <v>1900</v>
      </c>
      <c r="J12" s="3">
        <v>1850</v>
      </c>
      <c r="K12" s="3">
        <v>1720</v>
      </c>
      <c r="L12" s="3">
        <v>1575</v>
      </c>
      <c r="M12" s="3">
        <v>1730</v>
      </c>
      <c r="Q12" s="288" t="s">
        <v>25</v>
      </c>
      <c r="R12" s="257">
        <f t="shared" si="5"/>
        <v>2025</v>
      </c>
      <c r="S12" s="257">
        <f t="shared" si="0"/>
        <v>1900</v>
      </c>
      <c r="T12" s="317">
        <f t="shared" si="6"/>
        <v>1795</v>
      </c>
      <c r="U12" s="318">
        <f t="shared" si="1"/>
        <v>2025</v>
      </c>
      <c r="Z12" s="225">
        <f t="shared" si="2"/>
        <v>1978</v>
      </c>
      <c r="AA12" s="320">
        <f>IF(B128&lt;1000,(B12/$R12)," ")</f>
        <v>1</v>
      </c>
      <c r="AB12" s="321">
        <f>IF(C128&lt;1000,(C12/$R12)," ")</f>
        <v>0.99604938271604937</v>
      </c>
      <c r="AC12" s="321" t="str">
        <f>IF(D128&gt;1200,(D12/$S12)," ")</f>
        <v xml:space="preserve"> </v>
      </c>
      <c r="AD12" s="321">
        <f>IF(E128&gt;1200,(E12/$S12)," ")</f>
        <v>0.81578947368421051</v>
      </c>
      <c r="AE12" s="321">
        <f>IF(F128&gt;1200,(F12/$S12)," ")</f>
        <v>0.98421052631578942</v>
      </c>
      <c r="AF12" s="321">
        <f>IF(G128&gt;1200,(G12/$S12)," ")</f>
        <v>1</v>
      </c>
      <c r="AG12" s="321">
        <f>IF(H128&gt;1200,(H12/$S12)," ")</f>
        <v>0.96842105263157896</v>
      </c>
      <c r="AH12" s="321">
        <f>IF(I128&gt;1200,(I12/$S12)," ")</f>
        <v>1</v>
      </c>
      <c r="AI12" s="321">
        <f>IF(J128&gt;1200,(J12/$S12)," ")</f>
        <v>0.97368421052631582</v>
      </c>
      <c r="AJ12" s="321">
        <f>IF(K128&gt;1200,(K12/$S12)," ")</f>
        <v>0.90526315789473688</v>
      </c>
      <c r="AK12" s="321" t="str">
        <f>IF(L128&lt;1000,(L12/$R12)," ")</f>
        <v xml:space="preserve"> </v>
      </c>
      <c r="AL12" s="369" t="str">
        <f>IF(M128&lt;1000,(M12/$R13)," ")</f>
        <v xml:space="preserve"> </v>
      </c>
      <c r="AN12" s="1">
        <f t="shared" si="3"/>
        <v>1978</v>
      </c>
      <c r="AO12" s="20">
        <f t="shared" si="4"/>
        <v>95</v>
      </c>
      <c r="AP12" s="1">
        <f t="shared" si="4"/>
        <v>187</v>
      </c>
      <c r="AQ12" s="1">
        <f t="shared" si="4"/>
        <v>145</v>
      </c>
      <c r="AR12" s="1">
        <f t="shared" si="4"/>
        <v>40</v>
      </c>
      <c r="AS12" s="1">
        <f t="shared" si="4"/>
        <v>302</v>
      </c>
      <c r="AT12" s="1">
        <f t="shared" si="4"/>
        <v>65</v>
      </c>
      <c r="AU12" s="1">
        <f t="shared" si="4"/>
        <v>90</v>
      </c>
      <c r="AV12" s="1">
        <f t="shared" si="4"/>
        <v>175</v>
      </c>
      <c r="AW12" s="1">
        <f t="shared" si="4"/>
        <v>50</v>
      </c>
      <c r="AX12" s="1">
        <f t="shared" si="4"/>
        <v>80</v>
      </c>
      <c r="AY12" s="1">
        <f t="shared" si="4"/>
        <v>103</v>
      </c>
      <c r="AZ12" s="1">
        <f t="shared" si="4"/>
        <v>-65</v>
      </c>
    </row>
    <row r="13" spans="1:53" ht="15.75">
      <c r="A13" s="323">
        <f>'Instant Old no Delete'!A13</f>
        <v>1979</v>
      </c>
      <c r="B13" s="174">
        <v>2110</v>
      </c>
      <c r="C13" s="3">
        <v>2000</v>
      </c>
      <c r="D13" s="3">
        <v>1620</v>
      </c>
      <c r="E13" s="3">
        <v>1690</v>
      </c>
      <c r="F13" s="3">
        <v>1725</v>
      </c>
      <c r="G13" s="3">
        <v>1900</v>
      </c>
      <c r="H13" s="168">
        <v>1930</v>
      </c>
      <c r="I13" s="3">
        <v>1895</v>
      </c>
      <c r="J13" s="3">
        <v>1895</v>
      </c>
      <c r="K13" s="3">
        <v>1800</v>
      </c>
      <c r="L13" s="3">
        <v>1810</v>
      </c>
      <c r="M13" s="3">
        <v>1745</v>
      </c>
      <c r="Q13" s="288" t="s">
        <v>26</v>
      </c>
      <c r="R13" s="257">
        <f t="shared" si="5"/>
        <v>2110</v>
      </c>
      <c r="S13" s="257">
        <f t="shared" si="0"/>
        <v>1930</v>
      </c>
      <c r="T13" s="317">
        <f t="shared" si="6"/>
        <v>1730</v>
      </c>
      <c r="U13" s="318">
        <f t="shared" si="1"/>
        <v>2110</v>
      </c>
      <c r="Z13" s="225">
        <f t="shared" si="2"/>
        <v>1979</v>
      </c>
      <c r="AA13" s="320">
        <f>IF(B129&lt;1000,(B13/$R13)," ")</f>
        <v>1</v>
      </c>
      <c r="AB13" s="321">
        <f>IF(C129&lt;1000,(C13/$R13)," ")</f>
        <v>0.94786729857819907</v>
      </c>
      <c r="AC13" s="321" t="str">
        <f>IF(D129&gt;1200,(D13/$S13)," ")</f>
        <v xml:space="preserve"> </v>
      </c>
      <c r="AD13" s="321">
        <f>IF(E129&gt;1200,(E13/$S13)," ")</f>
        <v>0.87564766839378239</v>
      </c>
      <c r="AE13" s="321">
        <f>IF(F129&gt;1200,(F13/$S13)," ")</f>
        <v>0.89378238341968907</v>
      </c>
      <c r="AF13" s="321">
        <f>IF(G129&gt;1200,(G13/$S13)," ")</f>
        <v>0.98445595854922274</v>
      </c>
      <c r="AG13" s="321">
        <f>IF(H129&gt;1200,(H13/$S13)," ")</f>
        <v>1</v>
      </c>
      <c r="AH13" s="321">
        <f>IF(I129&gt;1200,(I13/$S13)," ")</f>
        <v>0.98186528497409331</v>
      </c>
      <c r="AI13" s="321">
        <f>IF(J129&gt;1200,(J13/$S13)," ")</f>
        <v>0.98186528497409331</v>
      </c>
      <c r="AJ13" s="321">
        <f>IF(K129&gt;1200,(K13/$S13)," ")</f>
        <v>0.93264248704663211</v>
      </c>
      <c r="AK13" s="321" t="str">
        <f>IF(L129&lt;1000,(L13/$R13)," ")</f>
        <v xml:space="preserve"> </v>
      </c>
      <c r="AL13" s="369">
        <f>IF(M129&lt;1000,(M13/$R14)," ")</f>
        <v>0.84299516908212557</v>
      </c>
      <c r="AN13" s="1">
        <f t="shared" si="3"/>
        <v>1979</v>
      </c>
      <c r="AO13" s="20">
        <f t="shared" si="4"/>
        <v>85</v>
      </c>
      <c r="AP13" s="1">
        <f t="shared" si="4"/>
        <v>-17</v>
      </c>
      <c r="AQ13" s="1">
        <f t="shared" si="4"/>
        <v>-80</v>
      </c>
      <c r="AR13" s="1">
        <f t="shared" si="4"/>
        <v>140</v>
      </c>
      <c r="AS13" s="1">
        <f t="shared" si="4"/>
        <v>-145</v>
      </c>
      <c r="AT13" s="1">
        <f t="shared" si="4"/>
        <v>0</v>
      </c>
      <c r="AU13" s="1">
        <f t="shared" si="4"/>
        <v>90</v>
      </c>
      <c r="AV13" s="1">
        <f t="shared" si="4"/>
        <v>-5</v>
      </c>
      <c r="AW13" s="1">
        <f t="shared" si="4"/>
        <v>45</v>
      </c>
      <c r="AX13" s="1">
        <f t="shared" si="4"/>
        <v>80</v>
      </c>
      <c r="AY13" s="1">
        <f t="shared" si="4"/>
        <v>235</v>
      </c>
      <c r="AZ13" s="1">
        <f t="shared" si="4"/>
        <v>15</v>
      </c>
    </row>
    <row r="14" spans="1:53" ht="15.75">
      <c r="A14" s="323">
        <f>'Instant Old no Delete'!A14</f>
        <v>1980</v>
      </c>
      <c r="B14" s="3">
        <v>2005</v>
      </c>
      <c r="C14" s="3">
        <v>2055</v>
      </c>
      <c r="D14" s="174">
        <v>2070</v>
      </c>
      <c r="E14" s="3">
        <v>1595</v>
      </c>
      <c r="F14" s="3">
        <v>1860</v>
      </c>
      <c r="G14" s="3">
        <v>1960</v>
      </c>
      <c r="H14" s="168">
        <v>2065</v>
      </c>
      <c r="I14" s="3">
        <v>2035</v>
      </c>
      <c r="J14" s="3">
        <v>1960</v>
      </c>
      <c r="K14" s="3">
        <v>1730</v>
      </c>
      <c r="L14" s="3">
        <v>1600</v>
      </c>
      <c r="M14" s="3">
        <v>1960</v>
      </c>
      <c r="Q14" s="288" t="s">
        <v>27</v>
      </c>
      <c r="R14" s="257">
        <f t="shared" si="5"/>
        <v>2070</v>
      </c>
      <c r="S14" s="257">
        <f t="shared" si="0"/>
        <v>2065</v>
      </c>
      <c r="T14" s="317">
        <f t="shared" si="6"/>
        <v>1810</v>
      </c>
      <c r="U14" s="318">
        <f t="shared" si="1"/>
        <v>2070</v>
      </c>
      <c r="Z14" s="225">
        <f t="shared" si="2"/>
        <v>1980</v>
      </c>
      <c r="AA14" s="320">
        <f>IF(B130&lt;1000,(B14/$R14)," ")</f>
        <v>0.96859903381642509</v>
      </c>
      <c r="AB14" s="321">
        <f>IF(C130&lt;1000,(C14/$R14)," ")</f>
        <v>0.99275362318840576</v>
      </c>
      <c r="AC14" s="321">
        <f>IF(D130&gt;1200,(D14/$S14)," ")</f>
        <v>1.0024213075060533</v>
      </c>
      <c r="AD14" s="321">
        <f>IF(E130&gt;1200,(E14/$S14)," ")</f>
        <v>0.77239709443099269</v>
      </c>
      <c r="AE14" s="321">
        <f>IF(F130&gt;1200,(F14/$S14)," ")</f>
        <v>0.90072639225181594</v>
      </c>
      <c r="AF14" s="321">
        <f>IF(G130&gt;1200,(G14/$S14)," ")</f>
        <v>0.94915254237288138</v>
      </c>
      <c r="AG14" s="321">
        <f>IF(H130&gt;1200,(H14/$S14)," ")</f>
        <v>1</v>
      </c>
      <c r="AH14" s="321">
        <f>IF(I130&gt;1200,(I14/$S14)," ")</f>
        <v>0.98547215496368035</v>
      </c>
      <c r="AI14" s="321">
        <f>IF(J130&gt;1200,(J14/$S14)," ")</f>
        <v>0.94915254237288138</v>
      </c>
      <c r="AJ14" s="321">
        <f>IF(K130&gt;1200,(K14/$S14)," ")</f>
        <v>0.83777239709443097</v>
      </c>
      <c r="AK14" s="321" t="str">
        <f>IF(L130&lt;1000,(L14/$R14)," ")</f>
        <v xml:space="preserve"> </v>
      </c>
      <c r="AL14" s="369">
        <f>IF(M130&lt;1000,(M14/$R15)," ")</f>
        <v>0.78557114228456915</v>
      </c>
      <c r="AN14" s="1">
        <f t="shared" si="3"/>
        <v>1980</v>
      </c>
      <c r="AO14" s="20">
        <f t="shared" si="4"/>
        <v>-105</v>
      </c>
      <c r="AP14" s="1">
        <f t="shared" si="4"/>
        <v>55</v>
      </c>
      <c r="AQ14" s="1">
        <f t="shared" si="4"/>
        <v>450</v>
      </c>
      <c r="AR14" s="1">
        <f t="shared" si="4"/>
        <v>-95</v>
      </c>
      <c r="AS14" s="1">
        <f t="shared" si="4"/>
        <v>135</v>
      </c>
      <c r="AT14" s="1">
        <f t="shared" si="4"/>
        <v>60</v>
      </c>
      <c r="AU14" s="1">
        <f t="shared" si="4"/>
        <v>135</v>
      </c>
      <c r="AV14" s="1">
        <f t="shared" si="4"/>
        <v>140</v>
      </c>
      <c r="AW14" s="1">
        <f t="shared" si="4"/>
        <v>65</v>
      </c>
      <c r="AX14" s="1">
        <f t="shared" si="4"/>
        <v>-70</v>
      </c>
      <c r="AY14" s="1">
        <f t="shared" si="4"/>
        <v>-210</v>
      </c>
      <c r="AZ14" s="1">
        <f t="shared" si="4"/>
        <v>215</v>
      </c>
    </row>
    <row r="15" spans="1:53" ht="15.75">
      <c r="A15" s="323">
        <f>'Instant Old no Delete'!A15</f>
        <v>1981</v>
      </c>
      <c r="B15" s="174">
        <v>2495</v>
      </c>
      <c r="C15" s="3">
        <v>2065</v>
      </c>
      <c r="D15" s="3">
        <v>1640</v>
      </c>
      <c r="E15" s="3">
        <v>1700</v>
      </c>
      <c r="F15" s="3">
        <v>1925</v>
      </c>
      <c r="G15" s="168">
        <v>2150</v>
      </c>
      <c r="H15" s="3">
        <v>2095</v>
      </c>
      <c r="I15" s="3">
        <v>1980</v>
      </c>
      <c r="J15" s="3">
        <v>1978</v>
      </c>
      <c r="K15" s="3">
        <v>1795</v>
      </c>
      <c r="L15" s="3">
        <v>1770</v>
      </c>
      <c r="M15" s="3">
        <v>2130</v>
      </c>
      <c r="Q15" s="288" t="s">
        <v>28</v>
      </c>
      <c r="R15" s="257">
        <f t="shared" si="5"/>
        <v>2495</v>
      </c>
      <c r="S15" s="257">
        <f t="shared" si="0"/>
        <v>2150</v>
      </c>
      <c r="T15" s="317">
        <f t="shared" si="6"/>
        <v>1960</v>
      </c>
      <c r="U15" s="318">
        <f t="shared" si="1"/>
        <v>2495</v>
      </c>
      <c r="Z15" s="225">
        <f t="shared" si="2"/>
        <v>1981</v>
      </c>
      <c r="AA15" s="320">
        <f>IF(B131&lt;1000,(B15/$R15)," ")</f>
        <v>1</v>
      </c>
      <c r="AB15" s="321" t="str">
        <f>IF(C131&lt;1000,(C15/$R15)," ")</f>
        <v xml:space="preserve"> </v>
      </c>
      <c r="AC15" s="321">
        <f>IF(D131&gt;1200,(D15/$S15)," ")</f>
        <v>0.76279069767441865</v>
      </c>
      <c r="AD15" s="321">
        <f>IF(E131&gt;1200,(E15/$S15)," ")</f>
        <v>0.79069767441860461</v>
      </c>
      <c r="AE15" s="321">
        <f>IF(F131&gt;1200,(F15/$S15)," ")</f>
        <v>0.89534883720930236</v>
      </c>
      <c r="AF15" s="321">
        <f>IF(G131&gt;1200,(G15/$S15)," ")</f>
        <v>1</v>
      </c>
      <c r="AG15" s="321">
        <f>IF(H131&gt;1200,(H15/$S15)," ")</f>
        <v>0.97441860465116281</v>
      </c>
      <c r="AH15" s="321">
        <f>IF(I131&gt;1200,(I15/$S15)," ")</f>
        <v>0.92093023255813955</v>
      </c>
      <c r="AI15" s="321">
        <f>IF(J131&gt;1200,(J15/$S15)," ")</f>
        <v>0.92</v>
      </c>
      <c r="AJ15" s="321">
        <f>IF(K131&gt;1200,(K15/$S15)," ")</f>
        <v>0.83488372093023255</v>
      </c>
      <c r="AK15" s="321">
        <f>IF(L131&lt;1000,(L15/$R15)," ")</f>
        <v>0.70941883767535074</v>
      </c>
      <c r="AL15" s="369">
        <f>IF(M131&lt;1000,(M15/$R16)," ")</f>
        <v>0.8693877551020408</v>
      </c>
      <c r="AN15" s="1">
        <f t="shared" si="3"/>
        <v>1981</v>
      </c>
      <c r="AO15" s="20">
        <f t="shared" si="4"/>
        <v>490</v>
      </c>
      <c r="AP15" s="1">
        <f t="shared" si="4"/>
        <v>10</v>
      </c>
      <c r="AQ15" s="1">
        <f t="shared" si="4"/>
        <v>-430</v>
      </c>
      <c r="AR15" s="1">
        <f t="shared" si="4"/>
        <v>105</v>
      </c>
      <c r="AS15" s="1">
        <f t="shared" si="4"/>
        <v>65</v>
      </c>
      <c r="AT15" s="1">
        <f t="shared" si="4"/>
        <v>190</v>
      </c>
      <c r="AU15" s="1">
        <f t="shared" si="4"/>
        <v>30</v>
      </c>
      <c r="AV15" s="1">
        <f t="shared" si="4"/>
        <v>-55</v>
      </c>
      <c r="AW15" s="1">
        <f t="shared" si="4"/>
        <v>18</v>
      </c>
      <c r="AX15" s="1">
        <f t="shared" si="4"/>
        <v>65</v>
      </c>
      <c r="AY15" s="1">
        <f t="shared" si="4"/>
        <v>170</v>
      </c>
      <c r="AZ15" s="1">
        <f t="shared" si="4"/>
        <v>170</v>
      </c>
    </row>
    <row r="16" spans="1:53" ht="15.75">
      <c r="A16" s="323">
        <f>'Instant Old no Delete'!A16</f>
        <v>1982</v>
      </c>
      <c r="B16" s="174">
        <v>2450</v>
      </c>
      <c r="C16" s="3">
        <v>1580</v>
      </c>
      <c r="D16" s="3">
        <v>1710</v>
      </c>
      <c r="E16" s="3">
        <v>1805</v>
      </c>
      <c r="F16" s="3">
        <v>1810</v>
      </c>
      <c r="G16" s="3">
        <v>1935</v>
      </c>
      <c r="H16" s="3">
        <v>1920</v>
      </c>
      <c r="I16" s="3">
        <v>1945</v>
      </c>
      <c r="J16" s="168">
        <v>2010</v>
      </c>
      <c r="K16" s="3">
        <v>1910</v>
      </c>
      <c r="L16" s="3">
        <v>1660</v>
      </c>
      <c r="M16" s="3">
        <v>1785</v>
      </c>
      <c r="Q16" s="288" t="s">
        <v>29</v>
      </c>
      <c r="R16" s="257">
        <f t="shared" si="5"/>
        <v>2450</v>
      </c>
      <c r="S16" s="257">
        <f t="shared" si="0"/>
        <v>2010</v>
      </c>
      <c r="T16" s="317">
        <f t="shared" si="6"/>
        <v>2130</v>
      </c>
      <c r="U16" s="318">
        <f t="shared" si="1"/>
        <v>2450</v>
      </c>
      <c r="Z16" s="225">
        <f t="shared" si="2"/>
        <v>1982</v>
      </c>
      <c r="AA16" s="320">
        <f>IF(B132&lt;1000,(B16/$R16)," ")</f>
        <v>1</v>
      </c>
      <c r="AB16" s="321" t="str">
        <f>IF(C132&lt;1000,(C16/$R16)," ")</f>
        <v xml:space="preserve"> </v>
      </c>
      <c r="AC16" s="321" t="str">
        <f>IF(D132&gt;1200,(D16/$S16)," ")</f>
        <v xml:space="preserve"> </v>
      </c>
      <c r="AD16" s="321">
        <f>IF(E132&gt;1200,(E16/$S16)," ")</f>
        <v>0.89800995024875618</v>
      </c>
      <c r="AE16" s="321">
        <f>IF(F132&gt;1200,(F16/$S16)," ")</f>
        <v>0.90049751243781095</v>
      </c>
      <c r="AF16" s="321">
        <f>IF(G132&gt;1200,(G16/$S16)," ")</f>
        <v>0.96268656716417911</v>
      </c>
      <c r="AG16" s="321">
        <f>IF(H132&gt;1200,(H16/$S16)," ")</f>
        <v>0.95522388059701491</v>
      </c>
      <c r="AH16" s="321">
        <f>IF(I132&gt;1200,(I16/$S16)," ")</f>
        <v>0.96766169154228854</v>
      </c>
      <c r="AI16" s="321">
        <f>IF(J132&gt;1200,(J16/$S16)," ")</f>
        <v>1</v>
      </c>
      <c r="AJ16" s="321">
        <f>IF(K132&gt;1200,(K16/$S16)," ")</f>
        <v>0.95024875621890548</v>
      </c>
      <c r="AK16" s="321" t="str">
        <f>IF(L132&lt;1000,(L16/$R16)," ")</f>
        <v xml:space="preserve"> </v>
      </c>
      <c r="AL16" s="369">
        <f>IF(M132&lt;1000,(M16/$R17)," ")</f>
        <v>0.80224719101123598</v>
      </c>
      <c r="AN16" s="1">
        <f t="shared" si="3"/>
        <v>1982</v>
      </c>
      <c r="AO16" s="20">
        <f t="shared" si="4"/>
        <v>-45</v>
      </c>
      <c r="AP16" s="1">
        <f t="shared" si="4"/>
        <v>-485</v>
      </c>
      <c r="AQ16" s="1">
        <f t="shared" si="4"/>
        <v>70</v>
      </c>
      <c r="AR16" s="1">
        <f t="shared" si="4"/>
        <v>105</v>
      </c>
      <c r="AS16" s="1">
        <f t="shared" si="4"/>
        <v>-115</v>
      </c>
      <c r="AT16" s="1">
        <f t="shared" si="4"/>
        <v>-215</v>
      </c>
      <c r="AU16" s="1">
        <f t="shared" si="4"/>
        <v>-175</v>
      </c>
      <c r="AV16" s="1">
        <f t="shared" si="4"/>
        <v>-35</v>
      </c>
      <c r="AW16" s="1">
        <f t="shared" si="4"/>
        <v>32</v>
      </c>
      <c r="AX16" s="1">
        <f t="shared" si="4"/>
        <v>115</v>
      </c>
      <c r="AY16" s="1">
        <f t="shared" si="4"/>
        <v>-110</v>
      </c>
      <c r="AZ16" s="1">
        <f t="shared" si="4"/>
        <v>-345</v>
      </c>
    </row>
    <row r="17" spans="1:52" ht="15.75">
      <c r="A17" s="323">
        <f>'Instant Old no Delete'!A17</f>
        <v>1983</v>
      </c>
      <c r="B17" s="174">
        <v>2225</v>
      </c>
      <c r="C17" s="3">
        <v>2080</v>
      </c>
      <c r="D17" s="3">
        <v>1885</v>
      </c>
      <c r="E17" s="3">
        <v>1670</v>
      </c>
      <c r="F17" s="3">
        <v>1900</v>
      </c>
      <c r="G17" s="3">
        <v>2020</v>
      </c>
      <c r="H17" s="168">
        <v>2210</v>
      </c>
      <c r="I17" s="3">
        <v>2140</v>
      </c>
      <c r="J17" s="3">
        <v>2180</v>
      </c>
      <c r="K17" s="3">
        <v>1930</v>
      </c>
      <c r="L17" s="3">
        <v>1795</v>
      </c>
      <c r="M17" s="3">
        <v>2185</v>
      </c>
      <c r="Q17" s="288" t="s">
        <v>30</v>
      </c>
      <c r="R17" s="257">
        <f t="shared" si="5"/>
        <v>2225</v>
      </c>
      <c r="S17" s="257">
        <f t="shared" si="0"/>
        <v>2210</v>
      </c>
      <c r="T17" s="317">
        <f t="shared" si="6"/>
        <v>1785</v>
      </c>
      <c r="U17" s="318">
        <f t="shared" si="1"/>
        <v>2225</v>
      </c>
      <c r="Z17" s="225">
        <f t="shared" si="2"/>
        <v>1983</v>
      </c>
      <c r="AA17" s="320">
        <f>IF(B133&lt;1000,(B17/$R17)," ")</f>
        <v>1</v>
      </c>
      <c r="AB17" s="321">
        <f>IF(C133&lt;1000,(C17/$R17)," ")</f>
        <v>0.93483146067415734</v>
      </c>
      <c r="AC17" s="321">
        <f>IF(D133&gt;1200,(D17/$S17)," ")</f>
        <v>0.8529411764705882</v>
      </c>
      <c r="AD17" s="321">
        <f>IF(E133&gt;1200,(E17/$S17)," ")</f>
        <v>0.75565610859728505</v>
      </c>
      <c r="AE17" s="321">
        <f>IF(F133&gt;1200,(F17/$S17)," ")</f>
        <v>0.85972850678733037</v>
      </c>
      <c r="AF17" s="321">
        <f>IF(G133&gt;1200,(G17/$S17)," ")</f>
        <v>0.91402714932126694</v>
      </c>
      <c r="AG17" s="321">
        <f>IF(H133&gt;1200,(H17/$S17)," ")</f>
        <v>1</v>
      </c>
      <c r="AH17" s="321">
        <f>IF(I133&gt;1200,(I17/$S17)," ")</f>
        <v>0.96832579185520362</v>
      </c>
      <c r="AI17" s="321">
        <f>IF(J133&gt;1200,(J17/$S17)," ")</f>
        <v>0.98642533936651589</v>
      </c>
      <c r="AJ17" s="321">
        <f>IF(K133&gt;1200,(K17/$S17)," ")</f>
        <v>0.87330316742081449</v>
      </c>
      <c r="AK17" s="321">
        <f>IF(L133&lt;1000,(L17/$R17)," ")</f>
        <v>0.80674157303370786</v>
      </c>
      <c r="AL17" s="369">
        <f>IF(M133&lt;1000,(M17/$R18)," ")</f>
        <v>0.93978494623655917</v>
      </c>
      <c r="AN17" s="1">
        <f t="shared" si="3"/>
        <v>1983</v>
      </c>
      <c r="AO17" s="20">
        <f t="shared" si="4"/>
        <v>-225</v>
      </c>
      <c r="AP17" s="1">
        <f t="shared" si="4"/>
        <v>500</v>
      </c>
      <c r="AQ17" s="1">
        <f t="shared" si="4"/>
        <v>175</v>
      </c>
      <c r="AR17" s="1">
        <f t="shared" si="4"/>
        <v>-135</v>
      </c>
      <c r="AS17" s="1">
        <f t="shared" si="4"/>
        <v>90</v>
      </c>
      <c r="AT17" s="1">
        <f t="shared" si="4"/>
        <v>85</v>
      </c>
      <c r="AU17" s="1">
        <f t="shared" si="4"/>
        <v>290</v>
      </c>
      <c r="AV17" s="1">
        <f t="shared" si="4"/>
        <v>195</v>
      </c>
      <c r="AW17" s="1">
        <f t="shared" si="4"/>
        <v>170</v>
      </c>
      <c r="AX17" s="1">
        <f t="shared" si="4"/>
        <v>20</v>
      </c>
      <c r="AY17" s="1">
        <f t="shared" si="4"/>
        <v>135</v>
      </c>
      <c r="AZ17" s="1">
        <f t="shared" si="4"/>
        <v>400</v>
      </c>
    </row>
    <row r="18" spans="1:52" ht="15.75">
      <c r="A18" s="323">
        <f>'Instant Old no Delete'!A18</f>
        <v>1984</v>
      </c>
      <c r="B18" s="3">
        <v>2205</v>
      </c>
      <c r="C18" s="174">
        <v>2325</v>
      </c>
      <c r="D18" s="3">
        <v>2220</v>
      </c>
      <c r="E18" s="3">
        <v>1800</v>
      </c>
      <c r="F18" s="3">
        <v>2120</v>
      </c>
      <c r="G18" s="3">
        <v>2165</v>
      </c>
      <c r="H18" s="3">
        <v>2230</v>
      </c>
      <c r="I18" s="3">
        <v>2225</v>
      </c>
      <c r="J18" s="168">
        <v>2250</v>
      </c>
      <c r="K18" s="3">
        <v>2042</v>
      </c>
      <c r="L18" s="3">
        <v>1960</v>
      </c>
      <c r="M18" s="3">
        <v>2160</v>
      </c>
      <c r="N18" s="290" t="s">
        <v>89</v>
      </c>
      <c r="O18" s="290"/>
      <c r="Q18" s="288" t="s">
        <v>31</v>
      </c>
      <c r="R18" s="258">
        <f>MAX(T18:U18)</f>
        <v>2325</v>
      </c>
      <c r="S18" s="257">
        <f t="shared" si="0"/>
        <v>2250</v>
      </c>
      <c r="T18" s="317">
        <f t="shared" si="6"/>
        <v>2185</v>
      </c>
      <c r="U18" s="318">
        <f t="shared" si="1"/>
        <v>2325</v>
      </c>
      <c r="Z18" s="225">
        <f t="shared" si="2"/>
        <v>1984</v>
      </c>
      <c r="AA18" s="320">
        <f>IF(B134&lt;1000,(B18/$R18)," ")</f>
        <v>0.94838709677419353</v>
      </c>
      <c r="AB18" s="321">
        <f>IF(C134&lt;1000,(C18/$R18)," ")</f>
        <v>1</v>
      </c>
      <c r="AC18" s="321" t="str">
        <f>IF(D134&gt;1200,(D18/$S18)," ")</f>
        <v xml:space="preserve"> </v>
      </c>
      <c r="AD18" s="321">
        <f>IF(E134&gt;1200,(E18/$S18)," ")</f>
        <v>0.8</v>
      </c>
      <c r="AE18" s="321">
        <f>IF(F134&gt;1200,(F18/$S18)," ")</f>
        <v>0.94222222222222218</v>
      </c>
      <c r="AF18" s="321">
        <f>IF(G134&gt;1200,(G18/$S18)," ")</f>
        <v>0.9622222222222222</v>
      </c>
      <c r="AG18" s="321">
        <f>IF(H134&gt;1200,(H18/$S18)," ")</f>
        <v>0.99111111111111116</v>
      </c>
      <c r="AH18" s="321">
        <f>IF(I134&gt;1200,(I18/$S18)," ")</f>
        <v>0.98888888888888893</v>
      </c>
      <c r="AI18" s="321">
        <f>IF(J134&gt;1200,(J18/$S18)," ")</f>
        <v>1</v>
      </c>
      <c r="AJ18" s="321">
        <f>IF(K134&gt;1200,(K18/$S18)," ")</f>
        <v>0.90755555555555556</v>
      </c>
      <c r="AK18" s="321">
        <f>IF(L134&lt;1000,(L18/$R18)," ")</f>
        <v>0.84301075268817205</v>
      </c>
      <c r="AL18" s="369">
        <f>IF(M134&lt;1000,(M18/$R19)," ")</f>
        <v>0.7384615384615385</v>
      </c>
      <c r="AN18" s="1">
        <f t="shared" si="3"/>
        <v>1984</v>
      </c>
      <c r="AO18" s="20">
        <f t="shared" si="4"/>
        <v>-20</v>
      </c>
      <c r="AP18" s="1">
        <f t="shared" si="4"/>
        <v>245</v>
      </c>
      <c r="AQ18" s="1">
        <f t="shared" si="4"/>
        <v>335</v>
      </c>
      <c r="AR18" s="1">
        <f t="shared" si="4"/>
        <v>130</v>
      </c>
      <c r="AS18" s="1">
        <f t="shared" si="4"/>
        <v>220</v>
      </c>
      <c r="AT18" s="1">
        <f t="shared" si="4"/>
        <v>145</v>
      </c>
      <c r="AU18" s="1">
        <f t="shared" si="4"/>
        <v>20</v>
      </c>
      <c r="AV18" s="1">
        <f t="shared" si="4"/>
        <v>85</v>
      </c>
      <c r="AW18" s="1">
        <f t="shared" si="4"/>
        <v>70</v>
      </c>
      <c r="AX18" s="1">
        <f t="shared" si="4"/>
        <v>112</v>
      </c>
      <c r="AY18" s="1">
        <f t="shared" si="4"/>
        <v>165</v>
      </c>
      <c r="AZ18" s="1">
        <f t="shared" si="4"/>
        <v>-25</v>
      </c>
    </row>
    <row r="19" spans="1:52" ht="15.75">
      <c r="A19" s="323">
        <f>'Instant Old no Delete'!A19</f>
        <v>1985</v>
      </c>
      <c r="B19" s="174">
        <v>2925</v>
      </c>
      <c r="C19" s="3">
        <v>2390</v>
      </c>
      <c r="D19" s="3">
        <v>1925</v>
      </c>
      <c r="E19" s="3">
        <v>1900</v>
      </c>
      <c r="F19" s="3">
        <v>2270</v>
      </c>
      <c r="G19" s="168">
        <v>2545</v>
      </c>
      <c r="H19" s="3">
        <v>2320</v>
      </c>
      <c r="I19" s="3">
        <v>2325</v>
      </c>
      <c r="J19" s="3">
        <v>2315</v>
      </c>
      <c r="K19" s="3">
        <v>2230</v>
      </c>
      <c r="L19" s="3">
        <v>1940</v>
      </c>
      <c r="M19" s="3">
        <v>2480</v>
      </c>
      <c r="N19" s="290" t="s">
        <v>90</v>
      </c>
      <c r="O19" s="290"/>
      <c r="Q19" s="288" t="s">
        <v>32</v>
      </c>
      <c r="R19" s="258">
        <f t="shared" si="5"/>
        <v>2925</v>
      </c>
      <c r="S19" s="257">
        <f t="shared" si="0"/>
        <v>2545</v>
      </c>
      <c r="T19" s="317">
        <f t="shared" si="6"/>
        <v>2160</v>
      </c>
      <c r="U19" s="318">
        <f t="shared" si="1"/>
        <v>2925</v>
      </c>
      <c r="Z19" s="225">
        <f t="shared" si="2"/>
        <v>1985</v>
      </c>
      <c r="AA19" s="320">
        <f>IF(B135&lt;1000,(B19/$R19)," ")</f>
        <v>1</v>
      </c>
      <c r="AB19" s="321">
        <f>IF(C135&lt;1000,(C19/$R19)," ")</f>
        <v>0.81709401709401708</v>
      </c>
      <c r="AC19" s="321" t="str">
        <f>IF(D135&gt;1200,(D19/$S19)," ")</f>
        <v xml:space="preserve"> </v>
      </c>
      <c r="AD19" s="321">
        <f>IF(E135&gt;1200,(E19/$S19)," ")</f>
        <v>0.74656188605108054</v>
      </c>
      <c r="AE19" s="321">
        <f>IF(F135&gt;1200,(F19/$S19)," ")</f>
        <v>0.89194499017681728</v>
      </c>
      <c r="AF19" s="321">
        <f>IF(G135&gt;1200,(G19/$S19)," ")</f>
        <v>1</v>
      </c>
      <c r="AG19" s="321">
        <f>IF(H135&gt;1200,(H19/$S19)," ")</f>
        <v>0.91159135559921411</v>
      </c>
      <c r="AH19" s="321">
        <f>IF(I135&gt;1200,(I19/$S19)," ")</f>
        <v>0.91355599214145378</v>
      </c>
      <c r="AI19" s="321">
        <f>IF(J135&gt;1200,(J19/$S19)," ")</f>
        <v>0.90962671905697445</v>
      </c>
      <c r="AJ19" s="321">
        <f>IF(K135&gt;1200,(K19/$S19)," ")</f>
        <v>0.87622789783889976</v>
      </c>
      <c r="AK19" s="321" t="str">
        <f>IF(L135&lt;1000,(L19/$R19)," ")</f>
        <v xml:space="preserve"> </v>
      </c>
      <c r="AL19" s="369">
        <f>IF(M135&lt;1000,(M19/$R20)," ")</f>
        <v>0.8920863309352518</v>
      </c>
      <c r="AN19" s="1">
        <f t="shared" si="3"/>
        <v>1985</v>
      </c>
      <c r="AO19" s="20">
        <f t="shared" si="4"/>
        <v>720</v>
      </c>
      <c r="AP19" s="1">
        <f t="shared" si="4"/>
        <v>65</v>
      </c>
      <c r="AQ19" s="1">
        <f t="shared" si="4"/>
        <v>-295</v>
      </c>
      <c r="AR19" s="1">
        <f t="shared" si="4"/>
        <v>100</v>
      </c>
      <c r="AS19" s="1">
        <f t="shared" si="4"/>
        <v>150</v>
      </c>
      <c r="AT19" s="1">
        <f t="shared" si="4"/>
        <v>380</v>
      </c>
      <c r="AU19" s="1">
        <f t="shared" si="4"/>
        <v>90</v>
      </c>
      <c r="AV19" s="1">
        <f t="shared" si="4"/>
        <v>100</v>
      </c>
      <c r="AW19" s="1">
        <f t="shared" si="4"/>
        <v>65</v>
      </c>
      <c r="AX19" s="1">
        <f t="shared" si="4"/>
        <v>188</v>
      </c>
      <c r="AY19" s="1">
        <f t="shared" si="4"/>
        <v>-20</v>
      </c>
      <c r="AZ19" s="1">
        <f t="shared" si="4"/>
        <v>320</v>
      </c>
    </row>
    <row r="20" spans="1:52" ht="15.75">
      <c r="A20" s="323">
        <f>'Instant Old no Delete'!A20</f>
        <v>1986</v>
      </c>
      <c r="B20" s="174">
        <v>2780</v>
      </c>
      <c r="C20" s="3">
        <v>2420</v>
      </c>
      <c r="D20" s="3">
        <v>2020</v>
      </c>
      <c r="E20" s="3">
        <v>1830</v>
      </c>
      <c r="F20" s="3">
        <v>2210</v>
      </c>
      <c r="G20" s="3">
        <v>2260</v>
      </c>
      <c r="H20" s="3">
        <v>2285</v>
      </c>
      <c r="I20" s="168">
        <v>2325</v>
      </c>
      <c r="J20" s="3">
        <v>2290</v>
      </c>
      <c r="K20" s="3">
        <v>2350</v>
      </c>
      <c r="L20" s="3">
        <v>1950</v>
      </c>
      <c r="M20" s="3">
        <v>1835</v>
      </c>
      <c r="Q20" s="288" t="s">
        <v>33</v>
      </c>
      <c r="R20" s="257">
        <f t="shared" si="5"/>
        <v>2780</v>
      </c>
      <c r="S20" s="257">
        <f t="shared" si="0"/>
        <v>2350</v>
      </c>
      <c r="T20" s="317">
        <f t="shared" si="6"/>
        <v>2480</v>
      </c>
      <c r="U20" s="318">
        <f t="shared" si="1"/>
        <v>2780</v>
      </c>
      <c r="Z20" s="225">
        <f t="shared" si="2"/>
        <v>1986</v>
      </c>
      <c r="AA20" s="320">
        <f>IF(B136&lt;1000,(B20/$R20)," ")</f>
        <v>1</v>
      </c>
      <c r="AB20" s="321">
        <f>IF(C136&lt;1000,(C20/$R20)," ")</f>
        <v>0.87050359712230219</v>
      </c>
      <c r="AC20" s="321" t="str">
        <f>IF(D136&gt;1200,(D20/$S20)," ")</f>
        <v xml:space="preserve"> </v>
      </c>
      <c r="AD20" s="321">
        <f>IF(E136&gt;1200,(E20/$S20)," ")</f>
        <v>0.77872340425531916</v>
      </c>
      <c r="AE20" s="321">
        <f>IF(F136&gt;1200,(F20/$S20)," ")</f>
        <v>0.94042553191489364</v>
      </c>
      <c r="AF20" s="321">
        <f>IF(G136&gt;1200,(G20/$S20)," ")</f>
        <v>0.96170212765957441</v>
      </c>
      <c r="AG20" s="321">
        <f>IF(H136&gt;1200,(H20/$S20)," ")</f>
        <v>0.97234042553191491</v>
      </c>
      <c r="AH20" s="321">
        <f>IF(I136&gt;1200,(I20/$S20)," ")</f>
        <v>0.98936170212765961</v>
      </c>
      <c r="AI20" s="321">
        <f>IF(J136&gt;1200,(J20/$S20)," ")</f>
        <v>0.97446808510638294</v>
      </c>
      <c r="AJ20" s="321">
        <f>IF(K136&gt;1200,(K20/$S20)," ")</f>
        <v>1</v>
      </c>
      <c r="AK20" s="321" t="str">
        <f>IF(L136&lt;1000,(L20/$R20)," ")</f>
        <v xml:space="preserve"> </v>
      </c>
      <c r="AL20" s="369" t="str">
        <f>IF(M136&lt;1000,(M20/$R21)," ")</f>
        <v xml:space="preserve"> </v>
      </c>
      <c r="AN20" s="1">
        <f t="shared" si="3"/>
        <v>1986</v>
      </c>
      <c r="AO20" s="20">
        <f t="shared" si="4"/>
        <v>-145</v>
      </c>
      <c r="AP20" s="1">
        <f t="shared" si="4"/>
        <v>30</v>
      </c>
      <c r="AQ20" s="1">
        <f t="shared" si="4"/>
        <v>95</v>
      </c>
      <c r="AR20" s="1">
        <f t="shared" si="4"/>
        <v>-70</v>
      </c>
      <c r="AS20" s="1">
        <f t="shared" si="4"/>
        <v>-60</v>
      </c>
      <c r="AT20" s="1">
        <f t="shared" si="4"/>
        <v>-285</v>
      </c>
      <c r="AU20" s="1">
        <f t="shared" si="4"/>
        <v>-35</v>
      </c>
      <c r="AV20" s="1">
        <f t="shared" si="4"/>
        <v>0</v>
      </c>
      <c r="AW20" s="1">
        <f t="shared" si="4"/>
        <v>-25</v>
      </c>
      <c r="AX20" s="1">
        <f t="shared" si="4"/>
        <v>120</v>
      </c>
      <c r="AY20" s="1">
        <f t="shared" si="4"/>
        <v>10</v>
      </c>
      <c r="AZ20" s="1">
        <f t="shared" si="4"/>
        <v>-645</v>
      </c>
    </row>
    <row r="21" spans="1:52" ht="15.75">
      <c r="A21" s="323">
        <f>'Instant Old no Delete'!A21</f>
        <v>1987</v>
      </c>
      <c r="B21" s="3">
        <v>2360</v>
      </c>
      <c r="C21" s="174">
        <v>2430</v>
      </c>
      <c r="D21" s="3">
        <v>1835</v>
      </c>
      <c r="E21" s="3">
        <v>2050</v>
      </c>
      <c r="F21" s="3">
        <v>2135</v>
      </c>
      <c r="G21" s="3">
        <v>2400</v>
      </c>
      <c r="H21" s="3">
        <v>2450</v>
      </c>
      <c r="I21" s="168">
        <v>2535</v>
      </c>
      <c r="J21" s="3">
        <v>2440</v>
      </c>
      <c r="K21" s="3">
        <v>2025</v>
      </c>
      <c r="L21" s="3">
        <v>1890</v>
      </c>
      <c r="M21" s="3">
        <v>2400</v>
      </c>
      <c r="Q21" s="288" t="s">
        <v>34</v>
      </c>
      <c r="R21" s="257">
        <f t="shared" si="5"/>
        <v>2430</v>
      </c>
      <c r="S21" s="257">
        <f t="shared" si="0"/>
        <v>2535</v>
      </c>
      <c r="T21" s="317">
        <f t="shared" si="6"/>
        <v>1950</v>
      </c>
      <c r="U21" s="318">
        <f t="shared" si="1"/>
        <v>2430</v>
      </c>
      <c r="Z21" s="225">
        <f t="shared" si="2"/>
        <v>1987</v>
      </c>
      <c r="AA21" s="320">
        <f>IF(B137&lt;1000,(B21/$R21)," ")</f>
        <v>0.9711934156378601</v>
      </c>
      <c r="AB21" s="321">
        <f>IF(C137&lt;1000,(C21/$R21)," ")</f>
        <v>1</v>
      </c>
      <c r="AC21" s="321">
        <f>IF(D137&gt;1200,(D21/$S21)," ")</f>
        <v>0.72386587771203159</v>
      </c>
      <c r="AD21" s="321" t="str">
        <f>IF(E137&gt;1200,(E21/$S21)," ")</f>
        <v xml:space="preserve"> </v>
      </c>
      <c r="AE21" s="321">
        <f>IF(F137&gt;1200,(F21/$S21)," ")</f>
        <v>0.84220907297830372</v>
      </c>
      <c r="AF21" s="321">
        <f>IF(G137&gt;1200,(G21/$S21)," ")</f>
        <v>0.94674556213017746</v>
      </c>
      <c r="AG21" s="321">
        <f>IF(H137&gt;1200,(H21/$S21)," ")</f>
        <v>0.9664694280078896</v>
      </c>
      <c r="AH21" s="321">
        <f>IF(I137&gt;1200,(I21/$S21)," ")</f>
        <v>1</v>
      </c>
      <c r="AI21" s="321">
        <f>IF(J137&gt;1200,(J21/$S21)," ")</f>
        <v>0.96252465483234717</v>
      </c>
      <c r="AJ21" s="321">
        <f>IF(K137&gt;1200,(K21/$S21)," ")</f>
        <v>0.79881656804733725</v>
      </c>
      <c r="AK21" s="321" t="str">
        <f>IF(L137&lt;1000,(L21/$R21)," ")</f>
        <v xml:space="preserve"> </v>
      </c>
      <c r="AL21" s="369">
        <f>IF(M137&lt;1000,(M21/$R22)," ")</f>
        <v>0.86330935251798557</v>
      </c>
      <c r="AN21" s="1">
        <f t="shared" si="3"/>
        <v>1987</v>
      </c>
      <c r="AO21" s="20">
        <f t="shared" si="4"/>
        <v>-420</v>
      </c>
      <c r="AP21" s="1">
        <f t="shared" si="4"/>
        <v>10</v>
      </c>
      <c r="AQ21" s="1">
        <f t="shared" si="4"/>
        <v>-185</v>
      </c>
      <c r="AR21" s="1">
        <f t="shared" si="4"/>
        <v>220</v>
      </c>
      <c r="AS21" s="1">
        <f t="shared" si="4"/>
        <v>-75</v>
      </c>
      <c r="AT21" s="1">
        <f t="shared" si="4"/>
        <v>140</v>
      </c>
      <c r="AU21" s="1">
        <f t="shared" si="4"/>
        <v>165</v>
      </c>
      <c r="AV21" s="1">
        <f t="shared" si="4"/>
        <v>210</v>
      </c>
      <c r="AW21" s="1">
        <f t="shared" si="4"/>
        <v>150</v>
      </c>
      <c r="AX21" s="1">
        <f t="shared" si="4"/>
        <v>-325</v>
      </c>
      <c r="AY21" s="1">
        <f t="shared" si="4"/>
        <v>-60</v>
      </c>
      <c r="AZ21" s="1">
        <f t="shared" si="4"/>
        <v>565</v>
      </c>
    </row>
    <row r="22" spans="1:52" ht="15.75">
      <c r="A22" s="323">
        <f>'Instant Old no Delete'!A22</f>
        <v>1988</v>
      </c>
      <c r="B22" s="174">
        <v>2780</v>
      </c>
      <c r="C22" s="3">
        <v>2365</v>
      </c>
      <c r="D22" s="3">
        <v>2400</v>
      </c>
      <c r="E22" s="3">
        <v>2135</v>
      </c>
      <c r="F22" s="3">
        <v>2410</v>
      </c>
      <c r="G22" s="3">
        <v>2465</v>
      </c>
      <c r="H22" s="168">
        <v>2610</v>
      </c>
      <c r="I22" s="3">
        <v>2565</v>
      </c>
      <c r="J22" s="3">
        <v>2505</v>
      </c>
      <c r="K22" s="3">
        <v>2210</v>
      </c>
      <c r="L22" s="3">
        <v>2050</v>
      </c>
      <c r="M22" s="3">
        <v>2695</v>
      </c>
      <c r="Q22" s="288" t="s">
        <v>35</v>
      </c>
      <c r="R22" s="257">
        <f t="shared" si="5"/>
        <v>2780</v>
      </c>
      <c r="S22" s="257">
        <f t="shared" si="0"/>
        <v>2610</v>
      </c>
      <c r="T22" s="317">
        <f t="shared" si="6"/>
        <v>2400</v>
      </c>
      <c r="U22" s="318">
        <f t="shared" si="1"/>
        <v>2780</v>
      </c>
      <c r="Z22" s="225">
        <f t="shared" si="2"/>
        <v>1988</v>
      </c>
      <c r="AA22" s="320">
        <f>IF(B138&lt;1000,(B22/$R22)," ")</f>
        <v>1</v>
      </c>
      <c r="AB22" s="321">
        <f>IF(C138&lt;1000,(C22/$R22)," ")</f>
        <v>0.85071942446043169</v>
      </c>
      <c r="AC22" s="321" t="str">
        <f>IF(D138&gt;1200,(D22/$S22)," ")</f>
        <v xml:space="preserve"> </v>
      </c>
      <c r="AD22" s="321">
        <f>IF(E138&gt;1200,(E22/$S22)," ")</f>
        <v>0.81800766283524906</v>
      </c>
      <c r="AE22" s="321">
        <f>IF(F138&gt;1200,(F22/$S22)," ")</f>
        <v>0.92337164750957856</v>
      </c>
      <c r="AF22" s="321">
        <f>IF(G138&gt;1200,(G22/$S22)," ")</f>
        <v>0.94444444444444442</v>
      </c>
      <c r="AG22" s="321">
        <f>IF(H138&gt;1200,(H22/$S22)," ")</f>
        <v>1</v>
      </c>
      <c r="AH22" s="321">
        <f>IF(I138&gt;1200,(I22/$S22)," ")</f>
        <v>0.98275862068965514</v>
      </c>
      <c r="AI22" s="321">
        <f>IF(J138&gt;1200,(J22/$S22)," ")</f>
        <v>0.95977011494252873</v>
      </c>
      <c r="AJ22" s="321">
        <f>IF(K138&gt;1200,(K22/$S22)," ")</f>
        <v>0.84674329501915713</v>
      </c>
      <c r="AK22" s="321" t="str">
        <f>IF(L138&lt;1000,(L22/$R22)," ")</f>
        <v xml:space="preserve"> </v>
      </c>
      <c r="AL22" s="369">
        <f>IF(M138&lt;1000,(M22/$R23)," ")</f>
        <v>0.98717948717948723</v>
      </c>
      <c r="AN22" s="1">
        <f t="shared" si="3"/>
        <v>1988</v>
      </c>
      <c r="AO22" s="20">
        <f t="shared" si="4"/>
        <v>420</v>
      </c>
      <c r="AP22" s="1">
        <f t="shared" si="4"/>
        <v>-65</v>
      </c>
      <c r="AQ22" s="1">
        <f t="shared" si="4"/>
        <v>565</v>
      </c>
      <c r="AR22" s="1">
        <f t="shared" si="4"/>
        <v>85</v>
      </c>
      <c r="AS22" s="1">
        <f t="shared" si="4"/>
        <v>275</v>
      </c>
      <c r="AT22" s="1">
        <f t="shared" si="4"/>
        <v>65</v>
      </c>
      <c r="AU22" s="1">
        <f t="shared" si="4"/>
        <v>160</v>
      </c>
      <c r="AV22" s="1">
        <f t="shared" si="4"/>
        <v>30</v>
      </c>
      <c r="AW22" s="1">
        <f t="shared" si="4"/>
        <v>65</v>
      </c>
      <c r="AX22" s="1">
        <f t="shared" si="4"/>
        <v>185</v>
      </c>
      <c r="AY22" s="1">
        <f t="shared" si="4"/>
        <v>160</v>
      </c>
      <c r="AZ22" s="1">
        <f t="shared" si="4"/>
        <v>295</v>
      </c>
    </row>
    <row r="23" spans="1:52" ht="15.75">
      <c r="A23" s="323">
        <f>'Instant Old no Delete'!A23</f>
        <v>1989</v>
      </c>
      <c r="B23" s="3">
        <v>2060</v>
      </c>
      <c r="C23" s="174">
        <v>2730</v>
      </c>
      <c r="D23" s="3">
        <v>2270</v>
      </c>
      <c r="E23" s="3">
        <v>2200</v>
      </c>
      <c r="F23" s="3">
        <v>2565</v>
      </c>
      <c r="G23" s="3">
        <v>2710</v>
      </c>
      <c r="H23" s="3">
        <v>2665</v>
      </c>
      <c r="I23" s="168">
        <v>2724</v>
      </c>
      <c r="J23" s="3">
        <v>2602</v>
      </c>
      <c r="K23" s="3">
        <v>2433</v>
      </c>
      <c r="L23" s="3">
        <v>2085</v>
      </c>
      <c r="M23" s="174">
        <v>2872</v>
      </c>
      <c r="N23" s="21" t="s">
        <v>304</v>
      </c>
      <c r="Q23" s="288" t="s">
        <v>36</v>
      </c>
      <c r="R23" s="257">
        <f t="shared" si="5"/>
        <v>2730</v>
      </c>
      <c r="S23" s="257">
        <f t="shared" si="0"/>
        <v>2724</v>
      </c>
      <c r="T23" s="317">
        <f t="shared" si="6"/>
        <v>2695</v>
      </c>
      <c r="U23" s="318">
        <f t="shared" si="1"/>
        <v>2730</v>
      </c>
      <c r="Z23" s="225">
        <f t="shared" si="2"/>
        <v>1989</v>
      </c>
      <c r="AA23" s="320">
        <f>IF(B139&lt;1000,(B23/$R23)," ")</f>
        <v>0.75457875457875456</v>
      </c>
      <c r="AB23" s="321">
        <f>IF(C139&lt;1000,(C23/$R23)," ")</f>
        <v>1</v>
      </c>
      <c r="AC23" s="321" t="str">
        <f>IF(D139&gt;1200,(D23/$S23)," ")</f>
        <v xml:space="preserve"> </v>
      </c>
      <c r="AD23" s="321">
        <f>IF(E139&gt;1200,(E23/$S23)," ")</f>
        <v>0.80763582966226133</v>
      </c>
      <c r="AE23" s="321">
        <f>IF(F139&gt;1200,(F23/$S23)," ")</f>
        <v>0.94162995594713661</v>
      </c>
      <c r="AF23" s="321">
        <f>IF(G139&gt;1200,(G23/$S23)," ")</f>
        <v>0.99486049926578557</v>
      </c>
      <c r="AG23" s="321">
        <f>IF(H139&gt;1200,(H23/$S23)," ")</f>
        <v>0.97834067547723935</v>
      </c>
      <c r="AH23" s="321">
        <f>IF(I139&gt;1200,(I23/$S23)," ")</f>
        <v>1</v>
      </c>
      <c r="AI23" s="321">
        <f>IF(J139&gt;1200,(J23/$S23)," ")</f>
        <v>0.95521292217327458</v>
      </c>
      <c r="AJ23" s="321">
        <f>IF(K139&gt;1200,(K23/$S23)," ")</f>
        <v>0.89317180616740088</v>
      </c>
      <c r="AK23" s="321" t="str">
        <f>IF(L139&lt;1000,(L23/$R23)," ")</f>
        <v xml:space="preserve"> </v>
      </c>
      <c r="AL23" s="369" t="str">
        <f>IF(M139&lt;1000,(M23/$R24)," ")</f>
        <v xml:space="preserve"> </v>
      </c>
      <c r="AN23" s="1">
        <f t="shared" si="3"/>
        <v>1989</v>
      </c>
      <c r="AO23" s="20">
        <f t="shared" si="4"/>
        <v>-720</v>
      </c>
      <c r="AP23" s="1">
        <f t="shared" si="4"/>
        <v>365</v>
      </c>
      <c r="AQ23" s="1">
        <f t="shared" si="4"/>
        <v>-130</v>
      </c>
      <c r="AR23" s="1">
        <f t="shared" si="4"/>
        <v>65</v>
      </c>
      <c r="AS23" s="1">
        <f t="shared" si="4"/>
        <v>155</v>
      </c>
      <c r="AT23" s="1">
        <f t="shared" si="4"/>
        <v>245</v>
      </c>
      <c r="AU23" s="1">
        <f t="shared" si="4"/>
        <v>55</v>
      </c>
      <c r="AV23" s="1">
        <f t="shared" si="4"/>
        <v>159</v>
      </c>
      <c r="AW23" s="1">
        <f t="shared" si="4"/>
        <v>97</v>
      </c>
      <c r="AX23" s="1">
        <f t="shared" si="4"/>
        <v>223</v>
      </c>
      <c r="AY23" s="1">
        <f t="shared" si="4"/>
        <v>35</v>
      </c>
      <c r="AZ23" s="1">
        <f t="shared" si="4"/>
        <v>177</v>
      </c>
    </row>
    <row r="24" spans="1:52" ht="15.75">
      <c r="A24" s="323">
        <f>'Instant Old no Delete'!A24</f>
        <v>1990</v>
      </c>
      <c r="B24" s="3">
        <v>2192</v>
      </c>
      <c r="C24" s="3">
        <v>2070</v>
      </c>
      <c r="D24" s="3">
        <v>2084</v>
      </c>
      <c r="E24" s="3">
        <v>2400</v>
      </c>
      <c r="F24" s="3">
        <v>2646</v>
      </c>
      <c r="G24" s="168">
        <v>2777</v>
      </c>
      <c r="H24" s="3">
        <v>2704</v>
      </c>
      <c r="I24" s="3">
        <v>2747</v>
      </c>
      <c r="J24" s="3">
        <v>2726</v>
      </c>
      <c r="K24" s="174">
        <v>2668</v>
      </c>
      <c r="L24" s="3">
        <v>2165</v>
      </c>
      <c r="M24" s="3">
        <v>2307</v>
      </c>
      <c r="N24" s="21" t="s">
        <v>305</v>
      </c>
      <c r="Q24" s="288" t="s">
        <v>37</v>
      </c>
      <c r="R24" s="257">
        <f t="shared" si="5"/>
        <v>2872</v>
      </c>
      <c r="S24" s="257">
        <f t="shared" si="0"/>
        <v>2777</v>
      </c>
      <c r="T24" s="317">
        <f t="shared" si="6"/>
        <v>2872</v>
      </c>
      <c r="U24" s="318">
        <f t="shared" si="1"/>
        <v>2192</v>
      </c>
      <c r="Z24" s="225">
        <f t="shared" si="2"/>
        <v>1990</v>
      </c>
      <c r="AA24" s="320">
        <f>IF(B140&lt;1000,(B24/$R24)," ")</f>
        <v>0.76323119777158777</v>
      </c>
      <c r="AB24" s="321">
        <f>IF(C140&lt;1000,(C24/$R24)," ")</f>
        <v>0.72075208913649025</v>
      </c>
      <c r="AC24" s="321">
        <f>IF(D140&gt;1200,(D24/$S24)," ")</f>
        <v>0.75045012603528993</v>
      </c>
      <c r="AD24" s="321">
        <f>IF(E140&gt;1200,(E24/$S24)," ")</f>
        <v>0.86424198775657179</v>
      </c>
      <c r="AE24" s="321">
        <f>IF(F140&gt;1200,(F24/$S24)," ")</f>
        <v>0.95282679150162042</v>
      </c>
      <c r="AF24" s="321">
        <f>IF(G140&gt;1200,(G24/$S24)," ")</f>
        <v>1</v>
      </c>
      <c r="AG24" s="321">
        <f>IF(H140&gt;1200,(H24/$S24)," ")</f>
        <v>0.97371263953907095</v>
      </c>
      <c r="AH24" s="321">
        <f>IF(I140&gt;1200,(I24/$S24)," ")</f>
        <v>0.98919697515304283</v>
      </c>
      <c r="AI24" s="321">
        <f>IF(J140&gt;1200,(J24/$S24)," ")</f>
        <v>0.9816348577601729</v>
      </c>
      <c r="AJ24" s="321">
        <f>IF(K140&gt;1200,(K24/$S24)," ")</f>
        <v>0.96074900972272237</v>
      </c>
      <c r="AK24" s="321" t="str">
        <f>IF(L140&lt;1000,(L24/$R24)," ")</f>
        <v xml:space="preserve"> </v>
      </c>
      <c r="AL24" s="369">
        <f>IF(M140&lt;1000,(M24/$R25)," ")</f>
        <v>0.90046838407494145</v>
      </c>
      <c r="AN24" s="1">
        <f t="shared" si="3"/>
        <v>1990</v>
      </c>
      <c r="AO24" s="20">
        <f t="shared" si="4"/>
        <v>132</v>
      </c>
      <c r="AP24" s="1">
        <f t="shared" si="4"/>
        <v>-660</v>
      </c>
      <c r="AQ24" s="1">
        <f t="shared" si="4"/>
        <v>-186</v>
      </c>
      <c r="AR24" s="1">
        <f t="shared" si="4"/>
        <v>200</v>
      </c>
      <c r="AS24" s="1">
        <f t="shared" si="4"/>
        <v>81</v>
      </c>
      <c r="AT24" s="1">
        <f t="shared" si="4"/>
        <v>67</v>
      </c>
      <c r="AU24" s="1">
        <f t="shared" si="4"/>
        <v>39</v>
      </c>
      <c r="AV24" s="1">
        <f t="shared" si="4"/>
        <v>23</v>
      </c>
      <c r="AW24" s="1">
        <f t="shared" si="4"/>
        <v>124</v>
      </c>
      <c r="AX24" s="1">
        <f t="shared" si="4"/>
        <v>235</v>
      </c>
      <c r="AY24" s="1">
        <f t="shared" si="4"/>
        <v>80</v>
      </c>
      <c r="AZ24" s="1">
        <f t="shared" si="4"/>
        <v>-565</v>
      </c>
    </row>
    <row r="25" spans="1:52" ht="15.75">
      <c r="A25" s="323">
        <f>'Instant Old no Delete'!A25</f>
        <v>1991</v>
      </c>
      <c r="B25" s="3">
        <v>2444</v>
      </c>
      <c r="C25" s="3">
        <v>2562</v>
      </c>
      <c r="D25" s="3">
        <v>2370</v>
      </c>
      <c r="E25" s="3">
        <v>2604</v>
      </c>
      <c r="F25" s="3">
        <v>2620</v>
      </c>
      <c r="G25" s="3">
        <v>2652</v>
      </c>
      <c r="H25" s="3">
        <v>2733</v>
      </c>
      <c r="I25" s="168">
        <v>2796</v>
      </c>
      <c r="J25" s="3">
        <v>2784</v>
      </c>
      <c r="K25" s="3">
        <v>2514</v>
      </c>
      <c r="L25" s="3">
        <v>2526</v>
      </c>
      <c r="M25" s="3">
        <v>2492</v>
      </c>
      <c r="N25" s="399">
        <f>SUM(B25:M25)</f>
        <v>31097</v>
      </c>
      <c r="O25" s="400"/>
      <c r="P25" s="398">
        <f t="shared" ref="P25:P44" si="7">N25-O25</f>
        <v>31097</v>
      </c>
      <c r="Q25" s="288" t="s">
        <v>38</v>
      </c>
      <c r="R25" s="257">
        <f t="shared" si="5"/>
        <v>2562</v>
      </c>
      <c r="S25" s="257">
        <f t="shared" si="0"/>
        <v>2796</v>
      </c>
      <c r="T25" s="317">
        <f t="shared" si="6"/>
        <v>2307</v>
      </c>
      <c r="U25" s="318">
        <f t="shared" si="1"/>
        <v>2562</v>
      </c>
      <c r="Z25" s="225">
        <f t="shared" si="2"/>
        <v>1991</v>
      </c>
      <c r="AA25" s="320">
        <f>IF(B141&lt;1000,(B25/$R25)," ")</f>
        <v>0.95394223263075717</v>
      </c>
      <c r="AB25" s="321">
        <f>IF(C141&lt;1000,(C25/$R25)," ")</f>
        <v>1</v>
      </c>
      <c r="AC25" s="321" t="str">
        <f>IF(D141&gt;1200,(D25/$S25)," ")</f>
        <v xml:space="preserve"> </v>
      </c>
      <c r="AD25" s="321">
        <f>IF(E141&gt;1200,(E25/$S25)," ")</f>
        <v>0.93133047210300424</v>
      </c>
      <c r="AE25" s="321">
        <f>IF(F141&gt;1200,(F25/$S25)," ")</f>
        <v>0.93705293276108725</v>
      </c>
      <c r="AF25" s="321">
        <f>IF(G141&gt;1200,(G25/$S25)," ")</f>
        <v>0.94849785407725318</v>
      </c>
      <c r="AG25" s="321">
        <f>IF(H141&gt;1200,(H25/$S25)," ")</f>
        <v>0.97746781115879833</v>
      </c>
      <c r="AH25" s="321">
        <f>IF(I141&gt;1200,(I25/$S25)," ")</f>
        <v>1</v>
      </c>
      <c r="AI25" s="321">
        <f>IF(J141&gt;1200,(J25/$S25)," ")</f>
        <v>0.99570815450643779</v>
      </c>
      <c r="AJ25" s="321">
        <f>IF(K141&gt;1200,(K25/$S25)," ")</f>
        <v>0.89914163090128751</v>
      </c>
      <c r="AK25" s="321">
        <f>IF(L141&lt;1000,(L25/$R25)," ")</f>
        <v>0.98594847775175642</v>
      </c>
      <c r="AL25" s="369">
        <f>IF(M141&lt;1000,(M25/$R26)," ")</f>
        <v>0.85313248887367343</v>
      </c>
      <c r="AN25" s="1">
        <f t="shared" si="3"/>
        <v>1991</v>
      </c>
      <c r="AO25" s="20">
        <f t="shared" si="4"/>
        <v>252</v>
      </c>
      <c r="AP25" s="1">
        <f t="shared" si="4"/>
        <v>492</v>
      </c>
      <c r="AQ25" s="1">
        <f t="shared" si="4"/>
        <v>286</v>
      </c>
      <c r="AR25" s="1">
        <f t="shared" si="4"/>
        <v>204</v>
      </c>
      <c r="AS25" s="1">
        <f t="shared" si="4"/>
        <v>-26</v>
      </c>
      <c r="AT25" s="1">
        <f t="shared" si="4"/>
        <v>-125</v>
      </c>
      <c r="AU25" s="1">
        <f t="shared" si="4"/>
        <v>29</v>
      </c>
      <c r="AV25" s="1">
        <f t="shared" si="4"/>
        <v>49</v>
      </c>
      <c r="AW25" s="1">
        <f t="shared" si="4"/>
        <v>58</v>
      </c>
      <c r="AX25" s="1">
        <f t="shared" si="4"/>
        <v>-154</v>
      </c>
      <c r="AY25" s="1">
        <f t="shared" si="4"/>
        <v>361</v>
      </c>
      <c r="AZ25" s="1">
        <f t="shared" si="4"/>
        <v>185</v>
      </c>
    </row>
    <row r="26" spans="1:52" ht="15.75">
      <c r="A26" s="323">
        <f>'Instant Old no Delete'!A26</f>
        <v>1992</v>
      </c>
      <c r="B26" s="174">
        <v>2921</v>
      </c>
      <c r="C26" s="3">
        <v>2293</v>
      </c>
      <c r="D26" s="3">
        <v>2279</v>
      </c>
      <c r="E26" s="3">
        <v>2342</v>
      </c>
      <c r="F26" s="3">
        <v>2553</v>
      </c>
      <c r="G26" s="3">
        <v>2792</v>
      </c>
      <c r="H26" s="168">
        <v>2989</v>
      </c>
      <c r="I26" s="3">
        <v>2885</v>
      </c>
      <c r="J26" s="3">
        <v>2840</v>
      </c>
      <c r="K26" s="3">
        <v>2463</v>
      </c>
      <c r="L26" s="3">
        <v>2406</v>
      </c>
      <c r="M26" s="3">
        <v>2379</v>
      </c>
      <c r="N26" s="399">
        <f t="shared" ref="N26:N47" si="8">SUM(B26:M26)</f>
        <v>31142</v>
      </c>
      <c r="O26" s="400"/>
      <c r="P26" s="398">
        <f t="shared" si="7"/>
        <v>31142</v>
      </c>
      <c r="Q26" s="288" t="s">
        <v>39</v>
      </c>
      <c r="R26" s="257">
        <f t="shared" si="5"/>
        <v>2921</v>
      </c>
      <c r="S26" s="257">
        <f t="shared" si="0"/>
        <v>2989</v>
      </c>
      <c r="T26" s="317">
        <f t="shared" si="6"/>
        <v>2526</v>
      </c>
      <c r="U26" s="318">
        <f t="shared" si="1"/>
        <v>2921</v>
      </c>
      <c r="Z26" s="225">
        <f t="shared" si="2"/>
        <v>1992</v>
      </c>
      <c r="AA26" s="320">
        <f>IF(B142&lt;1000,(B26/$R26)," ")</f>
        <v>1</v>
      </c>
      <c r="AB26" s="321">
        <f>IF(C142&lt;1000,(C26/$R26)," ")</f>
        <v>0.7850051352276618</v>
      </c>
      <c r="AC26" s="321">
        <f>IF(D142&gt;1200,(D26/$S26)," ")</f>
        <v>0.76246236199397788</v>
      </c>
      <c r="AD26" s="321">
        <f>IF(E142&gt;1200,(E26/$S26)," ")</f>
        <v>0.78353964536634324</v>
      </c>
      <c r="AE26" s="321">
        <f>IF(F142&gt;1200,(F26/$S26)," ")</f>
        <v>0.85413181666109061</v>
      </c>
      <c r="AF26" s="321">
        <f>IF(G142&gt;1200,(G26/$S26)," ")</f>
        <v>0.93409166945466715</v>
      </c>
      <c r="AG26" s="321">
        <f>IF(H142&gt;1200,(H26/$S26)," ")</f>
        <v>1</v>
      </c>
      <c r="AH26" s="321">
        <f>IF(I142&gt;1200,(I26/$S26)," ")</f>
        <v>0.96520575443292067</v>
      </c>
      <c r="AI26" s="321">
        <f>IF(J142&gt;1200,(J26/$S26)," ")</f>
        <v>0.95015055202408827</v>
      </c>
      <c r="AJ26" s="321">
        <f>IF(K142&gt;1200,(K26/$S26)," ")</f>
        <v>0.82402141184342592</v>
      </c>
      <c r="AK26" s="321" t="str">
        <f>IF(L142&lt;1000,(L26/$R26)," ")</f>
        <v xml:space="preserve"> </v>
      </c>
      <c r="AL26" s="369">
        <f>IF(M142&lt;1000,(M26/$R27)," ")</f>
        <v>0.82403879459646689</v>
      </c>
      <c r="AN26" s="1">
        <f t="shared" si="3"/>
        <v>1992</v>
      </c>
      <c r="AO26" s="20">
        <f t="shared" si="4"/>
        <v>477</v>
      </c>
      <c r="AP26" s="1">
        <f t="shared" si="4"/>
        <v>-269</v>
      </c>
      <c r="AQ26" s="1">
        <f t="shared" si="4"/>
        <v>-91</v>
      </c>
      <c r="AR26" s="1">
        <f t="shared" si="4"/>
        <v>-262</v>
      </c>
      <c r="AS26" s="1">
        <f t="shared" si="4"/>
        <v>-67</v>
      </c>
      <c r="AT26" s="1">
        <f t="shared" si="4"/>
        <v>140</v>
      </c>
      <c r="AU26" s="1">
        <f t="shared" si="4"/>
        <v>256</v>
      </c>
      <c r="AV26" s="1">
        <f t="shared" si="4"/>
        <v>89</v>
      </c>
      <c r="AW26" s="1">
        <f t="shared" si="4"/>
        <v>56</v>
      </c>
      <c r="AX26" s="1">
        <f t="shared" si="4"/>
        <v>-51</v>
      </c>
      <c r="AY26" s="1">
        <f t="shared" si="4"/>
        <v>-120</v>
      </c>
      <c r="AZ26" s="1">
        <f t="shared" si="4"/>
        <v>-113</v>
      </c>
    </row>
    <row r="27" spans="1:52" ht="15.75">
      <c r="A27" s="323">
        <f>'Instant Old no Delete'!A27</f>
        <v>1993</v>
      </c>
      <c r="B27" s="3">
        <v>2524</v>
      </c>
      <c r="C27" s="3">
        <v>2662</v>
      </c>
      <c r="D27" s="174">
        <v>2887</v>
      </c>
      <c r="E27" s="3">
        <v>2171</v>
      </c>
      <c r="F27" s="3">
        <v>2479</v>
      </c>
      <c r="G27" s="3">
        <v>2850</v>
      </c>
      <c r="H27" s="3">
        <v>2995</v>
      </c>
      <c r="I27" s="168">
        <v>3086</v>
      </c>
      <c r="J27" s="3">
        <v>2819</v>
      </c>
      <c r="K27" s="3">
        <v>2569</v>
      </c>
      <c r="L27" s="3">
        <v>2378</v>
      </c>
      <c r="M27" s="3">
        <v>2691</v>
      </c>
      <c r="N27" s="399">
        <f t="shared" si="8"/>
        <v>32111</v>
      </c>
      <c r="O27" s="400"/>
      <c r="P27" s="398">
        <f t="shared" si="7"/>
        <v>32111</v>
      </c>
      <c r="Q27" s="288" t="s">
        <v>40</v>
      </c>
      <c r="R27" s="257">
        <f t="shared" si="5"/>
        <v>2887</v>
      </c>
      <c r="S27" s="257">
        <f t="shared" si="0"/>
        <v>3086</v>
      </c>
      <c r="T27" s="317">
        <f t="shared" si="6"/>
        <v>2406</v>
      </c>
      <c r="U27" s="318">
        <f t="shared" si="1"/>
        <v>2887</v>
      </c>
      <c r="Z27" s="225">
        <f t="shared" si="2"/>
        <v>1993</v>
      </c>
      <c r="AA27" s="320">
        <f>IF(B143&lt;1000,(B27/$R27)," ")</f>
        <v>0.87426394180810529</v>
      </c>
      <c r="AB27" s="321">
        <f>IF(C143&lt;1000,(C27/$R27)," ")</f>
        <v>0.9220644267405611</v>
      </c>
      <c r="AC27" s="321" t="str">
        <f>IF(D143&gt;1200,(D27/$S27)," ")</f>
        <v xml:space="preserve"> </v>
      </c>
      <c r="AD27" s="321">
        <f>IF(E143&gt;1200,(E27/$S27)," ")</f>
        <v>0.70349967595592999</v>
      </c>
      <c r="AE27" s="321">
        <f>IF(F143&gt;1200,(F27/$S27)," ")</f>
        <v>0.80330524951393389</v>
      </c>
      <c r="AF27" s="321">
        <f>IF(G143&gt;1200,(G27/$S27)," ")</f>
        <v>0.92352559948152946</v>
      </c>
      <c r="AG27" s="321">
        <f>IF(H143&gt;1200,(H27/$S27)," ")</f>
        <v>0.97051198963058971</v>
      </c>
      <c r="AH27" s="321">
        <f>IF(I143&gt;1200,(I27/$S27)," ")</f>
        <v>1</v>
      </c>
      <c r="AI27" s="321">
        <f>IF(J143&gt;1200,(J27/$S27)," ")</f>
        <v>0.91348023331173045</v>
      </c>
      <c r="AJ27" s="321">
        <f>IF(K143&gt;1200,(K27/$S27)," ")</f>
        <v>0.83246921581335065</v>
      </c>
      <c r="AK27" s="321" t="str">
        <f>IF(L143&lt;1000,(L27/$R27)," ")</f>
        <v xml:space="preserve"> </v>
      </c>
      <c r="AL27" s="369">
        <f>IF(M143&lt;1000,(M27/$R28)," ")</f>
        <v>0.94920634920634916</v>
      </c>
      <c r="AN27" s="1">
        <f t="shared" si="3"/>
        <v>1993</v>
      </c>
      <c r="AO27" s="20">
        <f t="shared" si="4"/>
        <v>-397</v>
      </c>
      <c r="AP27" s="1">
        <f t="shared" si="4"/>
        <v>369</v>
      </c>
      <c r="AQ27" s="1">
        <f t="shared" si="4"/>
        <v>608</v>
      </c>
      <c r="AR27" s="1">
        <f t="shared" si="4"/>
        <v>-171</v>
      </c>
      <c r="AS27" s="1">
        <f t="shared" si="4"/>
        <v>-74</v>
      </c>
      <c r="AT27" s="1">
        <f t="shared" si="4"/>
        <v>58</v>
      </c>
      <c r="AU27" s="1">
        <f t="shared" si="4"/>
        <v>6</v>
      </c>
      <c r="AV27" s="1">
        <f t="shared" si="4"/>
        <v>201</v>
      </c>
      <c r="AW27" s="1">
        <f t="shared" si="4"/>
        <v>-21</v>
      </c>
      <c r="AX27" s="1">
        <f t="shared" si="4"/>
        <v>106</v>
      </c>
      <c r="AY27" s="1">
        <f t="shared" si="4"/>
        <v>-28</v>
      </c>
      <c r="AZ27" s="1">
        <f t="shared" si="4"/>
        <v>312</v>
      </c>
    </row>
    <row r="28" spans="1:52" ht="15.75">
      <c r="A28" s="323">
        <f>'Instant Old no Delete'!A28</f>
        <v>1994</v>
      </c>
      <c r="B28" s="3">
        <v>2732</v>
      </c>
      <c r="C28" s="174">
        <v>2835</v>
      </c>
      <c r="D28" s="3">
        <v>2519</v>
      </c>
      <c r="E28" s="3">
        <v>2565</v>
      </c>
      <c r="F28" s="3">
        <v>2748</v>
      </c>
      <c r="G28" s="168">
        <v>2941</v>
      </c>
      <c r="H28" s="3">
        <v>2834</v>
      </c>
      <c r="I28" s="3">
        <v>2813</v>
      </c>
      <c r="J28" s="3">
        <v>2788</v>
      </c>
      <c r="K28" s="3">
        <v>2580</v>
      </c>
      <c r="L28" s="3">
        <v>2364</v>
      </c>
      <c r="M28" s="3">
        <v>2219</v>
      </c>
      <c r="N28" s="399">
        <f t="shared" si="8"/>
        <v>31938</v>
      </c>
      <c r="O28" s="400"/>
      <c r="P28" s="398">
        <f t="shared" si="7"/>
        <v>31938</v>
      </c>
      <c r="Q28" s="288" t="s">
        <v>41</v>
      </c>
      <c r="R28" s="257">
        <f t="shared" si="5"/>
        <v>2835</v>
      </c>
      <c r="S28" s="257">
        <f t="shared" si="0"/>
        <v>2941</v>
      </c>
      <c r="T28" s="317">
        <f t="shared" si="6"/>
        <v>2691</v>
      </c>
      <c r="U28" s="318">
        <f t="shared" si="1"/>
        <v>2835</v>
      </c>
      <c r="Z28" s="225">
        <f t="shared" si="2"/>
        <v>1994</v>
      </c>
      <c r="AA28" s="320">
        <f>IF(B144&lt;1000,(B28/$R28)," ")</f>
        <v>0.96366843033509697</v>
      </c>
      <c r="AB28" s="321">
        <f>IF(C144&lt;1000,(C28/$R28)," ")</f>
        <v>1</v>
      </c>
      <c r="AC28" s="321">
        <f>IF(D144&gt;1200,(D28/$S28)," ")</f>
        <v>0.85651139068344095</v>
      </c>
      <c r="AD28" s="321">
        <f>IF(E144&gt;1200,(E28/$S28)," ")</f>
        <v>0.87215232913974838</v>
      </c>
      <c r="AE28" s="321">
        <f>IF(F144&gt;1200,(F28/$S28)," ")</f>
        <v>0.93437606256375383</v>
      </c>
      <c r="AF28" s="321">
        <f>IF(G144&gt;1200,(G28/$S28)," ")</f>
        <v>1</v>
      </c>
      <c r="AG28" s="321">
        <f>IF(H144&gt;1200,(H28/$S28)," ")</f>
        <v>0.96361781706902416</v>
      </c>
      <c r="AH28" s="321">
        <f>IF(I144&gt;1200,(I28/$S28)," ")</f>
        <v>0.95647738864331855</v>
      </c>
      <c r="AI28" s="321">
        <f>IF(J144&gt;1200,(J28/$S28)," ")</f>
        <v>0.94797687861271673</v>
      </c>
      <c r="AJ28" s="321">
        <f>IF(K144&gt;1200,(K28/$S28)," ")</f>
        <v>0.87725263515810947</v>
      </c>
      <c r="AK28" s="321" t="str">
        <f>IF(L144&lt;1000,(L28/$R28)," ")</f>
        <v xml:space="preserve"> </v>
      </c>
      <c r="AL28" s="369" t="str">
        <f>IF(M144&lt;1000,(M28/$R29)," ")</f>
        <v xml:space="preserve"> </v>
      </c>
      <c r="AN28" s="1">
        <f t="shared" si="3"/>
        <v>1994</v>
      </c>
      <c r="AO28" s="20">
        <f t="shared" si="4"/>
        <v>208</v>
      </c>
      <c r="AP28" s="1">
        <f t="shared" si="4"/>
        <v>173</v>
      </c>
      <c r="AQ28" s="1">
        <f t="shared" si="4"/>
        <v>-368</v>
      </c>
      <c r="AR28" s="1">
        <f t="shared" si="4"/>
        <v>394</v>
      </c>
      <c r="AS28" s="1">
        <f t="shared" si="4"/>
        <v>269</v>
      </c>
      <c r="AT28" s="1">
        <f t="shared" si="4"/>
        <v>91</v>
      </c>
      <c r="AU28" s="1">
        <f t="shared" si="4"/>
        <v>-161</v>
      </c>
      <c r="AV28" s="1">
        <f t="shared" si="4"/>
        <v>-273</v>
      </c>
      <c r="AW28" s="1">
        <f t="shared" si="4"/>
        <v>-31</v>
      </c>
      <c r="AX28" s="1">
        <f t="shared" si="4"/>
        <v>11</v>
      </c>
      <c r="AY28" s="1">
        <f t="shared" si="4"/>
        <v>-14</v>
      </c>
      <c r="AZ28" s="1">
        <f t="shared" si="4"/>
        <v>-472</v>
      </c>
    </row>
    <row r="29" spans="1:52" ht="15.75">
      <c r="A29" s="323">
        <f>'Instant Old no Delete'!A29</f>
        <v>1995</v>
      </c>
      <c r="B29" s="3">
        <v>2917</v>
      </c>
      <c r="C29" s="174">
        <v>3339</v>
      </c>
      <c r="D29" s="3">
        <v>2238</v>
      </c>
      <c r="E29" s="3">
        <v>2588</v>
      </c>
      <c r="F29" s="3">
        <v>3074</v>
      </c>
      <c r="G29" s="3">
        <v>2991</v>
      </c>
      <c r="H29" s="3">
        <v>3057</v>
      </c>
      <c r="I29" s="168">
        <v>3146</v>
      </c>
      <c r="J29" s="3">
        <v>2967</v>
      </c>
      <c r="K29" s="3">
        <v>2819</v>
      </c>
      <c r="L29" s="3">
        <v>2586</v>
      </c>
      <c r="M29" s="3">
        <v>2854</v>
      </c>
      <c r="N29" s="399">
        <f t="shared" si="8"/>
        <v>34576</v>
      </c>
      <c r="O29" s="400"/>
      <c r="P29" s="398">
        <f t="shared" si="7"/>
        <v>34576</v>
      </c>
      <c r="Q29" s="288" t="s">
        <v>42</v>
      </c>
      <c r="R29" s="257">
        <f t="shared" si="5"/>
        <v>3339</v>
      </c>
      <c r="S29" s="257">
        <f t="shared" si="0"/>
        <v>3146</v>
      </c>
      <c r="T29" s="317">
        <f t="shared" si="6"/>
        <v>2364</v>
      </c>
      <c r="U29" s="318">
        <f t="shared" si="1"/>
        <v>3339</v>
      </c>
      <c r="Z29" s="225">
        <f t="shared" si="2"/>
        <v>1995</v>
      </c>
      <c r="AA29" s="320">
        <f>IF(B145&lt;1000,(B29/$R29)," ")</f>
        <v>0.87361485474693024</v>
      </c>
      <c r="AB29" s="321">
        <f>IF(C145&lt;1000,(C29/$R29)," ")</f>
        <v>1</v>
      </c>
      <c r="AC29" s="321" t="str">
        <f>IF(D145&gt;1200,(D29/$S29)," ")</f>
        <v xml:space="preserve"> </v>
      </c>
      <c r="AD29" s="321">
        <f>IF(E145&gt;1200,(E29/$S29)," ")</f>
        <v>0.8226319135410044</v>
      </c>
      <c r="AE29" s="321">
        <f>IF(F145&gt;1200,(F29/$S29)," ")</f>
        <v>0.97711379529561349</v>
      </c>
      <c r="AF29" s="321">
        <f>IF(G145&gt;1200,(G29/$S29)," ")</f>
        <v>0.95073108709472343</v>
      </c>
      <c r="AG29" s="321">
        <f>IF(H145&gt;1200,(H29/$S29)," ")</f>
        <v>0.97171010807374447</v>
      </c>
      <c r="AH29" s="321">
        <f>IF(I145&gt;1200,(I29/$S29)," ")</f>
        <v>1</v>
      </c>
      <c r="AI29" s="321">
        <f>IF(J145&gt;1200,(J29/$S29)," ")</f>
        <v>0.94310235219326133</v>
      </c>
      <c r="AJ29" s="321">
        <f>IF(K145&gt;1200,(K29/$S29)," ")</f>
        <v>0.89605848696757784</v>
      </c>
      <c r="AK29" s="321" t="str">
        <f>IF(L145&lt;1000,(L29/$R29)," ")</f>
        <v xml:space="preserve"> </v>
      </c>
      <c r="AL29" s="369">
        <f>IF(M145&lt;1000,(M29/$R30)," ")</f>
        <v>0.78406593406593406</v>
      </c>
      <c r="AN29" s="1">
        <f t="shared" si="3"/>
        <v>1995</v>
      </c>
      <c r="AO29" s="20">
        <f t="shared" si="4"/>
        <v>185</v>
      </c>
      <c r="AP29" s="1">
        <f t="shared" si="4"/>
        <v>504</v>
      </c>
      <c r="AQ29" s="1">
        <f t="shared" si="4"/>
        <v>-281</v>
      </c>
      <c r="AR29" s="1">
        <f t="shared" ref="AR29:AZ56" si="9">E29-E28</f>
        <v>23</v>
      </c>
      <c r="AS29" s="1">
        <f t="shared" si="9"/>
        <v>326</v>
      </c>
      <c r="AT29" s="1">
        <f t="shared" si="9"/>
        <v>50</v>
      </c>
      <c r="AU29" s="1">
        <f t="shared" si="9"/>
        <v>223</v>
      </c>
      <c r="AV29" s="1">
        <f t="shared" si="9"/>
        <v>333</v>
      </c>
      <c r="AW29" s="1">
        <f t="shared" si="9"/>
        <v>179</v>
      </c>
      <c r="AX29" s="1">
        <f t="shared" si="9"/>
        <v>239</v>
      </c>
      <c r="AY29" s="1">
        <f t="shared" si="9"/>
        <v>222</v>
      </c>
      <c r="AZ29" s="1">
        <f t="shared" si="9"/>
        <v>635</v>
      </c>
    </row>
    <row r="30" spans="1:52" ht="15.75">
      <c r="A30" s="323">
        <f>'Instant Old no Delete'!A30</f>
        <v>1996</v>
      </c>
      <c r="B30" s="3">
        <v>3526</v>
      </c>
      <c r="C30" s="174">
        <v>3640</v>
      </c>
      <c r="D30" s="3">
        <v>2866</v>
      </c>
      <c r="E30" s="3">
        <v>2760</v>
      </c>
      <c r="F30" s="3">
        <v>2871</v>
      </c>
      <c r="G30" s="3">
        <v>3012</v>
      </c>
      <c r="H30" s="168">
        <v>3178</v>
      </c>
      <c r="I30" s="3">
        <v>3109</v>
      </c>
      <c r="J30" s="3">
        <v>3120</v>
      </c>
      <c r="K30" s="3">
        <v>2804</v>
      </c>
      <c r="L30" s="3">
        <v>2666</v>
      </c>
      <c r="M30" s="3">
        <v>3201</v>
      </c>
      <c r="N30" s="399">
        <f t="shared" si="8"/>
        <v>36753</v>
      </c>
      <c r="O30" s="400"/>
      <c r="P30" s="398">
        <f t="shared" si="7"/>
        <v>36753</v>
      </c>
      <c r="Q30" s="288" t="s">
        <v>43</v>
      </c>
      <c r="R30" s="257">
        <f t="shared" si="5"/>
        <v>3640</v>
      </c>
      <c r="S30" s="257">
        <f t="shared" si="0"/>
        <v>3178</v>
      </c>
      <c r="T30" s="317">
        <f t="shared" si="6"/>
        <v>2854</v>
      </c>
      <c r="U30" s="318">
        <f t="shared" si="1"/>
        <v>3640</v>
      </c>
      <c r="Z30" s="225">
        <f t="shared" si="2"/>
        <v>1996</v>
      </c>
      <c r="AA30" s="320">
        <f>IF(B146&lt;1000,(B30/$R30)," ")</f>
        <v>0.96868131868131868</v>
      </c>
      <c r="AB30" s="321">
        <f>IF(C146&lt;1000,(C30/$R30)," ")</f>
        <v>1</v>
      </c>
      <c r="AC30" s="321" t="str">
        <f>IF(D146&gt;1200,(D30/$S30)," ")</f>
        <v xml:space="preserve"> </v>
      </c>
      <c r="AD30" s="321">
        <f>IF(E146&gt;1200,(E30/$S30)," ")</f>
        <v>0.868470736312146</v>
      </c>
      <c r="AE30" s="321">
        <f>IF(F146&gt;1200,(F30/$S30)," ")</f>
        <v>0.90339836375078664</v>
      </c>
      <c r="AF30" s="321">
        <f>IF(G146&gt;1200,(G30/$S30)," ")</f>
        <v>0.94776589049716808</v>
      </c>
      <c r="AG30" s="321">
        <f>IF(H146&gt;1200,(H30/$S30)," ")</f>
        <v>1</v>
      </c>
      <c r="AH30" s="321">
        <f>IF(I146&gt;1200,(I30/$S30)," ")</f>
        <v>0.97828823159219636</v>
      </c>
      <c r="AI30" s="321">
        <f>IF(J146&gt;1200,(J30/$S30)," ")</f>
        <v>0.98174952800503457</v>
      </c>
      <c r="AJ30" s="321">
        <f>IF(K146&gt;1200,(K30/$S30)," ")</f>
        <v>0.88231592196349906</v>
      </c>
      <c r="AK30" s="321" t="str">
        <f>IF(L146&lt;1000,(L30/$R30)," ")</f>
        <v xml:space="preserve"> </v>
      </c>
      <c r="AL30" s="369">
        <f>IF(M146&lt;1000,(M30/$R31)," ")</f>
        <v>0.96299638989169678</v>
      </c>
      <c r="AN30" s="1">
        <f t="shared" si="3"/>
        <v>1996</v>
      </c>
      <c r="AO30" s="20">
        <f t="shared" ref="AO30:AQ56" si="10">B30-B29</f>
        <v>609</v>
      </c>
      <c r="AP30" s="1">
        <f t="shared" si="10"/>
        <v>301</v>
      </c>
      <c r="AQ30" s="1">
        <f t="shared" si="10"/>
        <v>628</v>
      </c>
      <c r="AR30" s="1">
        <f t="shared" si="9"/>
        <v>172</v>
      </c>
      <c r="AS30" s="1">
        <f t="shared" si="9"/>
        <v>-203</v>
      </c>
      <c r="AT30" s="1">
        <f t="shared" si="9"/>
        <v>21</v>
      </c>
      <c r="AU30" s="1">
        <f t="shared" si="9"/>
        <v>121</v>
      </c>
      <c r="AV30" s="1">
        <f t="shared" si="9"/>
        <v>-37</v>
      </c>
      <c r="AW30" s="1">
        <f t="shared" si="9"/>
        <v>153</v>
      </c>
      <c r="AX30" s="1">
        <f t="shared" si="9"/>
        <v>-15</v>
      </c>
      <c r="AY30" s="1">
        <f t="shared" si="9"/>
        <v>80</v>
      </c>
      <c r="AZ30" s="1">
        <f t="shared" si="9"/>
        <v>347</v>
      </c>
    </row>
    <row r="31" spans="1:52" ht="15.75">
      <c r="A31" s="323">
        <f>'Instant Old no Delete'!A31</f>
        <v>1997</v>
      </c>
      <c r="B31" s="174">
        <v>3324</v>
      </c>
      <c r="C31" s="3">
        <v>2518</v>
      </c>
      <c r="D31" s="3">
        <v>2563</v>
      </c>
      <c r="E31" s="3">
        <v>2523</v>
      </c>
      <c r="F31" s="3">
        <v>3125</v>
      </c>
      <c r="G31" s="3">
        <v>3170</v>
      </c>
      <c r="H31" s="3">
        <v>3201</v>
      </c>
      <c r="I31" s="168">
        <v>3229</v>
      </c>
      <c r="J31" s="3">
        <v>3111</v>
      </c>
      <c r="K31" s="3">
        <v>2933</v>
      </c>
      <c r="L31" s="3">
        <v>2336</v>
      </c>
      <c r="M31" s="3">
        <v>2732</v>
      </c>
      <c r="N31" s="399">
        <f t="shared" si="8"/>
        <v>34765</v>
      </c>
      <c r="O31" s="400"/>
      <c r="P31" s="398">
        <f t="shared" si="7"/>
        <v>34765</v>
      </c>
      <c r="Q31" s="288" t="s">
        <v>44</v>
      </c>
      <c r="R31" s="257">
        <f t="shared" si="5"/>
        <v>3324</v>
      </c>
      <c r="S31" s="257">
        <f t="shared" si="0"/>
        <v>3229</v>
      </c>
      <c r="T31" s="317">
        <f t="shared" si="6"/>
        <v>3201</v>
      </c>
      <c r="U31" s="318">
        <f t="shared" si="1"/>
        <v>3324</v>
      </c>
      <c r="Z31" s="225">
        <f t="shared" si="2"/>
        <v>1997</v>
      </c>
      <c r="AA31" s="320">
        <f>IF(B147&lt;1000,(B31/$R31)," ")</f>
        <v>1</v>
      </c>
      <c r="AB31" s="321">
        <f>IF(C147&lt;1000,(C31/$R31)," ")</f>
        <v>0.75752105896510225</v>
      </c>
      <c r="AC31" s="321">
        <f>IF(D147&gt;1200,(D31/$S31)," ")</f>
        <v>0.79374419324868384</v>
      </c>
      <c r="AD31" s="321">
        <f>IF(E147&gt;1200,(E31/$S31)," ")</f>
        <v>0.7813564571074636</v>
      </c>
      <c r="AE31" s="321">
        <f>IF(F147&gt;1200,(F31/$S31)," ")</f>
        <v>0.96779188603282751</v>
      </c>
      <c r="AF31" s="321">
        <f>IF(G147&gt;1200,(G31/$S31)," ")</f>
        <v>0.98172808919170018</v>
      </c>
      <c r="AG31" s="321">
        <f>IF(H147&gt;1200,(H31/$S31)," ")</f>
        <v>0.99132858470114582</v>
      </c>
      <c r="AH31" s="321">
        <f>IF(I147&gt;1200,(I31/$S31)," ")</f>
        <v>1</v>
      </c>
      <c r="AI31" s="321">
        <f>IF(J147&gt;1200,(J31/$S31)," ")</f>
        <v>0.96345617838340047</v>
      </c>
      <c r="AJ31" s="321">
        <f>IF(K147&gt;1200,(K31/$S31)," ")</f>
        <v>0.90833075255497053</v>
      </c>
      <c r="AK31" s="321" t="str">
        <f>IF(L147&lt;1000,(L31/$R31)," ")</f>
        <v xml:space="preserve"> </v>
      </c>
      <c r="AL31" s="369" t="str">
        <f>IF(M147&lt;1000,(M31/$R32)," ")</f>
        <v xml:space="preserve"> </v>
      </c>
      <c r="AN31" s="1">
        <f t="shared" si="3"/>
        <v>1997</v>
      </c>
      <c r="AO31" s="20">
        <f t="shared" si="10"/>
        <v>-202</v>
      </c>
      <c r="AP31" s="1">
        <f t="shared" si="10"/>
        <v>-1122</v>
      </c>
      <c r="AQ31" s="1">
        <f t="shared" si="10"/>
        <v>-303</v>
      </c>
      <c r="AR31" s="1">
        <f t="shared" si="9"/>
        <v>-237</v>
      </c>
      <c r="AS31" s="1">
        <f t="shared" si="9"/>
        <v>254</v>
      </c>
      <c r="AT31" s="1">
        <f t="shared" si="9"/>
        <v>158</v>
      </c>
      <c r="AU31" s="1">
        <f t="shared" si="9"/>
        <v>23</v>
      </c>
      <c r="AV31" s="1">
        <f t="shared" si="9"/>
        <v>120</v>
      </c>
      <c r="AW31" s="1">
        <f t="shared" si="9"/>
        <v>-9</v>
      </c>
      <c r="AX31" s="1">
        <f t="shared" si="9"/>
        <v>129</v>
      </c>
      <c r="AY31" s="1">
        <f t="shared" si="9"/>
        <v>-330</v>
      </c>
      <c r="AZ31" s="1">
        <f t="shared" si="9"/>
        <v>-469</v>
      </c>
    </row>
    <row r="32" spans="1:52" ht="15.75">
      <c r="A32" s="323">
        <f>'Instant Old no Delete'!A32</f>
        <v>1998</v>
      </c>
      <c r="B32" s="3">
        <v>2634</v>
      </c>
      <c r="C32" s="3">
        <v>2780</v>
      </c>
      <c r="D32" s="174">
        <v>3000</v>
      </c>
      <c r="E32" s="3">
        <v>2679</v>
      </c>
      <c r="F32" s="3">
        <v>3048</v>
      </c>
      <c r="G32" s="3">
        <v>3469</v>
      </c>
      <c r="H32" s="3">
        <v>3420</v>
      </c>
      <c r="I32" s="168">
        <v>3476</v>
      </c>
      <c r="J32" s="3">
        <v>3266</v>
      </c>
      <c r="K32" s="3">
        <v>3193</v>
      </c>
      <c r="L32" s="3">
        <v>2655</v>
      </c>
      <c r="M32" s="3">
        <v>2557</v>
      </c>
      <c r="N32" s="399">
        <f t="shared" si="8"/>
        <v>36177</v>
      </c>
      <c r="O32" s="400"/>
      <c r="P32" s="398">
        <f t="shared" si="7"/>
        <v>36177</v>
      </c>
      <c r="Q32" s="288" t="s">
        <v>45</v>
      </c>
      <c r="R32" s="257">
        <f t="shared" si="5"/>
        <v>3000</v>
      </c>
      <c r="S32" s="257">
        <f t="shared" si="0"/>
        <v>3476</v>
      </c>
      <c r="T32" s="317">
        <f t="shared" si="6"/>
        <v>2732</v>
      </c>
      <c r="U32" s="318">
        <f t="shared" si="1"/>
        <v>3000</v>
      </c>
      <c r="Z32" s="225">
        <f t="shared" si="2"/>
        <v>1998</v>
      </c>
      <c r="AA32" s="320">
        <f>IF(B148&lt;1000,(B32/$R32)," ")</f>
        <v>0.878</v>
      </c>
      <c r="AB32" s="321">
        <f>IF(C148&lt;1000,(C32/$R32)," ")</f>
        <v>0.92666666666666664</v>
      </c>
      <c r="AC32" s="321" t="str">
        <f>IF(D148&gt;1200,(D32/$S32)," ")</f>
        <v xml:space="preserve"> </v>
      </c>
      <c r="AD32" s="321">
        <f>IF(E148&gt;1200,(E32/$S32)," ")</f>
        <v>0.77071346375143845</v>
      </c>
      <c r="AE32" s="321">
        <f>IF(F148&gt;1200,(F32/$S32)," ")</f>
        <v>0.87686996547756046</v>
      </c>
      <c r="AF32" s="321">
        <f>IF(G148&gt;1200,(G32/$S32)," ")</f>
        <v>0.99798619102416575</v>
      </c>
      <c r="AG32" s="321">
        <f>IF(H148&gt;1200,(H32/$S32)," ")</f>
        <v>0.98388952819332565</v>
      </c>
      <c r="AH32" s="321">
        <f>IF(I148&gt;1200,(I32/$S32)," ")</f>
        <v>1</v>
      </c>
      <c r="AI32" s="321">
        <f>IF(J148&gt;1200,(J32/$S32)," ")</f>
        <v>0.9395857307249712</v>
      </c>
      <c r="AJ32" s="321">
        <f>IF(K148&gt;1200,(K32/$S32)," ")</f>
        <v>0.91858457997698506</v>
      </c>
      <c r="AK32" s="321" t="str">
        <f>IF(L148&lt;1000,(L32/$R32)," ")</f>
        <v xml:space="preserve"> </v>
      </c>
      <c r="AL32" s="369" t="str">
        <f>IF(M148&lt;1000,(M32/$R33)," ")</f>
        <v xml:space="preserve"> </v>
      </c>
      <c r="AN32" s="1">
        <f t="shared" si="3"/>
        <v>1998</v>
      </c>
      <c r="AO32" s="20">
        <f t="shared" si="10"/>
        <v>-690</v>
      </c>
      <c r="AP32" s="1">
        <f t="shared" si="10"/>
        <v>262</v>
      </c>
      <c r="AQ32" s="1">
        <f t="shared" si="10"/>
        <v>437</v>
      </c>
      <c r="AR32" s="1">
        <f t="shared" si="9"/>
        <v>156</v>
      </c>
      <c r="AS32" s="1">
        <f t="shared" si="9"/>
        <v>-77</v>
      </c>
      <c r="AT32" s="1">
        <f t="shared" si="9"/>
        <v>299</v>
      </c>
      <c r="AU32" s="1">
        <f t="shared" si="9"/>
        <v>219</v>
      </c>
      <c r="AV32" s="1">
        <f t="shared" si="9"/>
        <v>247</v>
      </c>
      <c r="AW32" s="1">
        <f t="shared" si="9"/>
        <v>155</v>
      </c>
      <c r="AX32" s="1">
        <f t="shared" si="9"/>
        <v>260</v>
      </c>
      <c r="AY32" s="1">
        <f t="shared" si="9"/>
        <v>319</v>
      </c>
      <c r="AZ32" s="1">
        <f t="shared" si="9"/>
        <v>-175</v>
      </c>
    </row>
    <row r="33" spans="1:52" ht="15.75">
      <c r="A33" s="323">
        <f>'Instant Old no Delete'!A33</f>
        <v>1999</v>
      </c>
      <c r="B33" s="174">
        <v>3457</v>
      </c>
      <c r="C33" s="3">
        <v>2988</v>
      </c>
      <c r="D33" s="3">
        <v>2634</v>
      </c>
      <c r="E33" s="3">
        <v>2975</v>
      </c>
      <c r="F33" s="3">
        <v>3102</v>
      </c>
      <c r="G33" s="3">
        <v>3219</v>
      </c>
      <c r="H33" s="3">
        <v>3434</v>
      </c>
      <c r="I33" s="168">
        <v>3452</v>
      </c>
      <c r="J33" s="3">
        <v>3303</v>
      </c>
      <c r="K33" s="3">
        <v>3060</v>
      </c>
      <c r="L33" s="3">
        <v>2503</v>
      </c>
      <c r="M33" s="3">
        <v>2875</v>
      </c>
      <c r="N33" s="399">
        <f t="shared" si="8"/>
        <v>37002</v>
      </c>
      <c r="O33" s="400"/>
      <c r="P33" s="398">
        <f t="shared" si="7"/>
        <v>37002</v>
      </c>
      <c r="Q33" s="288" t="s">
        <v>46</v>
      </c>
      <c r="R33" s="257">
        <f t="shared" si="5"/>
        <v>3457</v>
      </c>
      <c r="S33" s="257">
        <f t="shared" si="0"/>
        <v>3452</v>
      </c>
      <c r="T33" s="317">
        <f t="shared" si="6"/>
        <v>2655</v>
      </c>
      <c r="U33" s="318">
        <f t="shared" si="1"/>
        <v>3457</v>
      </c>
      <c r="Z33" s="225">
        <f t="shared" si="2"/>
        <v>1999</v>
      </c>
      <c r="AA33" s="320">
        <f>IF(B149&lt;1000,(B33/$R33)," ")</f>
        <v>1</v>
      </c>
      <c r="AB33" s="321">
        <f>IF(C149&lt;1000,(C33/$R33)," ")</f>
        <v>0.86433323691061614</v>
      </c>
      <c r="AC33" s="321" t="str">
        <f>IF(D149&gt;1200,(D33/$S33)," ")</f>
        <v xml:space="preserve"> </v>
      </c>
      <c r="AD33" s="321">
        <f>IF(E149&gt;1200,(E33/$S33)," ")</f>
        <v>0.86181923522595594</v>
      </c>
      <c r="AE33" s="321">
        <f>IF(F149&gt;1200,(F33/$S33)," ")</f>
        <v>0.89860950173812282</v>
      </c>
      <c r="AF33" s="321">
        <f>IF(G149&gt;1200,(G33/$S33)," ")</f>
        <v>0.93250289687137888</v>
      </c>
      <c r="AG33" s="321">
        <f>IF(H149&gt;1200,(H33/$S33)," ")</f>
        <v>0.99478563151796062</v>
      </c>
      <c r="AH33" s="321">
        <f>IF(I149&gt;1200,(I33/$S33)," ")</f>
        <v>1</v>
      </c>
      <c r="AI33" s="321">
        <f>IF(J149&gt;1200,(J33/$S33)," ")</f>
        <v>0.95683661645422946</v>
      </c>
      <c r="AJ33" s="321">
        <f>IF(K149&gt;1200,(K33/$S33)," ")</f>
        <v>0.88644264194669753</v>
      </c>
      <c r="AK33" s="321" t="str">
        <f>IF(L149&lt;1000,(L33/$R33)," ")</f>
        <v xml:space="preserve"> </v>
      </c>
      <c r="AL33" s="369">
        <f>IF(M149&lt;1000,(M33/$R34)," ")</f>
        <v>0.76974564926372158</v>
      </c>
      <c r="AN33" s="1">
        <f t="shared" si="3"/>
        <v>1999</v>
      </c>
      <c r="AO33" s="20">
        <f t="shared" si="10"/>
        <v>823</v>
      </c>
      <c r="AP33" s="1">
        <f t="shared" si="10"/>
        <v>208</v>
      </c>
      <c r="AQ33" s="1">
        <f t="shared" si="10"/>
        <v>-366</v>
      </c>
      <c r="AR33" s="1">
        <f t="shared" si="9"/>
        <v>296</v>
      </c>
      <c r="AS33" s="1">
        <f t="shared" si="9"/>
        <v>54</v>
      </c>
      <c r="AT33" s="1">
        <f t="shared" si="9"/>
        <v>-250</v>
      </c>
      <c r="AU33" s="1">
        <f t="shared" si="9"/>
        <v>14</v>
      </c>
      <c r="AV33" s="1">
        <f t="shared" si="9"/>
        <v>-24</v>
      </c>
      <c r="AW33" s="1">
        <f t="shared" si="9"/>
        <v>37</v>
      </c>
      <c r="AX33" s="1">
        <f t="shared" si="9"/>
        <v>-133</v>
      </c>
      <c r="AY33" s="1">
        <f t="shared" si="9"/>
        <v>-152</v>
      </c>
      <c r="AZ33" s="1">
        <f t="shared" si="9"/>
        <v>318</v>
      </c>
    </row>
    <row r="34" spans="1:52" ht="15.75">
      <c r="A34" s="323">
        <f>'Instant Old no Delete'!A34</f>
        <v>2000</v>
      </c>
      <c r="B34" s="174">
        <v>3735</v>
      </c>
      <c r="C34" s="3">
        <v>3113</v>
      </c>
      <c r="D34" s="3">
        <v>2826</v>
      </c>
      <c r="E34" s="3">
        <v>2743</v>
      </c>
      <c r="F34" s="3">
        <v>3433</v>
      </c>
      <c r="G34" s="3">
        <v>3493</v>
      </c>
      <c r="H34" s="3">
        <v>3463</v>
      </c>
      <c r="I34" s="168">
        <v>3556</v>
      </c>
      <c r="J34" s="3">
        <v>3402</v>
      </c>
      <c r="K34" s="3">
        <v>3218</v>
      </c>
      <c r="L34" s="3">
        <v>2815</v>
      </c>
      <c r="M34" s="3">
        <v>3573</v>
      </c>
      <c r="N34" s="399">
        <f t="shared" si="8"/>
        <v>39370</v>
      </c>
      <c r="O34" s="400"/>
      <c r="P34" s="398">
        <f t="shared" si="7"/>
        <v>39370</v>
      </c>
      <c r="Q34" s="288" t="s">
        <v>47</v>
      </c>
      <c r="R34" s="257">
        <f t="shared" si="5"/>
        <v>3735</v>
      </c>
      <c r="S34" s="257">
        <f t="shared" si="0"/>
        <v>3556</v>
      </c>
      <c r="T34" s="317">
        <f t="shared" si="6"/>
        <v>2875</v>
      </c>
      <c r="U34" s="318">
        <f t="shared" si="1"/>
        <v>3735</v>
      </c>
      <c r="Z34" s="225">
        <f t="shared" si="2"/>
        <v>2000</v>
      </c>
      <c r="AA34" s="320">
        <f>IF(B150&lt;1000,(B34/$R34)," ")</f>
        <v>1</v>
      </c>
      <c r="AB34" s="321">
        <f>IF(C150&lt;1000,(C34/$R34)," ")</f>
        <v>0.83346720214190095</v>
      </c>
      <c r="AC34" s="321">
        <f>IF(D150&gt;1200,(D34/$S34)," ")</f>
        <v>0.79471316085489319</v>
      </c>
      <c r="AD34" s="321">
        <f>IF(E150&gt;1200,(E34/$S34)," ")</f>
        <v>0.77137232845894266</v>
      </c>
      <c r="AE34" s="321">
        <f>IF(F150&gt;1200,(F34/$S34)," ")</f>
        <v>0.9654105736782902</v>
      </c>
      <c r="AF34" s="321">
        <f>IF(G150&gt;1200,(G34/$S34)," ")</f>
        <v>0.98228346456692917</v>
      </c>
      <c r="AG34" s="321">
        <f>IF(H150&gt;1200,(H34/$S34)," ")</f>
        <v>0.97384701912260963</v>
      </c>
      <c r="AH34" s="321">
        <f>IF(I150&gt;1200,(I34/$S34)," ")</f>
        <v>1</v>
      </c>
      <c r="AI34" s="321">
        <f>IF(J150&gt;1200,(J34/$S34)," ")</f>
        <v>0.95669291338582674</v>
      </c>
      <c r="AJ34" s="321">
        <f>IF(K150&gt;1200,(K34/$S34)," ")</f>
        <v>0.90494938132733405</v>
      </c>
      <c r="AK34" s="321" t="str">
        <f>IF(L150&lt;1000,(L34/$R34)," ")</f>
        <v xml:space="preserve"> </v>
      </c>
      <c r="AL34" s="369">
        <f>IF(M150&lt;1000,(M34/$R35)," ")</f>
        <v>0.89526434477574546</v>
      </c>
      <c r="AN34" s="1">
        <f t="shared" si="3"/>
        <v>2000</v>
      </c>
      <c r="AO34" s="76">
        <f t="shared" si="10"/>
        <v>278</v>
      </c>
      <c r="AP34" s="68">
        <f t="shared" si="10"/>
        <v>125</v>
      </c>
      <c r="AQ34" s="68">
        <f t="shared" si="10"/>
        <v>192</v>
      </c>
      <c r="AR34" s="68">
        <f t="shared" si="9"/>
        <v>-232</v>
      </c>
      <c r="AS34" s="68">
        <f t="shared" si="9"/>
        <v>331</v>
      </c>
      <c r="AT34" s="68">
        <f t="shared" si="9"/>
        <v>274</v>
      </c>
      <c r="AU34" s="68">
        <f t="shared" si="9"/>
        <v>29</v>
      </c>
      <c r="AV34" s="68">
        <f t="shared" si="9"/>
        <v>104</v>
      </c>
      <c r="AW34" s="68">
        <f t="shared" si="9"/>
        <v>99</v>
      </c>
      <c r="AX34" s="68">
        <f t="shared" si="9"/>
        <v>158</v>
      </c>
      <c r="AY34" s="68">
        <f t="shared" si="9"/>
        <v>312</v>
      </c>
      <c r="AZ34" s="68">
        <f t="shared" si="9"/>
        <v>698</v>
      </c>
    </row>
    <row r="35" spans="1:52" ht="15.75">
      <c r="A35" s="323">
        <f>'Instant Old no Delete'!A35</f>
        <v>2001</v>
      </c>
      <c r="B35" s="174">
        <v>3991</v>
      </c>
      <c r="C35" s="3">
        <v>3077</v>
      </c>
      <c r="D35" s="3">
        <v>2700</v>
      </c>
      <c r="E35" s="3">
        <v>3106</v>
      </c>
      <c r="F35" s="3">
        <v>3455</v>
      </c>
      <c r="G35" s="3">
        <v>3600</v>
      </c>
      <c r="H35" s="3">
        <v>3442</v>
      </c>
      <c r="I35" s="168">
        <v>3636</v>
      </c>
      <c r="J35" s="3">
        <v>3408</v>
      </c>
      <c r="K35" s="3">
        <v>3140</v>
      </c>
      <c r="L35" s="3">
        <v>2694</v>
      </c>
      <c r="M35" s="3">
        <v>2875</v>
      </c>
      <c r="N35" s="399">
        <f t="shared" si="8"/>
        <v>39124</v>
      </c>
      <c r="O35" s="400"/>
      <c r="P35" s="398">
        <f t="shared" si="7"/>
        <v>39124</v>
      </c>
      <c r="Q35" s="288" t="s">
        <v>235</v>
      </c>
      <c r="R35" s="257">
        <f t="shared" si="5"/>
        <v>3991</v>
      </c>
      <c r="S35" s="257">
        <f t="shared" si="0"/>
        <v>3636</v>
      </c>
      <c r="T35" s="317">
        <f t="shared" si="6"/>
        <v>3573</v>
      </c>
      <c r="U35" s="318">
        <f t="shared" si="1"/>
        <v>3991</v>
      </c>
      <c r="Z35" s="225">
        <f t="shared" si="2"/>
        <v>2001</v>
      </c>
      <c r="AA35" s="320">
        <f>IF(B151&lt;1000,(B35/$R35)," ")</f>
        <v>1</v>
      </c>
      <c r="AB35" s="321">
        <f>IF(C151&lt;1000,(C35/$R35)," ")</f>
        <v>0.77098471561012283</v>
      </c>
      <c r="AC35" s="321">
        <f>IF(D151&gt;1200,(D35/$S35)," ")</f>
        <v>0.74257425742574257</v>
      </c>
      <c r="AD35" s="321">
        <f>IF(E151&gt;1200,(E35/$S35)," ")</f>
        <v>0.85423542354235427</v>
      </c>
      <c r="AE35" s="321">
        <f>IF(F151&gt;1200,(F35/$S35)," ")</f>
        <v>0.95022002200220024</v>
      </c>
      <c r="AF35" s="321">
        <f>IF(G151&gt;1200,(G35/$S35)," ")</f>
        <v>0.99009900990099009</v>
      </c>
      <c r="AG35" s="321">
        <f>IF(H151&gt;1200,(H35/$S35)," ")</f>
        <v>0.94664466446644668</v>
      </c>
      <c r="AH35" s="321">
        <f>IF(I151&gt;1200,(I35/$S35)," ")</f>
        <v>1</v>
      </c>
      <c r="AI35" s="321">
        <f>IF(J151&gt;1200,(J35/$S35)," ")</f>
        <v>0.93729372937293731</v>
      </c>
      <c r="AJ35" s="321">
        <f>IF(K151&gt;1200,(K35/$S35)," ")</f>
        <v>0.86358635863586364</v>
      </c>
      <c r="AK35" s="321"/>
      <c r="AL35" s="369">
        <f>IF(M151&lt;1000,(M35/$R36)," ")</f>
        <v>0.73831535695942474</v>
      </c>
      <c r="AN35" s="1">
        <f t="shared" si="3"/>
        <v>2001</v>
      </c>
      <c r="AO35" s="76">
        <f t="shared" si="10"/>
        <v>256</v>
      </c>
      <c r="AP35" s="68">
        <f t="shared" si="10"/>
        <v>-36</v>
      </c>
      <c r="AQ35" s="68">
        <f t="shared" si="10"/>
        <v>-126</v>
      </c>
      <c r="AR35" s="68">
        <f t="shared" si="9"/>
        <v>363</v>
      </c>
      <c r="AS35" s="68">
        <f t="shared" si="9"/>
        <v>22</v>
      </c>
      <c r="AT35" s="68">
        <f t="shared" si="9"/>
        <v>107</v>
      </c>
      <c r="AU35" s="68">
        <f t="shared" si="9"/>
        <v>-21</v>
      </c>
      <c r="AV35" s="68">
        <f t="shared" si="9"/>
        <v>80</v>
      </c>
      <c r="AW35" s="68">
        <f t="shared" si="9"/>
        <v>6</v>
      </c>
      <c r="AX35" s="68">
        <f t="shared" si="9"/>
        <v>-78</v>
      </c>
      <c r="AY35" s="68">
        <f t="shared" si="9"/>
        <v>-121</v>
      </c>
      <c r="AZ35" s="68">
        <f t="shared" si="9"/>
        <v>-698</v>
      </c>
    </row>
    <row r="36" spans="1:52" ht="15.75">
      <c r="A36" s="323">
        <f>'Instant Old no Delete'!A36</f>
        <v>2002</v>
      </c>
      <c r="B36" s="174">
        <v>3894</v>
      </c>
      <c r="C36" s="3">
        <v>3529</v>
      </c>
      <c r="D36" s="3">
        <v>3339</v>
      </c>
      <c r="E36" s="3">
        <v>3448</v>
      </c>
      <c r="F36" s="3">
        <v>3622</v>
      </c>
      <c r="G36" s="3">
        <v>3677</v>
      </c>
      <c r="H36" s="168">
        <v>3887</v>
      </c>
      <c r="I36" s="3">
        <v>3699</v>
      </c>
      <c r="J36" s="3">
        <v>3756</v>
      </c>
      <c r="K36" s="3">
        <v>3560</v>
      </c>
      <c r="L36" s="3">
        <v>3168</v>
      </c>
      <c r="M36" s="3">
        <v>3205</v>
      </c>
      <c r="N36" s="399">
        <f t="shared" si="8"/>
        <v>42784</v>
      </c>
      <c r="O36" s="400"/>
      <c r="P36" s="398">
        <f t="shared" si="7"/>
        <v>42784</v>
      </c>
      <c r="Q36" s="288" t="s">
        <v>92</v>
      </c>
      <c r="R36" s="257">
        <f t="shared" si="5"/>
        <v>3894</v>
      </c>
      <c r="S36" s="257">
        <f t="shared" si="0"/>
        <v>3887</v>
      </c>
      <c r="T36" s="317">
        <f t="shared" si="6"/>
        <v>2875</v>
      </c>
      <c r="U36" s="318">
        <f t="shared" si="1"/>
        <v>3894</v>
      </c>
      <c r="Z36" s="225">
        <f t="shared" si="2"/>
        <v>2002</v>
      </c>
      <c r="AA36" s="320">
        <f>IF(B152&lt;1000,(B36/$R36)," ")</f>
        <v>1</v>
      </c>
      <c r="AB36" s="321">
        <f>IF(C152&lt;1000,(C36/$R36)," ")</f>
        <v>0.906266050333847</v>
      </c>
      <c r="AC36" s="321" t="str">
        <f>IF(D152&gt;1200,(D36/$S36)," ")</f>
        <v xml:space="preserve"> </v>
      </c>
      <c r="AD36" s="321">
        <f>IF(E152&gt;1200,(E36/$S36)," ")</f>
        <v>0.88705942886544897</v>
      </c>
      <c r="AE36" s="321">
        <f>IF(F152&gt;1200,(F36/$S36)," ")</f>
        <v>0.9318240288139954</v>
      </c>
      <c r="AF36" s="321">
        <f>IF(G152&gt;1200,(G36/$S36)," ")</f>
        <v>0.94597375868278877</v>
      </c>
      <c r="AG36" s="321">
        <f>IF(H152&gt;1200,(H36/$S36)," ")</f>
        <v>1</v>
      </c>
      <c r="AH36" s="321">
        <f>IF(I152&gt;1200,(I36/$S36)," ")</f>
        <v>0.95163365063030614</v>
      </c>
      <c r="AI36" s="321">
        <f>IF(J152&gt;1200,(J36/$S36)," ")</f>
        <v>0.96629791613069205</v>
      </c>
      <c r="AJ36" s="321">
        <f>IF(K152&gt;1200,(K36/$S36)," ")</f>
        <v>0.91587342423462825</v>
      </c>
      <c r="AK36" s="321"/>
      <c r="AL36" s="369">
        <f>IF(M152&lt;1000,(M36/$R37)," ")</f>
        <v>0.78323558162267837</v>
      </c>
      <c r="AN36" s="1">
        <f t="shared" si="3"/>
        <v>2002</v>
      </c>
      <c r="AO36" s="76">
        <f t="shared" si="10"/>
        <v>-97</v>
      </c>
      <c r="AP36" s="68">
        <f t="shared" si="10"/>
        <v>452</v>
      </c>
      <c r="AQ36" s="68">
        <f t="shared" si="10"/>
        <v>639</v>
      </c>
      <c r="AR36" s="68">
        <f t="shared" si="9"/>
        <v>342</v>
      </c>
      <c r="AS36" s="68">
        <f t="shared" si="9"/>
        <v>167</v>
      </c>
      <c r="AT36" s="68">
        <f t="shared" si="9"/>
        <v>77</v>
      </c>
      <c r="AU36" s="68">
        <f t="shared" si="9"/>
        <v>445</v>
      </c>
      <c r="AV36" s="68">
        <f t="shared" si="9"/>
        <v>63</v>
      </c>
      <c r="AW36" s="68">
        <f t="shared" si="9"/>
        <v>348</v>
      </c>
      <c r="AX36" s="68">
        <f t="shared" si="9"/>
        <v>420</v>
      </c>
      <c r="AY36" s="68">
        <f t="shared" si="9"/>
        <v>474</v>
      </c>
      <c r="AZ36" s="68">
        <f t="shared" si="9"/>
        <v>330</v>
      </c>
    </row>
    <row r="37" spans="1:52" ht="15.75">
      <c r="A37" s="323">
        <f>'Instant Old no Delete'!A37</f>
        <v>2003</v>
      </c>
      <c r="B37" s="174">
        <v>4092</v>
      </c>
      <c r="C37" s="3">
        <v>2849</v>
      </c>
      <c r="D37" s="3">
        <v>3196</v>
      </c>
      <c r="E37" s="3">
        <v>3294</v>
      </c>
      <c r="F37" s="3">
        <v>3686</v>
      </c>
      <c r="G37" s="3">
        <v>3707</v>
      </c>
      <c r="H37" s="168">
        <v>3886</v>
      </c>
      <c r="I37" s="3">
        <v>3730</v>
      </c>
      <c r="J37" s="3">
        <v>3624</v>
      </c>
      <c r="K37" s="3">
        <v>3477</v>
      </c>
      <c r="L37" s="3">
        <v>3317</v>
      </c>
      <c r="M37" s="3">
        <v>3354</v>
      </c>
      <c r="N37" s="399">
        <f t="shared" si="8"/>
        <v>42212</v>
      </c>
      <c r="O37" s="400"/>
      <c r="P37" s="398">
        <f t="shared" si="7"/>
        <v>42212</v>
      </c>
      <c r="Q37" s="288" t="s">
        <v>233</v>
      </c>
      <c r="R37" s="257">
        <f>MAX(T37:U37)</f>
        <v>4092</v>
      </c>
      <c r="S37" s="257">
        <f t="shared" si="0"/>
        <v>3886</v>
      </c>
      <c r="T37" s="317">
        <f t="shared" si="6"/>
        <v>3205</v>
      </c>
      <c r="U37" s="318">
        <f t="shared" si="1"/>
        <v>4092</v>
      </c>
      <c r="Z37" s="225">
        <f t="shared" si="2"/>
        <v>2003</v>
      </c>
      <c r="AA37" s="320">
        <f>IF(B153&lt;1000,(B37/$R37)," ")</f>
        <v>1</v>
      </c>
      <c r="AB37" s="321">
        <f>IF(C153&lt;1000,(C37/$R37)," ")</f>
        <v>0.69623655913978499</v>
      </c>
      <c r="AC37" s="321">
        <f>IF(D153&gt;1200,(D37/$S37)," ")</f>
        <v>0.82243952650540397</v>
      </c>
      <c r="AD37" s="321">
        <f>IF(E153&gt;1200,(E37/$S37)," ")</f>
        <v>0.84765826042202774</v>
      </c>
      <c r="AE37" s="321">
        <f>IF(F153&gt;1200,(F37/$S37)," ")</f>
        <v>0.94853319608852293</v>
      </c>
      <c r="AF37" s="321">
        <f>IF(G153&gt;1200,(G37/$S37)," ")</f>
        <v>0.95393721049922797</v>
      </c>
      <c r="AG37" s="321">
        <f>IF(H153&gt;1200,(H37/$S37)," ")</f>
        <v>1</v>
      </c>
      <c r="AH37" s="321">
        <f>IF(I153&gt;1200,(I37/$S37)," ")</f>
        <v>0.95985589294904783</v>
      </c>
      <c r="AI37" s="321">
        <f>IF(J153&gt;1200,(J37/$S37)," ")</f>
        <v>0.93257848687596501</v>
      </c>
      <c r="AJ37" s="321">
        <f>IF(K153&gt;1200,(K37/$S37)," ")</f>
        <v>0.8947503860010293</v>
      </c>
      <c r="AK37" s="321"/>
      <c r="AL37" s="369">
        <f>IF(M153&lt;1000,(M37/$R38)," ")</f>
        <v>0.9350432115974352</v>
      </c>
      <c r="AN37" s="1">
        <f t="shared" si="3"/>
        <v>2003</v>
      </c>
      <c r="AO37" s="76">
        <f t="shared" si="10"/>
        <v>198</v>
      </c>
      <c r="AP37" s="68">
        <f t="shared" si="10"/>
        <v>-680</v>
      </c>
      <c r="AQ37" s="68">
        <f t="shared" si="10"/>
        <v>-143</v>
      </c>
      <c r="AR37" s="68">
        <f t="shared" si="9"/>
        <v>-154</v>
      </c>
      <c r="AS37" s="68">
        <f t="shared" si="9"/>
        <v>64</v>
      </c>
      <c r="AT37" s="68">
        <f t="shared" si="9"/>
        <v>30</v>
      </c>
      <c r="AU37" s="68">
        <f t="shared" si="9"/>
        <v>-1</v>
      </c>
      <c r="AV37" s="68">
        <f t="shared" si="9"/>
        <v>31</v>
      </c>
      <c r="AW37" s="68">
        <f t="shared" si="9"/>
        <v>-132</v>
      </c>
      <c r="AX37" s="68">
        <f t="shared" si="9"/>
        <v>-83</v>
      </c>
      <c r="AY37" s="68">
        <f t="shared" si="9"/>
        <v>149</v>
      </c>
      <c r="AZ37" s="68">
        <f t="shared" si="9"/>
        <v>149</v>
      </c>
    </row>
    <row r="38" spans="1:52" ht="15.75">
      <c r="A38" s="323">
        <f>'Instant Old no Delete'!A38</f>
        <v>2004</v>
      </c>
      <c r="B38" s="174">
        <v>3587</v>
      </c>
      <c r="C38" s="3">
        <v>3318</v>
      </c>
      <c r="D38" s="3">
        <v>2770</v>
      </c>
      <c r="E38" s="3">
        <v>3353</v>
      </c>
      <c r="F38" s="3">
        <v>3731</v>
      </c>
      <c r="G38" s="168">
        <v>3964</v>
      </c>
      <c r="H38" s="3">
        <v>3868</v>
      </c>
      <c r="I38" s="3">
        <v>3908</v>
      </c>
      <c r="J38" s="3">
        <v>3814</v>
      </c>
      <c r="K38" s="3">
        <v>3615</v>
      </c>
      <c r="L38" s="3">
        <v>3286</v>
      </c>
      <c r="M38" s="3">
        <v>3539</v>
      </c>
      <c r="N38" s="399">
        <f t="shared" si="8"/>
        <v>42753</v>
      </c>
      <c r="O38" s="400"/>
      <c r="P38" s="398">
        <f t="shared" si="7"/>
        <v>42753</v>
      </c>
      <c r="Q38" s="288" t="s">
        <v>234</v>
      </c>
      <c r="R38" s="257">
        <f>MAX(T38:U38)</f>
        <v>3587</v>
      </c>
      <c r="S38" s="257">
        <f t="shared" si="0"/>
        <v>3964</v>
      </c>
      <c r="T38" s="317">
        <f t="shared" si="6"/>
        <v>3354</v>
      </c>
      <c r="U38" s="318">
        <f t="shared" si="1"/>
        <v>3587</v>
      </c>
      <c r="Z38" s="225">
        <f t="shared" si="2"/>
        <v>2004</v>
      </c>
      <c r="AA38" s="320">
        <f>IF(B154&lt;1000,(B38/$R38)," ")</f>
        <v>1</v>
      </c>
      <c r="AB38" s="321">
        <f>IF(C154&lt;1000,(C38/$R38)," ")</f>
        <v>0.92500696961248952</v>
      </c>
      <c r="AC38" s="321">
        <f>IF(D154&gt;1200,(D38/$S38)," ")</f>
        <v>0.6987891019172553</v>
      </c>
      <c r="AD38" s="321">
        <f>IF(E154&gt;1200,(E38/$S38)," ")</f>
        <v>0.84586276488395562</v>
      </c>
      <c r="AE38" s="321">
        <f>IF(F154&gt;1200,(F38/$S38)," ")</f>
        <v>0.94122098890010086</v>
      </c>
      <c r="AF38" s="321">
        <f>IF(G154&gt;1200,(G38/$S38)," ")</f>
        <v>1</v>
      </c>
      <c r="AG38" s="321">
        <f>IF(H154&gt;1200,(H38/$S38)," ")</f>
        <v>0.97578203834510591</v>
      </c>
      <c r="AH38" s="321">
        <f>IF(I154&gt;1200,(I38/$S38)," ")</f>
        <v>0.98587285570131178</v>
      </c>
      <c r="AI38" s="321">
        <f>IF(J154&gt;1200,(J38/$S38)," ")</f>
        <v>0.96215943491422806</v>
      </c>
      <c r="AJ38" s="321">
        <f>IF(K154&gt;1200,(K38/$S38)," ")</f>
        <v>0.91195761856710389</v>
      </c>
      <c r="AK38" s="321"/>
      <c r="AL38" s="369">
        <f>IF(M154&lt;1000,(M38/$R39)," ")</f>
        <v>0.91329032258064513</v>
      </c>
      <c r="AN38" s="1">
        <f t="shared" si="3"/>
        <v>2004</v>
      </c>
      <c r="AO38" s="76">
        <f t="shared" si="10"/>
        <v>-505</v>
      </c>
      <c r="AP38" s="68">
        <f t="shared" si="10"/>
        <v>469</v>
      </c>
      <c r="AQ38" s="68">
        <f t="shared" si="10"/>
        <v>-426</v>
      </c>
      <c r="AR38" s="68">
        <f t="shared" si="9"/>
        <v>59</v>
      </c>
      <c r="AS38" s="68">
        <f t="shared" si="9"/>
        <v>45</v>
      </c>
      <c r="AT38" s="68">
        <f t="shared" si="9"/>
        <v>257</v>
      </c>
      <c r="AU38" s="68">
        <f t="shared" si="9"/>
        <v>-18</v>
      </c>
      <c r="AV38" s="68">
        <f t="shared" si="9"/>
        <v>178</v>
      </c>
      <c r="AW38" s="68">
        <f t="shared" si="9"/>
        <v>190</v>
      </c>
      <c r="AX38" s="68">
        <f t="shared" si="9"/>
        <v>138</v>
      </c>
      <c r="AY38" s="68">
        <f t="shared" si="9"/>
        <v>-31</v>
      </c>
      <c r="AZ38" s="68">
        <f t="shared" si="9"/>
        <v>185</v>
      </c>
    </row>
    <row r="39" spans="1:52" ht="15.75">
      <c r="A39" s="323">
        <f>'Instant Old no Delete'!A39</f>
        <v>2005</v>
      </c>
      <c r="B39" s="174">
        <v>3875</v>
      </c>
      <c r="C39" s="3">
        <v>2996</v>
      </c>
      <c r="D39" s="3">
        <v>3079</v>
      </c>
      <c r="E39" s="3">
        <v>3157</v>
      </c>
      <c r="F39" s="3">
        <v>3674</v>
      </c>
      <c r="G39" s="3">
        <v>3999</v>
      </c>
      <c r="H39" s="3">
        <v>4175</v>
      </c>
      <c r="I39" s="168">
        <v>4204</v>
      </c>
      <c r="J39" s="3">
        <v>3930</v>
      </c>
      <c r="K39" s="3">
        <v>3699</v>
      </c>
      <c r="L39" s="3">
        <v>3066</v>
      </c>
      <c r="M39" s="3">
        <v>3255</v>
      </c>
      <c r="N39" s="399">
        <f t="shared" si="8"/>
        <v>43109</v>
      </c>
      <c r="O39" s="400"/>
      <c r="P39" s="398">
        <f t="shared" si="7"/>
        <v>43109</v>
      </c>
      <c r="Q39" s="288" t="s">
        <v>236</v>
      </c>
      <c r="R39" s="257">
        <f>MAX(T39:U39)</f>
        <v>3875</v>
      </c>
      <c r="S39" s="257">
        <f t="shared" si="0"/>
        <v>4204</v>
      </c>
      <c r="T39" s="317">
        <f t="shared" si="6"/>
        <v>3539</v>
      </c>
      <c r="U39" s="318">
        <f t="shared" si="1"/>
        <v>3875</v>
      </c>
      <c r="Z39" s="225">
        <f t="shared" si="2"/>
        <v>2005</v>
      </c>
      <c r="AA39" s="320">
        <f>IF(B155&lt;1000,(B39/$R39)," ")</f>
        <v>1</v>
      </c>
      <c r="AB39" s="321">
        <f>IF(C155&lt;1000,(C39/$R39)," ")</f>
        <v>0.77316129032258063</v>
      </c>
      <c r="AC39" s="321">
        <f>IF(D155&gt;1200,(D39/$S39)," ")</f>
        <v>0.73239771646051377</v>
      </c>
      <c r="AD39" s="321">
        <f>IF(E155&gt;1200,(E39/$S39)," ")</f>
        <v>0.75095147478591817</v>
      </c>
      <c r="AE39" s="321">
        <f>IF(F155&gt;1200,(F39/$S39)," ")</f>
        <v>0.8739295908658421</v>
      </c>
      <c r="AF39" s="321">
        <f>IF(G155&gt;1200,(G39/$S39)," ")</f>
        <v>0.95123691722169368</v>
      </c>
      <c r="AG39" s="321">
        <f>IF(H155&gt;1200,(H39/$S39)," ")</f>
        <v>0.99310180780209323</v>
      </c>
      <c r="AH39" s="321">
        <f>IF(I155&gt;1200,(I39/$S39)," ")</f>
        <v>1</v>
      </c>
      <c r="AI39" s="321">
        <f>IF(J155&gt;1200,(J39/$S39)," ")</f>
        <v>0.93482397716460519</v>
      </c>
      <c r="AJ39" s="321">
        <f>IF(K155&gt;1200,(K39/$S39)," ")</f>
        <v>0.87987630827783059</v>
      </c>
      <c r="AK39" s="321"/>
      <c r="AL39" s="369">
        <f>IF(M155&lt;1000,(M39/$R40)," ")</f>
        <v>0.82176218126735667</v>
      </c>
      <c r="AN39" s="1">
        <f t="shared" si="3"/>
        <v>2005</v>
      </c>
      <c r="AO39" s="76">
        <f t="shared" si="10"/>
        <v>288</v>
      </c>
      <c r="AP39" s="68">
        <f t="shared" si="10"/>
        <v>-322</v>
      </c>
      <c r="AQ39" s="68">
        <f t="shared" si="10"/>
        <v>309</v>
      </c>
      <c r="AR39" s="68">
        <f t="shared" si="9"/>
        <v>-196</v>
      </c>
      <c r="AS39" s="68">
        <f t="shared" si="9"/>
        <v>-57</v>
      </c>
      <c r="AT39" s="68">
        <f t="shared" si="9"/>
        <v>35</v>
      </c>
      <c r="AU39" s="68">
        <f t="shared" si="9"/>
        <v>307</v>
      </c>
      <c r="AV39" s="68">
        <f t="shared" si="9"/>
        <v>296</v>
      </c>
      <c r="AW39" s="68">
        <f t="shared" si="9"/>
        <v>116</v>
      </c>
      <c r="AX39" s="68">
        <f t="shared" si="9"/>
        <v>84</v>
      </c>
      <c r="AY39" s="68">
        <f t="shared" si="9"/>
        <v>-220</v>
      </c>
      <c r="AZ39" s="68">
        <f t="shared" si="9"/>
        <v>-284</v>
      </c>
    </row>
    <row r="40" spans="1:52" ht="15.75">
      <c r="A40" s="323">
        <f>'Instant Old no Delete'!A40</f>
        <v>2006</v>
      </c>
      <c r="B40" s="167">
        <v>3340</v>
      </c>
      <c r="C40" s="174">
        <v>3961</v>
      </c>
      <c r="D40" s="3">
        <v>3012</v>
      </c>
      <c r="E40" s="3">
        <v>3579</v>
      </c>
      <c r="F40" s="3">
        <v>3860</v>
      </c>
      <c r="G40" s="3">
        <v>4063</v>
      </c>
      <c r="H40" s="3">
        <v>4182</v>
      </c>
      <c r="I40" s="168">
        <v>4233</v>
      </c>
      <c r="J40" s="3">
        <v>3949</v>
      </c>
      <c r="K40" s="3">
        <v>3773</v>
      </c>
      <c r="L40" s="3">
        <v>3137</v>
      </c>
      <c r="M40" s="3">
        <v>2881</v>
      </c>
      <c r="N40" s="399">
        <f t="shared" si="8"/>
        <v>43970</v>
      </c>
      <c r="O40" s="400"/>
      <c r="P40" s="398">
        <f t="shared" si="7"/>
        <v>43970</v>
      </c>
      <c r="Q40" s="288" t="s">
        <v>241</v>
      </c>
      <c r="R40" s="257">
        <f>MAX(T40:U40)</f>
        <v>3961</v>
      </c>
      <c r="S40" s="257">
        <f t="shared" si="0"/>
        <v>4233</v>
      </c>
      <c r="T40" s="317">
        <f t="shared" si="6"/>
        <v>3255</v>
      </c>
      <c r="U40" s="318">
        <f t="shared" si="1"/>
        <v>3961</v>
      </c>
      <c r="Z40" s="291">
        <f t="shared" si="2"/>
        <v>2006</v>
      </c>
      <c r="AA40" s="320">
        <f>IF(B156&lt;1000,(B40/$R40)," ")</f>
        <v>0.84322140873516793</v>
      </c>
      <c r="AB40" s="321">
        <f>IF(C156&lt;1000,(C40/$R40)," ")</f>
        <v>1</v>
      </c>
      <c r="AC40" s="321">
        <f>IF(D156&gt;1200,(D40/$S40)," ")</f>
        <v>0.71155209071580439</v>
      </c>
      <c r="AD40" s="321">
        <f>IF(E156&gt;1200,(E40/$S40)," ")</f>
        <v>0.84549964564138913</v>
      </c>
      <c r="AE40" s="321">
        <f>IF(F156&gt;1200,(F40/$S40)," ")</f>
        <v>0.91188282541932431</v>
      </c>
      <c r="AF40" s="321">
        <f>IF(G156&gt;1200,(G40/$S40)," ")</f>
        <v>0.95983935742971882</v>
      </c>
      <c r="AG40" s="321">
        <f>IF(H156&gt;1200,(H40/$S40)," ")</f>
        <v>0.98795180722891562</v>
      </c>
      <c r="AH40" s="321">
        <f>IF(I156&gt;1200,(I40/$S40)," ")</f>
        <v>1</v>
      </c>
      <c r="AI40" s="321">
        <f>IF(J156&gt;1200,(J40/$S40)," ")</f>
        <v>0.93290810300023619</v>
      </c>
      <c r="AJ40" s="321">
        <f>IF(K156&gt;1200,(K40/$S40)," ")</f>
        <v>0.89133002598629818</v>
      </c>
      <c r="AK40" s="321"/>
      <c r="AL40" s="369" t="str">
        <f>IF(M156&lt;1000,(M40/$R41)," ")</f>
        <v xml:space="preserve"> </v>
      </c>
      <c r="AN40" s="1">
        <f t="shared" si="3"/>
        <v>2006</v>
      </c>
      <c r="AO40" s="76">
        <f t="shared" si="10"/>
        <v>-535</v>
      </c>
      <c r="AP40" s="68">
        <f t="shared" si="10"/>
        <v>965</v>
      </c>
      <c r="AQ40" s="68">
        <f t="shared" si="10"/>
        <v>-67</v>
      </c>
      <c r="AR40" s="68">
        <f t="shared" si="9"/>
        <v>422</v>
      </c>
      <c r="AS40" s="68">
        <f t="shared" si="9"/>
        <v>186</v>
      </c>
      <c r="AT40" s="68">
        <f t="shared" si="9"/>
        <v>64</v>
      </c>
      <c r="AU40" s="68">
        <f t="shared" si="9"/>
        <v>7</v>
      </c>
      <c r="AV40" s="68">
        <f t="shared" si="9"/>
        <v>29</v>
      </c>
      <c r="AW40" s="68">
        <f t="shared" si="9"/>
        <v>19</v>
      </c>
      <c r="AX40" s="68">
        <f t="shared" si="9"/>
        <v>74</v>
      </c>
      <c r="AY40" s="68">
        <f t="shared" si="9"/>
        <v>71</v>
      </c>
      <c r="AZ40" s="68">
        <f t="shared" si="9"/>
        <v>-374</v>
      </c>
    </row>
    <row r="41" spans="1:52" ht="15.75">
      <c r="A41" s="323">
        <f>'Instant Old no Delete'!A41</f>
        <v>2007</v>
      </c>
      <c r="B41">
        <v>3505</v>
      </c>
      <c r="C41" s="226">
        <v>3654</v>
      </c>
      <c r="D41">
        <v>3161</v>
      </c>
      <c r="E41">
        <v>3487</v>
      </c>
      <c r="F41">
        <v>3676</v>
      </c>
      <c r="G41">
        <v>3980</v>
      </c>
      <c r="H41">
        <v>4213</v>
      </c>
      <c r="I41" s="168">
        <v>4352</v>
      </c>
      <c r="J41">
        <v>4076</v>
      </c>
      <c r="K41">
        <v>3980</v>
      </c>
      <c r="L41">
        <v>3114</v>
      </c>
      <c r="M41">
        <v>3053</v>
      </c>
      <c r="N41" s="399">
        <f t="shared" si="8"/>
        <v>44251</v>
      </c>
      <c r="O41" s="400"/>
      <c r="P41" s="398">
        <f t="shared" si="7"/>
        <v>44251</v>
      </c>
      <c r="Q41" s="288" t="s">
        <v>244</v>
      </c>
      <c r="R41" s="257">
        <f>MAX(T41:U41)</f>
        <v>3654</v>
      </c>
      <c r="S41" s="257">
        <f t="shared" si="0"/>
        <v>4352</v>
      </c>
      <c r="T41" s="317">
        <f t="shared" si="6"/>
        <v>3137</v>
      </c>
      <c r="U41" s="318">
        <f t="shared" si="1"/>
        <v>3654</v>
      </c>
      <c r="Z41" s="291">
        <f t="shared" si="2"/>
        <v>2007</v>
      </c>
      <c r="AA41" s="320">
        <f>IF(B157&lt;1000,(B41/$R41)," ")</f>
        <v>0.95922276956759711</v>
      </c>
      <c r="AB41" s="321">
        <f>IF(C157&lt;1000,(C41/$R41)," ")</f>
        <v>1</v>
      </c>
      <c r="AC41" s="321">
        <f>IF(D157&gt;1200,(D41/$S41)," ")</f>
        <v>0.72633272058823528</v>
      </c>
      <c r="AD41" s="321">
        <f>IF(E157&gt;1200,(E41/$S41)," ")</f>
        <v>0.80124080882352944</v>
      </c>
      <c r="AE41" s="321">
        <f>IF(F157&gt;1200,(F41/$S41)," ")</f>
        <v>0.84466911764705888</v>
      </c>
      <c r="AF41" s="321">
        <f>IF(G157&gt;1200,(G41/$S41)," ")</f>
        <v>0.91452205882352944</v>
      </c>
      <c r="AG41" s="321">
        <f>IF(H157&gt;1200,(H41/$S41)," ")</f>
        <v>0.96806066176470584</v>
      </c>
      <c r="AH41" s="321">
        <f>IF(I157&gt;1200,(I41/$S41)," ")</f>
        <v>1</v>
      </c>
      <c r="AI41" s="321">
        <f>IF(J157&gt;1200,(J41/$S41)," ")</f>
        <v>0.93658088235294112</v>
      </c>
      <c r="AJ41" s="321">
        <f>IF(K157&gt;1200,(K41/$S41)," ")</f>
        <v>0.91452205882352944</v>
      </c>
      <c r="AK41" s="321" t="str">
        <f>IF(L157&lt;1000,(L41/$R41)," ")</f>
        <v xml:space="preserve"> </v>
      </c>
      <c r="AL41" s="369" t="str">
        <f>IF(M157&lt;1000,(M41/$R42)," ")</f>
        <v xml:space="preserve"> </v>
      </c>
      <c r="AN41" s="1">
        <f t="shared" si="3"/>
        <v>2007</v>
      </c>
      <c r="AO41" s="76">
        <f t="shared" si="10"/>
        <v>165</v>
      </c>
      <c r="AP41" s="68">
        <f t="shared" si="10"/>
        <v>-307</v>
      </c>
      <c r="AQ41" s="68">
        <f t="shared" si="10"/>
        <v>149</v>
      </c>
      <c r="AR41" s="68">
        <f t="shared" si="9"/>
        <v>-92</v>
      </c>
      <c r="AS41" s="68">
        <f t="shared" si="9"/>
        <v>-184</v>
      </c>
      <c r="AT41" s="68">
        <f t="shared" si="9"/>
        <v>-83</v>
      </c>
      <c r="AU41" s="68">
        <f t="shared" si="9"/>
        <v>31</v>
      </c>
      <c r="AV41" s="68">
        <f t="shared" si="9"/>
        <v>119</v>
      </c>
      <c r="AW41" s="68">
        <f t="shared" si="9"/>
        <v>127</v>
      </c>
      <c r="AX41" s="68">
        <f t="shared" si="9"/>
        <v>207</v>
      </c>
      <c r="AY41" s="68">
        <f t="shared" si="9"/>
        <v>-23</v>
      </c>
      <c r="AZ41" s="68">
        <f t="shared" si="9"/>
        <v>172</v>
      </c>
    </row>
    <row r="42" spans="1:52" ht="15.75">
      <c r="A42" s="323">
        <f>'Instant Old no Delete'!A42</f>
        <v>2008</v>
      </c>
      <c r="B42" s="226">
        <v>3956</v>
      </c>
      <c r="C42">
        <v>3203</v>
      </c>
      <c r="D42">
        <v>3012</v>
      </c>
      <c r="E42">
        <v>3354</v>
      </c>
      <c r="F42">
        <v>3903</v>
      </c>
      <c r="G42">
        <v>4104</v>
      </c>
      <c r="H42">
        <v>4111</v>
      </c>
      <c r="I42" s="168">
        <v>4126</v>
      </c>
      <c r="J42">
        <v>3978</v>
      </c>
      <c r="K42">
        <v>3629</v>
      </c>
      <c r="L42">
        <v>3199</v>
      </c>
      <c r="M42">
        <v>3385</v>
      </c>
      <c r="N42" s="399">
        <f t="shared" si="8"/>
        <v>43960</v>
      </c>
      <c r="O42" s="400"/>
      <c r="P42" s="398">
        <f t="shared" si="7"/>
        <v>43960</v>
      </c>
      <c r="Q42" s="288" t="s">
        <v>245</v>
      </c>
      <c r="R42" s="257">
        <f t="shared" ref="R42:R57" si="11">MAX(T42:U42)</f>
        <v>3956</v>
      </c>
      <c r="S42" s="257">
        <f t="shared" si="0"/>
        <v>4126</v>
      </c>
      <c r="T42" s="317">
        <f t="shared" si="6"/>
        <v>3114</v>
      </c>
      <c r="U42" s="318">
        <f t="shared" si="1"/>
        <v>3956</v>
      </c>
      <c r="Z42" s="291">
        <f t="shared" si="2"/>
        <v>2008</v>
      </c>
      <c r="AA42" s="320">
        <f>IF(B158&lt;1000,(B42/$R42)," ")</f>
        <v>1</v>
      </c>
      <c r="AB42" s="321">
        <f>IF(C158&lt;1000,(C42/$R42)," ")</f>
        <v>0.80965621840242674</v>
      </c>
      <c r="AC42" s="321">
        <f>IF(D158&gt;1200,(D42/$S42)," ")</f>
        <v>0.73000484730974313</v>
      </c>
      <c r="AD42" s="321">
        <f>IF(E158&gt;1200,(E42/$S42)," ")</f>
        <v>0.81289384391662622</v>
      </c>
      <c r="AE42" s="321">
        <f>IF(F158&gt;1200,(F42/$S42)," ")</f>
        <v>0.94595249636451773</v>
      </c>
      <c r="AF42" s="321">
        <f>IF(G158&gt;1200,(G42/$S42)," ")</f>
        <v>0.99466795928259821</v>
      </c>
      <c r="AG42" s="321">
        <f>IF(H158&gt;1200,(H42/$S42)," ")</f>
        <v>0.99636451769268053</v>
      </c>
      <c r="AH42" s="321">
        <f>IF(I158&gt;1200,(I42/$S42)," ")</f>
        <v>1</v>
      </c>
      <c r="AI42" s="321">
        <f>IF(J158&gt;1200,(J42/$S42)," ")</f>
        <v>0.96412990790111486</v>
      </c>
      <c r="AJ42" s="321">
        <f>IF(K158&gt;1200,(K42/$S42)," ")</f>
        <v>0.87954435288414934</v>
      </c>
      <c r="AK42" s="321" t="str">
        <f>IF(L158&lt;1000,(L42/$R42)," ")</f>
        <v xml:space="preserve"> </v>
      </c>
      <c r="AL42" s="369">
        <f>IF(M158&lt;1000,(M42/$R43)," ")</f>
        <v>0.79236891385767794</v>
      </c>
      <c r="AN42" s="1">
        <f t="shared" si="3"/>
        <v>2008</v>
      </c>
      <c r="AO42" s="76">
        <f t="shared" si="10"/>
        <v>451</v>
      </c>
      <c r="AP42" s="68">
        <f t="shared" si="10"/>
        <v>-451</v>
      </c>
      <c r="AQ42" s="68">
        <f t="shared" si="10"/>
        <v>-149</v>
      </c>
      <c r="AR42" s="68">
        <f t="shared" si="9"/>
        <v>-133</v>
      </c>
      <c r="AS42" s="68">
        <f t="shared" si="9"/>
        <v>227</v>
      </c>
      <c r="AT42" s="68">
        <f t="shared" si="9"/>
        <v>124</v>
      </c>
      <c r="AU42" s="68">
        <f t="shared" si="9"/>
        <v>-102</v>
      </c>
      <c r="AV42" s="68">
        <f t="shared" si="9"/>
        <v>-226</v>
      </c>
      <c r="AW42" s="68">
        <f t="shared" si="9"/>
        <v>-98</v>
      </c>
      <c r="AX42" s="68">
        <f t="shared" si="9"/>
        <v>-351</v>
      </c>
      <c r="AY42" s="68">
        <f t="shared" si="9"/>
        <v>85</v>
      </c>
      <c r="AZ42" s="68">
        <f t="shared" si="9"/>
        <v>332</v>
      </c>
    </row>
    <row r="43" spans="1:52" ht="16.5" thickBot="1">
      <c r="A43" s="323">
        <f>'Instant Old no Delete'!A43</f>
        <v>2009</v>
      </c>
      <c r="B43">
        <v>4272</v>
      </c>
      <c r="C43">
        <v>4224</v>
      </c>
      <c r="D43">
        <v>3256</v>
      </c>
      <c r="E43">
        <v>3290</v>
      </c>
      <c r="F43">
        <v>3760</v>
      </c>
      <c r="G43" s="168">
        <v>4187</v>
      </c>
      <c r="H43">
        <v>4042</v>
      </c>
      <c r="I43">
        <v>4030</v>
      </c>
      <c r="J43">
        <v>3964</v>
      </c>
      <c r="K43">
        <v>3997</v>
      </c>
      <c r="L43">
        <v>3131</v>
      </c>
      <c r="M43">
        <v>3003</v>
      </c>
      <c r="N43" s="399">
        <f t="shared" si="8"/>
        <v>45156</v>
      </c>
      <c r="O43" s="400"/>
      <c r="P43" s="398">
        <f t="shared" si="7"/>
        <v>45156</v>
      </c>
      <c r="Q43" s="288" t="s">
        <v>253</v>
      </c>
      <c r="R43" s="257">
        <f t="shared" si="11"/>
        <v>4272</v>
      </c>
      <c r="S43" s="257">
        <f t="shared" si="0"/>
        <v>4187</v>
      </c>
      <c r="T43" s="317">
        <f t="shared" si="6"/>
        <v>3385</v>
      </c>
      <c r="U43" s="318">
        <f t="shared" si="1"/>
        <v>4272</v>
      </c>
      <c r="Z43" s="291">
        <f t="shared" si="2"/>
        <v>2009</v>
      </c>
      <c r="AA43" s="320">
        <f>IF(B159&lt;1000,(B43/$R43)," ")</f>
        <v>1</v>
      </c>
      <c r="AB43" s="321">
        <f>IF(C159&lt;1000,(C43/$R43)," ")</f>
        <v>0.9887640449438202</v>
      </c>
      <c r="AC43" s="321" t="str">
        <f>IF(D159&gt;1200,(D43/$S43)," ")</f>
        <v xml:space="preserve"> </v>
      </c>
      <c r="AD43" s="321">
        <f>IF(E159&gt;1200,(E43/$S43)," ")</f>
        <v>0.78576546453307861</v>
      </c>
      <c r="AE43" s="321">
        <f>IF(F159&gt;1200,(F43/$S43)," ")</f>
        <v>0.89801767375208985</v>
      </c>
      <c r="AF43" s="321">
        <f>IF(G159&gt;1200,(G43/$S43)," ")</f>
        <v>1</v>
      </c>
      <c r="AG43" s="321">
        <f>IF(H159&gt;1200,(H43/$S43)," ")</f>
        <v>0.96536899928349651</v>
      </c>
      <c r="AH43" s="321">
        <f>IF(I159&gt;1200,(I43/$S43)," ")</f>
        <v>0.96250298543109625</v>
      </c>
      <c r="AI43" s="321">
        <f>IF(J159&gt;1200,(J43/$S43)," ")</f>
        <v>0.94673990924289464</v>
      </c>
      <c r="AJ43" s="321">
        <f>IF(K159&gt;1200,(K43/$S43)," ")</f>
        <v>0.9546214473369955</v>
      </c>
      <c r="AK43" s="321" t="str">
        <f>IF(L159&lt;1000,(L43/$R43)," ")</f>
        <v xml:space="preserve"> </v>
      </c>
      <c r="AL43" s="369" t="str">
        <f>IF(M159&lt;1000,(M43/$R44)," ")</f>
        <v xml:space="preserve"> </v>
      </c>
      <c r="AN43" s="1">
        <f t="shared" si="3"/>
        <v>2009</v>
      </c>
      <c r="AO43" s="76">
        <f t="shared" si="10"/>
        <v>316</v>
      </c>
      <c r="AP43" s="68">
        <f t="shared" si="10"/>
        <v>1021</v>
      </c>
      <c r="AQ43" s="68">
        <f t="shared" si="10"/>
        <v>244</v>
      </c>
      <c r="AR43" s="68">
        <f t="shared" si="9"/>
        <v>-64</v>
      </c>
      <c r="AS43" s="68">
        <f t="shared" si="9"/>
        <v>-143</v>
      </c>
      <c r="AT43" s="68">
        <f t="shared" si="9"/>
        <v>83</v>
      </c>
      <c r="AU43" s="68">
        <f t="shared" si="9"/>
        <v>-69</v>
      </c>
      <c r="AV43" s="68">
        <f t="shared" si="9"/>
        <v>-96</v>
      </c>
      <c r="AW43" s="68">
        <f t="shared" si="9"/>
        <v>-14</v>
      </c>
      <c r="AX43" s="68">
        <f t="shared" si="9"/>
        <v>368</v>
      </c>
      <c r="AY43" s="68">
        <f t="shared" si="9"/>
        <v>-68</v>
      </c>
      <c r="AZ43" s="68">
        <f t="shared" si="9"/>
        <v>-382</v>
      </c>
    </row>
    <row r="44" spans="1:52" ht="16.5" thickBot="1">
      <c r="A44" s="323">
        <f>'Instant Old no Delete'!A44</f>
        <v>2010</v>
      </c>
      <c r="B44" s="420">
        <v>4760</v>
      </c>
      <c r="C44">
        <v>3657</v>
      </c>
      <c r="D44">
        <v>3555</v>
      </c>
      <c r="E44">
        <v>3144</v>
      </c>
      <c r="F44">
        <v>3872</v>
      </c>
      <c r="G44">
        <v>4116</v>
      </c>
      <c r="H44" s="168">
        <v>4178</v>
      </c>
      <c r="I44">
        <v>4157</v>
      </c>
      <c r="J44">
        <v>3934</v>
      </c>
      <c r="K44">
        <v>3591</v>
      </c>
      <c r="L44">
        <v>3200</v>
      </c>
      <c r="M44" s="226">
        <v>4319</v>
      </c>
      <c r="N44" s="399">
        <f t="shared" si="8"/>
        <v>46483</v>
      </c>
      <c r="O44" s="400">
        <f>SUM('[1]System, Demand &amp; Generation Rep'!$C$40:$N$40)</f>
        <v>43532.543412142004</v>
      </c>
      <c r="P44" s="398">
        <f t="shared" si="7"/>
        <v>2950.4565878579961</v>
      </c>
      <c r="Q44" s="288" t="s">
        <v>254</v>
      </c>
      <c r="R44" s="287">
        <f t="shared" si="11"/>
        <v>4760</v>
      </c>
      <c r="S44" s="257">
        <f t="shared" si="0"/>
        <v>4178</v>
      </c>
      <c r="T44" s="317">
        <f t="shared" si="6"/>
        <v>3131</v>
      </c>
      <c r="U44" s="318">
        <f t="shared" si="1"/>
        <v>4760</v>
      </c>
      <c r="Z44" s="291">
        <f t="shared" si="2"/>
        <v>2010</v>
      </c>
      <c r="AA44" s="320">
        <f>IF(B160&lt;1000,(B44/$R44)," ")</f>
        <v>1</v>
      </c>
      <c r="AB44" s="321">
        <f>IF(C160&lt;1000,(C44/$R44)," ")</f>
        <v>0.76827731092436979</v>
      </c>
      <c r="AC44" s="321" t="str">
        <f>IF(D160&gt;1200,(D44/$S44)," ")</f>
        <v xml:space="preserve"> </v>
      </c>
      <c r="AD44" s="321">
        <f>IF(E160&gt;1200,(E44/$S44)," ")</f>
        <v>0.75251316419339398</v>
      </c>
      <c r="AE44" s="321">
        <f>IF(F160&gt;1200,(F44/$S44)," ")</f>
        <v>0.92675921493537583</v>
      </c>
      <c r="AF44" s="321">
        <f>IF(G160&gt;1200,(G44/$S44)," ")</f>
        <v>0.98516036381043559</v>
      </c>
      <c r="AG44" s="321">
        <f>IF(H160&gt;1200,(H44/$S44)," ")</f>
        <v>1</v>
      </c>
      <c r="AH44" s="321">
        <f>IF(I160&gt;1200,(I44/$S44)," ")</f>
        <v>0.99497367161321204</v>
      </c>
      <c r="AI44" s="321">
        <f>IF(J160&gt;1200,(J44/$S44)," ")</f>
        <v>0.94159885112494013</v>
      </c>
      <c r="AJ44" s="321">
        <f>IF(K160&gt;1200,(K44/$S44)," ")</f>
        <v>0.85950215414073716</v>
      </c>
      <c r="AK44" s="321" t="str">
        <f>IF(L160&lt;1000,(L44/$R44)," ")</f>
        <v xml:space="preserve"> </v>
      </c>
      <c r="AL44" s="369">
        <f>IF(M160&lt;1000,(M44/$R45)," ")</f>
        <v>1</v>
      </c>
      <c r="AN44" s="1">
        <f t="shared" si="3"/>
        <v>2010</v>
      </c>
      <c r="AO44" s="76">
        <f t="shared" si="10"/>
        <v>488</v>
      </c>
      <c r="AP44" s="68">
        <f t="shared" si="10"/>
        <v>-567</v>
      </c>
      <c r="AQ44" s="68">
        <f t="shared" si="10"/>
        <v>299</v>
      </c>
      <c r="AR44" s="68">
        <f t="shared" si="9"/>
        <v>-146</v>
      </c>
      <c r="AS44" s="68">
        <f t="shared" si="9"/>
        <v>112</v>
      </c>
      <c r="AT44" s="68">
        <f t="shared" si="9"/>
        <v>-71</v>
      </c>
      <c r="AU44" s="68">
        <f t="shared" si="9"/>
        <v>136</v>
      </c>
      <c r="AV44" s="68">
        <f t="shared" si="9"/>
        <v>127</v>
      </c>
      <c r="AW44" s="68">
        <f t="shared" si="9"/>
        <v>-30</v>
      </c>
      <c r="AX44" s="68">
        <f t="shared" si="9"/>
        <v>-406</v>
      </c>
      <c r="AY44" s="68">
        <f t="shared" si="9"/>
        <v>69</v>
      </c>
      <c r="AZ44" s="68">
        <f t="shared" si="9"/>
        <v>1316</v>
      </c>
    </row>
    <row r="45" spans="1:52" ht="15.75">
      <c r="A45" s="323">
        <f>'Instant Old no Delete'!A45</f>
        <v>2011</v>
      </c>
      <c r="B45">
        <v>4028</v>
      </c>
      <c r="C45">
        <v>3251</v>
      </c>
      <c r="D45">
        <v>2803</v>
      </c>
      <c r="E45">
        <v>3611</v>
      </c>
      <c r="F45">
        <v>3779</v>
      </c>
      <c r="G45">
        <v>4136</v>
      </c>
      <c r="H45">
        <v>4028</v>
      </c>
      <c r="I45" s="168">
        <v>4161</v>
      </c>
      <c r="J45">
        <v>3800</v>
      </c>
      <c r="K45">
        <v>3258</v>
      </c>
      <c r="L45">
        <v>3032</v>
      </c>
      <c r="M45">
        <v>2699</v>
      </c>
      <c r="N45" s="399">
        <f t="shared" si="8"/>
        <v>42586</v>
      </c>
      <c r="O45" s="400">
        <f>SUM('[2]System, Demand &amp; Generation Rep'!$C$42:$N$42)</f>
        <v>39985.052362881215</v>
      </c>
      <c r="P45" s="398">
        <f>N45-O45</f>
        <v>2600.9476371187848</v>
      </c>
      <c r="Q45" s="288" t="s">
        <v>255</v>
      </c>
      <c r="R45" s="259">
        <f t="shared" si="11"/>
        <v>4319</v>
      </c>
      <c r="S45" s="257">
        <f t="shared" si="0"/>
        <v>4161</v>
      </c>
      <c r="T45" s="317">
        <f t="shared" si="6"/>
        <v>4319</v>
      </c>
      <c r="U45" s="318">
        <f t="shared" si="1"/>
        <v>4028</v>
      </c>
      <c r="Z45" s="291">
        <f t="shared" si="2"/>
        <v>2011</v>
      </c>
      <c r="AA45" s="320">
        <f>IF(B161&lt;1000,(B45/$R45)," ")</f>
        <v>0.93262329242880293</v>
      </c>
      <c r="AB45" s="321">
        <f>IF(C161&lt;1000,(C45/$R45)," ")</f>
        <v>0.75272053716137999</v>
      </c>
      <c r="AC45" s="321">
        <f>IF(D161&gt;1200,(D45/$S45)," ")</f>
        <v>0.6736361451574141</v>
      </c>
      <c r="AD45" s="321">
        <f>IF(E161&gt;1200,(E45/$S45)," ")</f>
        <v>0.86782023552030763</v>
      </c>
      <c r="AE45" s="321">
        <f>IF(F161&gt;1200,(F45/$S45)," ")</f>
        <v>0.90819514539774093</v>
      </c>
      <c r="AF45" s="321">
        <f>IF(G161&gt;1200,(G45/$S45)," ")</f>
        <v>0.99399182888728665</v>
      </c>
      <c r="AG45" s="321">
        <f>IF(H161&gt;1200,(H45/$S45)," ")</f>
        <v>0.96803652968036524</v>
      </c>
      <c r="AH45" s="321">
        <f>IF(I161&gt;1200,(I45/$S45)," ")</f>
        <v>1</v>
      </c>
      <c r="AI45" s="321">
        <f>IF(J161&gt;1200,(J45/$S45)," ")</f>
        <v>0.91324200913242004</v>
      </c>
      <c r="AJ45" s="321">
        <f>IF(K161&gt;1200,(K45/$S45)," ")</f>
        <v>0.78298485940879592</v>
      </c>
      <c r="AK45" s="321" t="str">
        <f>IF(L161&lt;1000,(L45/$R45)," ")</f>
        <v xml:space="preserve"> </v>
      </c>
      <c r="AL45" s="369" t="str">
        <f>IF(M161&lt;1000,(M45/$R46)," ")</f>
        <v xml:space="preserve"> </v>
      </c>
      <c r="AN45" s="1">
        <f t="shared" si="3"/>
        <v>2011</v>
      </c>
      <c r="AO45" s="76">
        <f t="shared" si="10"/>
        <v>-732</v>
      </c>
      <c r="AP45" s="68">
        <f t="shared" si="10"/>
        <v>-406</v>
      </c>
      <c r="AQ45" s="68">
        <f t="shared" si="10"/>
        <v>-752</v>
      </c>
      <c r="AR45" s="68">
        <f t="shared" si="9"/>
        <v>467</v>
      </c>
      <c r="AS45" s="68">
        <f t="shared" si="9"/>
        <v>-93</v>
      </c>
      <c r="AT45" s="68">
        <f t="shared" si="9"/>
        <v>20</v>
      </c>
      <c r="AU45" s="68">
        <f t="shared" si="9"/>
        <v>-150</v>
      </c>
      <c r="AV45" s="68">
        <f t="shared" si="9"/>
        <v>4</v>
      </c>
      <c r="AW45" s="68">
        <f t="shared" si="9"/>
        <v>-134</v>
      </c>
      <c r="AX45" s="68">
        <f t="shared" si="9"/>
        <v>-333</v>
      </c>
      <c r="AY45" s="68">
        <f t="shared" si="9"/>
        <v>-168</v>
      </c>
      <c r="AZ45" s="68">
        <f t="shared" si="9"/>
        <v>-1620</v>
      </c>
    </row>
    <row r="46" spans="1:52" ht="15.75">
      <c r="A46" s="323">
        <f>'Instant Old no Delete'!A46</f>
        <v>2012</v>
      </c>
      <c r="B46" s="226">
        <v>3788</v>
      </c>
      <c r="C46">
        <v>3573</v>
      </c>
      <c r="D46">
        <v>3170</v>
      </c>
      <c r="E46">
        <v>3385</v>
      </c>
      <c r="F46">
        <v>3793</v>
      </c>
      <c r="G46">
        <v>3892</v>
      </c>
      <c r="H46">
        <v>3988</v>
      </c>
      <c r="I46" s="168">
        <v>4151</v>
      </c>
      <c r="J46">
        <v>3927</v>
      </c>
      <c r="K46">
        <v>3725</v>
      </c>
      <c r="L46">
        <v>2753</v>
      </c>
      <c r="M46">
        <v>2836</v>
      </c>
      <c r="N46" s="399">
        <f t="shared" si="8"/>
        <v>42981</v>
      </c>
      <c r="O46" s="400">
        <f>SUM('[3]Peak Demand Report'!$C$116:$N$116)</f>
        <v>40304.572921108869</v>
      </c>
      <c r="P46" s="398">
        <f>N46-O46</f>
        <v>2676.4270788911308</v>
      </c>
      <c r="Q46" s="288" t="s">
        <v>256</v>
      </c>
      <c r="R46" s="257">
        <f t="shared" si="11"/>
        <v>3788</v>
      </c>
      <c r="S46" s="257">
        <f t="shared" si="0"/>
        <v>4151</v>
      </c>
      <c r="T46" s="317">
        <f t="shared" si="6"/>
        <v>3032</v>
      </c>
      <c r="U46" s="318">
        <f t="shared" si="1"/>
        <v>3788</v>
      </c>
      <c r="Z46" s="291">
        <f t="shared" si="2"/>
        <v>2012</v>
      </c>
      <c r="AA46" s="320">
        <f>IF(B162&lt;1000,(B46/$R46)," ")</f>
        <v>1</v>
      </c>
      <c r="AB46" s="321">
        <f>IF(C162&lt;1000,(C46/$R46)," ")</f>
        <v>0.94324181626187964</v>
      </c>
      <c r="AC46" s="321">
        <f>IF(D162&gt;1200,(D46/$S46)," ")</f>
        <v>0.76367140448084803</v>
      </c>
      <c r="AD46" s="321">
        <f>IF(E162&gt;1200,(E46/$S46)," ")</f>
        <v>0.81546615273428091</v>
      </c>
      <c r="AE46" s="321">
        <f>IF(F162&gt;1200,(F46/$S46)," ")</f>
        <v>0.91375572151288842</v>
      </c>
      <c r="AF46" s="321">
        <f>IF(G162&gt;1200,(G46/$S46)," ")</f>
        <v>0.93760539629005057</v>
      </c>
      <c r="AG46" s="321">
        <f>IF(H162&gt;1200,(H46/$S46)," ")</f>
        <v>0.96073235364972298</v>
      </c>
      <c r="AH46" s="321">
        <f>IF(I162&gt;1200,(I46/$S46)," ")</f>
        <v>1</v>
      </c>
      <c r="AI46" s="321">
        <f>IF(J162&gt;1200,(J46/$S46)," ")</f>
        <v>0.94603709949409776</v>
      </c>
      <c r="AJ46" s="321">
        <f>IF(K162&gt;1200,(K46/$S46)," ")</f>
        <v>0.89737412671645389</v>
      </c>
      <c r="AK46" s="321" t="str">
        <f>IF(L162&lt;1000,(L46/$R46)," ")</f>
        <v xml:space="preserve"> </v>
      </c>
      <c r="AL46" s="369" t="str">
        <f>IF(M162&lt;1000,(M46/$R47)," ")</f>
        <v xml:space="preserve"> </v>
      </c>
      <c r="AN46" s="1">
        <f t="shared" si="3"/>
        <v>2012</v>
      </c>
      <c r="AO46" s="76">
        <f t="shared" si="10"/>
        <v>-240</v>
      </c>
      <c r="AP46" s="68">
        <f t="shared" si="10"/>
        <v>322</v>
      </c>
      <c r="AQ46" s="68">
        <f t="shared" si="10"/>
        <v>367</v>
      </c>
      <c r="AR46" s="68">
        <f t="shared" si="9"/>
        <v>-226</v>
      </c>
      <c r="AS46" s="68">
        <f t="shared" si="9"/>
        <v>14</v>
      </c>
      <c r="AT46" s="68">
        <f t="shared" si="9"/>
        <v>-244</v>
      </c>
      <c r="AU46" s="68">
        <f t="shared" si="9"/>
        <v>-40</v>
      </c>
      <c r="AV46" s="68">
        <f t="shared" si="9"/>
        <v>-10</v>
      </c>
      <c r="AW46" s="68">
        <f t="shared" si="9"/>
        <v>127</v>
      </c>
      <c r="AX46" s="68">
        <f t="shared" si="9"/>
        <v>467</v>
      </c>
      <c r="AY46" s="68">
        <f t="shared" si="9"/>
        <v>-279</v>
      </c>
      <c r="AZ46" s="68">
        <f t="shared" si="9"/>
        <v>137</v>
      </c>
    </row>
    <row r="47" spans="1:52" ht="15.75">
      <c r="A47" s="323">
        <f>'Instant Old no Delete'!A47</f>
        <v>2013</v>
      </c>
      <c r="B47">
        <v>2747</v>
      </c>
      <c r="C47" s="226">
        <v>3451</v>
      </c>
      <c r="D47">
        <v>2872</v>
      </c>
      <c r="E47">
        <v>3600</v>
      </c>
      <c r="F47">
        <v>3675</v>
      </c>
      <c r="G47">
        <v>4043</v>
      </c>
      <c r="H47">
        <v>4028</v>
      </c>
      <c r="I47" s="168">
        <v>4106</v>
      </c>
      <c r="J47">
        <v>3977</v>
      </c>
      <c r="K47">
        <v>3696</v>
      </c>
      <c r="L47">
        <v>3225</v>
      </c>
      <c r="M47">
        <v>2942</v>
      </c>
      <c r="N47" s="399">
        <f t="shared" si="8"/>
        <v>42362</v>
      </c>
      <c r="O47" s="400">
        <f>SUM('[4]Peak Demand Report'!$C$116:$N$116)</f>
        <v>40196.382507226881</v>
      </c>
      <c r="P47" s="398">
        <f>N47-O47</f>
        <v>2165.617492773119</v>
      </c>
      <c r="Q47" s="288" t="s">
        <v>257</v>
      </c>
      <c r="R47" s="257">
        <f t="shared" si="11"/>
        <v>3451</v>
      </c>
      <c r="S47" s="257">
        <f t="shared" si="0"/>
        <v>4106</v>
      </c>
      <c r="T47" s="317">
        <f t="shared" si="6"/>
        <v>2836</v>
      </c>
      <c r="U47" s="318">
        <f t="shared" si="1"/>
        <v>3451</v>
      </c>
      <c r="Z47" s="291">
        <f t="shared" si="2"/>
        <v>2013</v>
      </c>
      <c r="AA47" s="320" t="str">
        <f>IF(B163&lt;1000,(B47/$R47)," ")</f>
        <v xml:space="preserve"> </v>
      </c>
      <c r="AB47" s="321">
        <f>IF(C163&lt;1000,(C47/$R47)," ")</f>
        <v>1</v>
      </c>
      <c r="AC47" s="321" t="str">
        <f>IF(D163&gt;1200,(D47/$S47)," ")</f>
        <v xml:space="preserve"> </v>
      </c>
      <c r="AD47" s="321">
        <f>IF(E163&gt;1200,(E47/$S47)," ")</f>
        <v>0.87676570871894788</v>
      </c>
      <c r="AE47" s="321">
        <f>IF(F163&gt;1200,(F47/$S47)," ")</f>
        <v>0.89503166098392595</v>
      </c>
      <c r="AF47" s="321">
        <f>IF(G163&gt;1200,(G47/$S47)," ")</f>
        <v>0.9846566000974184</v>
      </c>
      <c r="AG47" s="321">
        <f>IF(H163&gt;1200,(H47/$S47)," ")</f>
        <v>0.98100340964442279</v>
      </c>
      <c r="AH47" s="321">
        <f>IF(I163&gt;1200,(I47/$S47)," ")</f>
        <v>1</v>
      </c>
      <c r="AI47" s="321">
        <f>IF(J163&gt;1200,(J47/$S47)," ")</f>
        <v>0.96858256210423765</v>
      </c>
      <c r="AJ47" s="321">
        <f>IF(K163&gt;1200,(K47/$S47)," ")</f>
        <v>0.90014612761811985</v>
      </c>
      <c r="AK47" s="321" t="str">
        <f>IF(L163&lt;1000,(L47/$R47)," ")</f>
        <v xml:space="preserve"> </v>
      </c>
      <c r="AL47" s="369" t="str">
        <f>IF(M163&lt;1000,(M47/$R48)," ")</f>
        <v xml:space="preserve"> </v>
      </c>
      <c r="AN47" s="1">
        <f t="shared" si="3"/>
        <v>2013</v>
      </c>
      <c r="AO47" s="76">
        <f t="shared" si="10"/>
        <v>-1041</v>
      </c>
      <c r="AP47" s="68">
        <f t="shared" si="10"/>
        <v>-122</v>
      </c>
      <c r="AQ47" s="68">
        <f t="shared" si="10"/>
        <v>-298</v>
      </c>
      <c r="AR47" s="68">
        <f t="shared" si="9"/>
        <v>215</v>
      </c>
      <c r="AS47" s="68">
        <f t="shared" si="9"/>
        <v>-118</v>
      </c>
      <c r="AT47" s="68">
        <f t="shared" si="9"/>
        <v>151</v>
      </c>
      <c r="AU47" s="68">
        <f t="shared" si="9"/>
        <v>40</v>
      </c>
      <c r="AV47" s="68">
        <f t="shared" si="9"/>
        <v>-45</v>
      </c>
      <c r="AW47" s="68">
        <f t="shared" si="9"/>
        <v>50</v>
      </c>
      <c r="AX47" s="68">
        <f t="shared" si="9"/>
        <v>-29</v>
      </c>
      <c r="AY47" s="68">
        <f t="shared" si="9"/>
        <v>472</v>
      </c>
      <c r="AZ47" s="68">
        <f t="shared" si="9"/>
        <v>106</v>
      </c>
    </row>
    <row r="48" spans="1:52" ht="15.75">
      <c r="A48" s="323">
        <f>'Instant Old no Delete'!A48</f>
        <v>2014</v>
      </c>
      <c r="B48" s="226">
        <v>3559</v>
      </c>
      <c r="C48">
        <v>2825</v>
      </c>
      <c r="D48">
        <v>2690</v>
      </c>
      <c r="E48">
        <v>3664</v>
      </c>
      <c r="F48" s="1">
        <v>3739</v>
      </c>
      <c r="G48" s="1">
        <v>4147</v>
      </c>
      <c r="H48" s="1">
        <v>4065</v>
      </c>
      <c r="I48" s="22">
        <v>4305</v>
      </c>
      <c r="J48" s="1">
        <v>3991</v>
      </c>
      <c r="K48" s="1">
        <v>3732</v>
      </c>
      <c r="L48" s="1">
        <v>3036</v>
      </c>
      <c r="M48" s="1">
        <v>2937</v>
      </c>
      <c r="N48" s="399" t="s">
        <v>329</v>
      </c>
      <c r="O48" s="400"/>
      <c r="P48" s="398"/>
      <c r="Q48" s="288" t="s">
        <v>258</v>
      </c>
      <c r="R48" s="257">
        <f t="shared" si="11"/>
        <v>3559</v>
      </c>
      <c r="S48" s="257">
        <f t="shared" si="0"/>
        <v>4305</v>
      </c>
      <c r="T48" s="317">
        <f t="shared" si="6"/>
        <v>3225</v>
      </c>
      <c r="U48" s="318">
        <f t="shared" si="1"/>
        <v>3559</v>
      </c>
      <c r="Z48" s="291">
        <f t="shared" si="2"/>
        <v>2014</v>
      </c>
      <c r="AA48" s="320">
        <f>IF(B164&lt;1000,(B48/$R48)," ")</f>
        <v>1</v>
      </c>
      <c r="AB48" s="321" t="str">
        <f>IF(C164&lt;1000,(C48/$R48)," ")</f>
        <v xml:space="preserve"> </v>
      </c>
      <c r="AC48" s="321">
        <f>IF(D164&gt;1200,(D48/$S48)," ")</f>
        <v>0.62485481997677117</v>
      </c>
      <c r="AD48" s="321">
        <f>IF(E164&gt;1200,(E48/$S48)," ")</f>
        <v>0.85110336817653887</v>
      </c>
      <c r="AE48" s="321">
        <f>IF(F164&gt;1200,(F48/$S48)," ")</f>
        <v>0.86852497096399539</v>
      </c>
      <c r="AF48" s="321">
        <f>IF(G164&gt;1200,(G48/$S48)," ")</f>
        <v>0.96329849012775837</v>
      </c>
      <c r="AG48" s="321">
        <f>IF(H164&gt;1200,(H48/$S48)," ")</f>
        <v>0.94425087108013939</v>
      </c>
      <c r="AH48" s="321">
        <f>IF(I164&gt;1200,(I48/$S48)," ")</f>
        <v>1</v>
      </c>
      <c r="AI48" s="321">
        <f>IF(J164&gt;1200,(J48/$S48)," ")</f>
        <v>0.92706155632984899</v>
      </c>
      <c r="AJ48" s="321" t="str">
        <f>IF(K164&gt;1200,(K48/$S48)," ")</f>
        <v xml:space="preserve"> </v>
      </c>
      <c r="AK48" s="321">
        <f>IF(L164&lt;1000,(L48/$R48)," ")</f>
        <v>0.85304860915987635</v>
      </c>
      <c r="AL48" s="369">
        <f>IF(M164&lt;1000,(M48/$R49)," ")</f>
        <v>0.76345204055107874</v>
      </c>
      <c r="AN48" s="1">
        <f t="shared" si="3"/>
        <v>2014</v>
      </c>
      <c r="AO48" s="76">
        <f t="shared" si="10"/>
        <v>812</v>
      </c>
      <c r="AP48" s="68">
        <f t="shared" si="10"/>
        <v>-626</v>
      </c>
      <c r="AQ48" s="68">
        <f t="shared" si="10"/>
        <v>-182</v>
      </c>
      <c r="AR48" s="68">
        <f t="shared" si="9"/>
        <v>64</v>
      </c>
      <c r="AS48" s="68">
        <f t="shared" si="9"/>
        <v>64</v>
      </c>
      <c r="AT48" s="68">
        <f t="shared" si="9"/>
        <v>104</v>
      </c>
      <c r="AU48" s="68">
        <f t="shared" si="9"/>
        <v>37</v>
      </c>
      <c r="AV48" s="68">
        <f t="shared" si="9"/>
        <v>199</v>
      </c>
      <c r="AW48" s="68">
        <f t="shared" si="9"/>
        <v>14</v>
      </c>
      <c r="AX48" s="68">
        <f t="shared" si="9"/>
        <v>36</v>
      </c>
      <c r="AY48" s="68">
        <f t="shared" si="9"/>
        <v>-189</v>
      </c>
      <c r="AZ48" s="68">
        <f t="shared" si="9"/>
        <v>-5</v>
      </c>
    </row>
    <row r="49" spans="1:52" ht="15.75">
      <c r="A49" s="323">
        <f>'Instant Old no Delete'!A49</f>
        <v>2015</v>
      </c>
      <c r="B49" s="1">
        <v>2974</v>
      </c>
      <c r="C49" s="226">
        <v>3847</v>
      </c>
      <c r="D49" s="1">
        <v>3136</v>
      </c>
      <c r="E49" s="1">
        <v>3495</v>
      </c>
      <c r="F49" s="1">
        <v>3903</v>
      </c>
      <c r="G49" s="1">
        <v>4075</v>
      </c>
      <c r="H49" s="1">
        <v>4047</v>
      </c>
      <c r="I49" s="22">
        <v>4163</v>
      </c>
      <c r="J49" s="1">
        <v>4072</v>
      </c>
      <c r="K49" s="1">
        <v>3558</v>
      </c>
      <c r="L49" s="226">
        <v>3638</v>
      </c>
      <c r="M49" s="1">
        <v>3227</v>
      </c>
      <c r="N49" s="68"/>
      <c r="O49" s="374"/>
      <c r="P49" s="397"/>
      <c r="Q49" s="288" t="s">
        <v>280</v>
      </c>
      <c r="R49" s="257">
        <f t="shared" si="11"/>
        <v>3847</v>
      </c>
      <c r="S49" s="257">
        <f t="shared" si="0"/>
        <v>4163</v>
      </c>
      <c r="T49" s="317">
        <f t="shared" si="6"/>
        <v>3036</v>
      </c>
      <c r="U49" s="318">
        <f t="shared" si="1"/>
        <v>3847</v>
      </c>
      <c r="Z49" s="225">
        <v>2015</v>
      </c>
      <c r="AA49" s="320">
        <f>IF(B165&lt;1000,(B49/$R49)," ")</f>
        <v>0.7730699246165843</v>
      </c>
      <c r="AB49" s="321">
        <f>IF(C165&lt;1000,(C49/$R49)," ")</f>
        <v>1</v>
      </c>
      <c r="AC49" s="321">
        <f>IF(D165&gt;1200,(D49/$S49)," ")</f>
        <v>0.75330290655777088</v>
      </c>
      <c r="AD49" s="321">
        <f>IF(E165&gt;1200,(E49/$S49)," ")</f>
        <v>0.83953879413884214</v>
      </c>
      <c r="AE49" s="321">
        <f>IF(F165&gt;1200,(F49/$S49)," ")</f>
        <v>0.93754503963487867</v>
      </c>
      <c r="AF49" s="321">
        <f>IF(G165&gt;1200,(G49/$S49)," ")</f>
        <v>0.97886139803026662</v>
      </c>
      <c r="AG49" s="321">
        <f>IF(H165&gt;1200,(H49/$S49)," ")</f>
        <v>0.97213547922171506</v>
      </c>
      <c r="AH49" s="321">
        <f>IF(I165&gt;1200,(I49/$S49)," ")</f>
        <v>1</v>
      </c>
      <c r="AI49" s="321">
        <f>IF(J165&gt;1200,(J49/$S49)," ")</f>
        <v>0.9781407638722075</v>
      </c>
      <c r="AJ49" s="321">
        <f>IF(K165&gt;1200,(K49/$S49)," ")</f>
        <v>0.85467211145808308</v>
      </c>
      <c r="AK49" s="321" t="str">
        <f>IF(L165&lt;1000,(L49/$R49)," ")</f>
        <v xml:space="preserve"> </v>
      </c>
      <c r="AL49" s="369" t="str">
        <f>IF(M165&lt;1000,(M49/$R50)," ")</f>
        <v xml:space="preserve"> </v>
      </c>
      <c r="AN49" s="1">
        <f t="shared" si="3"/>
        <v>2015</v>
      </c>
      <c r="AO49" s="76">
        <f t="shared" si="10"/>
        <v>-585</v>
      </c>
      <c r="AP49" s="68">
        <f t="shared" si="10"/>
        <v>1022</v>
      </c>
      <c r="AQ49" s="68">
        <f t="shared" si="10"/>
        <v>446</v>
      </c>
      <c r="AR49" s="68">
        <f t="shared" si="9"/>
        <v>-169</v>
      </c>
      <c r="AS49" s="68">
        <f t="shared" si="9"/>
        <v>164</v>
      </c>
      <c r="AT49" s="68">
        <f t="shared" si="9"/>
        <v>-72</v>
      </c>
      <c r="AU49" s="68">
        <f t="shared" si="9"/>
        <v>-18</v>
      </c>
      <c r="AV49" s="68">
        <f t="shared" si="9"/>
        <v>-142</v>
      </c>
      <c r="AW49" s="68">
        <f t="shared" si="9"/>
        <v>81</v>
      </c>
      <c r="AX49" s="68">
        <f t="shared" si="9"/>
        <v>-174</v>
      </c>
      <c r="AY49" s="68">
        <f t="shared" si="9"/>
        <v>602</v>
      </c>
      <c r="AZ49" s="68">
        <f t="shared" si="9"/>
        <v>290</v>
      </c>
    </row>
    <row r="50" spans="1:52" ht="15.75">
      <c r="A50" s="323">
        <f>'Instant Old no Delete'!A50</f>
        <v>2016</v>
      </c>
      <c r="B50" s="1">
        <v>3528</v>
      </c>
      <c r="C50" s="1">
        <v>3322</v>
      </c>
      <c r="D50" s="1">
        <v>3347</v>
      </c>
      <c r="E50" s="1">
        <v>3730</v>
      </c>
      <c r="F50" s="1">
        <v>3773</v>
      </c>
      <c r="G50" s="1">
        <v>4164</v>
      </c>
      <c r="H50" s="22">
        <v>4374</v>
      </c>
      <c r="I50" s="1">
        <v>4323</v>
      </c>
      <c r="J50" s="1">
        <v>4023</v>
      </c>
      <c r="K50" s="1">
        <v>3743</v>
      </c>
      <c r="L50" s="1">
        <v>3112</v>
      </c>
      <c r="M50" s="1">
        <v>3191</v>
      </c>
      <c r="N50" s="68"/>
      <c r="O50" s="374"/>
      <c r="P50" s="397"/>
      <c r="Q50" s="288" t="s">
        <v>285</v>
      </c>
      <c r="R50" s="259">
        <f t="shared" si="11"/>
        <v>3638</v>
      </c>
      <c r="S50" s="257">
        <f t="shared" si="0"/>
        <v>4374</v>
      </c>
      <c r="T50" s="317">
        <f t="shared" si="6"/>
        <v>3638</v>
      </c>
      <c r="U50" s="318">
        <f t="shared" si="1"/>
        <v>3528</v>
      </c>
      <c r="Z50" s="291">
        <f t="shared" ref="Z50:Z58" si="12">A50</f>
        <v>2016</v>
      </c>
      <c r="AA50" s="320">
        <f>IF(B166&lt;1000,(B50/$R50)," ")</f>
        <v>0.96976360637713033</v>
      </c>
      <c r="AB50" s="321">
        <f>IF(C166&lt;1000,(C50/$R50)," ")</f>
        <v>0.91313908741066518</v>
      </c>
      <c r="AC50" s="321">
        <f>IF(D166&gt;1200,(D50/$S50)," ")</f>
        <v>0.76520347508001829</v>
      </c>
      <c r="AD50" s="321">
        <f>IF(E166&gt;1200,(E50/$S50)," ")</f>
        <v>0.85276634659350714</v>
      </c>
      <c r="AE50" s="321">
        <f>IF(F166&gt;1200,(F50/$S50)," ")</f>
        <v>0.86259716506630091</v>
      </c>
      <c r="AF50" s="321">
        <f>IF(G166&gt;1200,(G50/$S50)," ")</f>
        <v>0.9519890260631001</v>
      </c>
      <c r="AG50" s="321">
        <f>IF(H166&gt;1200,(H50/$S50)," ")</f>
        <v>1</v>
      </c>
      <c r="AH50" s="321">
        <f>IF(I166&gt;1200,(I50/$S50)," ")</f>
        <v>0.98834019204389578</v>
      </c>
      <c r="AI50" s="321">
        <f>IF(J166&gt;1200,(J50/$S50)," ")</f>
        <v>0.91975308641975306</v>
      </c>
      <c r="AJ50" s="321">
        <f>IF(K166&gt;1200,(K50/$S50)," ")</f>
        <v>0.85573845450388664</v>
      </c>
      <c r="AK50" s="321" t="str">
        <f>IF(L166&lt;1000,(L50/$R50)," ")</f>
        <v xml:space="preserve"> </v>
      </c>
      <c r="AL50" s="369" t="str">
        <f>IF(M166&lt;1000,(M50/$R51)," ")</f>
        <v xml:space="preserve"> </v>
      </c>
      <c r="AN50" s="1">
        <f t="shared" si="3"/>
        <v>2016</v>
      </c>
      <c r="AO50" s="76">
        <f t="shared" si="10"/>
        <v>554</v>
      </c>
      <c r="AP50" s="68">
        <f t="shared" si="10"/>
        <v>-525</v>
      </c>
      <c r="AQ50" s="68">
        <f t="shared" si="10"/>
        <v>211</v>
      </c>
      <c r="AR50" s="68">
        <f t="shared" si="9"/>
        <v>235</v>
      </c>
      <c r="AS50" s="68">
        <f t="shared" si="9"/>
        <v>-130</v>
      </c>
      <c r="AT50" s="68">
        <f t="shared" si="9"/>
        <v>89</v>
      </c>
      <c r="AU50" s="68">
        <f t="shared" si="9"/>
        <v>327</v>
      </c>
      <c r="AV50" s="68">
        <f t="shared" si="9"/>
        <v>160</v>
      </c>
      <c r="AW50" s="68">
        <f t="shared" si="9"/>
        <v>-49</v>
      </c>
      <c r="AX50" s="68">
        <f t="shared" si="9"/>
        <v>185</v>
      </c>
      <c r="AY50" s="68">
        <f t="shared" si="9"/>
        <v>-526</v>
      </c>
      <c r="AZ50" s="68">
        <f t="shared" si="9"/>
        <v>-36</v>
      </c>
    </row>
    <row r="51" spans="1:52" ht="15.75">
      <c r="A51" s="323">
        <f>'Instant Old no Delete'!A51</f>
        <v>2017</v>
      </c>
      <c r="B51" s="226">
        <v>3383</v>
      </c>
      <c r="C51" s="1">
        <v>3187</v>
      </c>
      <c r="D51" s="1">
        <v>3244</v>
      </c>
      <c r="E51" s="1">
        <v>4019</v>
      </c>
      <c r="F51" s="1">
        <v>4111</v>
      </c>
      <c r="G51" s="1">
        <v>4194</v>
      </c>
      <c r="H51" s="22">
        <v>4335</v>
      </c>
      <c r="I51" s="1">
        <v>4280</v>
      </c>
      <c r="J51" s="1">
        <v>4140</v>
      </c>
      <c r="K51" s="1">
        <v>3998</v>
      </c>
      <c r="L51" s="1">
        <v>3226</v>
      </c>
      <c r="M51" s="1">
        <v>3165</v>
      </c>
      <c r="N51" s="68"/>
      <c r="O51" s="374"/>
      <c r="P51" s="397"/>
      <c r="Q51" s="288" t="s">
        <v>286</v>
      </c>
      <c r="R51" s="257">
        <f t="shared" si="11"/>
        <v>3383</v>
      </c>
      <c r="S51" s="257">
        <f t="shared" si="0"/>
        <v>4335</v>
      </c>
      <c r="T51" s="317">
        <f t="shared" si="6"/>
        <v>3191</v>
      </c>
      <c r="U51" s="318">
        <f t="shared" si="1"/>
        <v>3383</v>
      </c>
      <c r="Z51" s="291">
        <f t="shared" si="12"/>
        <v>2017</v>
      </c>
      <c r="AA51" s="320">
        <f>IF(B167&lt;1000,(B51/$R51)," ")</f>
        <v>1</v>
      </c>
      <c r="AB51" s="321" t="str">
        <f>IF(C167&lt;1000,(C51/$R51)," ")</f>
        <v xml:space="preserve"> </v>
      </c>
      <c r="AC51" s="321">
        <f>IF(D167&gt;1200,(D51/$S51)," ")</f>
        <v>0.7483275663206459</v>
      </c>
      <c r="AD51" s="321">
        <f>IF(E167&gt;1200,(E51/$S51)," ")</f>
        <v>0.92710495963091122</v>
      </c>
      <c r="AE51" s="321">
        <f>IF(F167&gt;1200,(F51/$S51)," ")</f>
        <v>0.94832756632064585</v>
      </c>
      <c r="AF51" s="321">
        <f>IF(G167&gt;1200,(G51/$S51)," ")</f>
        <v>0.96747404844290652</v>
      </c>
      <c r="AG51" s="321">
        <f>IF(H167&gt;1200,(H51/$S51)," ")</f>
        <v>1</v>
      </c>
      <c r="AH51" s="321">
        <f>IF(I167&gt;1200,(I51/$S51)," ")</f>
        <v>0.98731257208765855</v>
      </c>
      <c r="AI51" s="321">
        <f>IF(J167&gt;1200,(J51/$S51)," ")</f>
        <v>0.95501730103806226</v>
      </c>
      <c r="AJ51" s="321">
        <f>IF(K167&gt;1200,(K51/$S51)," ")</f>
        <v>0.9222606689734717</v>
      </c>
      <c r="AK51" s="321" t="str">
        <f>IF(L167&lt;1000,(L51/$R51)," ")</f>
        <v xml:space="preserve"> </v>
      </c>
      <c r="AL51" s="369">
        <f>IF(M167&lt;1000,(M51/$R52)," ")</f>
        <v>0.73570432357043236</v>
      </c>
      <c r="AN51" s="1">
        <f t="shared" si="3"/>
        <v>2017</v>
      </c>
      <c r="AO51" s="76">
        <f t="shared" si="10"/>
        <v>-145</v>
      </c>
      <c r="AP51" s="68">
        <f t="shared" si="10"/>
        <v>-135</v>
      </c>
      <c r="AQ51" s="68">
        <f t="shared" si="10"/>
        <v>-103</v>
      </c>
      <c r="AR51" s="68">
        <f t="shared" si="9"/>
        <v>289</v>
      </c>
      <c r="AS51" s="68">
        <f t="shared" si="9"/>
        <v>338</v>
      </c>
      <c r="AT51" s="68">
        <f t="shared" si="9"/>
        <v>30</v>
      </c>
      <c r="AU51" s="68">
        <f t="shared" si="9"/>
        <v>-39</v>
      </c>
      <c r="AV51" s="68">
        <f t="shared" si="9"/>
        <v>-43</v>
      </c>
      <c r="AW51" s="68">
        <f t="shared" si="9"/>
        <v>117</v>
      </c>
      <c r="AX51" s="68">
        <f t="shared" si="9"/>
        <v>255</v>
      </c>
      <c r="AY51" s="68">
        <f t="shared" si="9"/>
        <v>114</v>
      </c>
      <c r="AZ51" s="68">
        <f t="shared" si="9"/>
        <v>-26</v>
      </c>
    </row>
    <row r="52" spans="1:52" ht="15.75">
      <c r="A52" s="323">
        <f>'Instant Old no Delete'!A52</f>
        <v>2018</v>
      </c>
      <c r="B52" s="226">
        <v>4302</v>
      </c>
      <c r="C52" s="1">
        <v>3310</v>
      </c>
      <c r="D52" s="1">
        <v>3045</v>
      </c>
      <c r="E52" s="1">
        <v>3416</v>
      </c>
      <c r="F52" s="1">
        <v>3758</v>
      </c>
      <c r="G52" s="1">
        <v>4176</v>
      </c>
      <c r="H52" s="1">
        <v>4185</v>
      </c>
      <c r="I52" s="22">
        <v>4262</v>
      </c>
      <c r="J52" s="1">
        <v>4179</v>
      </c>
      <c r="K52" s="1">
        <v>4030</v>
      </c>
      <c r="L52" s="226">
        <v>3440</v>
      </c>
      <c r="M52" s="1">
        <v>3019</v>
      </c>
      <c r="N52" s="68"/>
      <c r="O52" s="374"/>
      <c r="P52" s="397"/>
      <c r="Q52" s="288" t="s">
        <v>287</v>
      </c>
      <c r="R52" s="257">
        <f t="shared" si="11"/>
        <v>4302</v>
      </c>
      <c r="S52" s="257">
        <f t="shared" si="0"/>
        <v>4262</v>
      </c>
      <c r="T52" s="317">
        <f t="shared" si="6"/>
        <v>3226</v>
      </c>
      <c r="U52" s="318">
        <f t="shared" si="1"/>
        <v>4302</v>
      </c>
      <c r="Z52" s="291">
        <f t="shared" si="12"/>
        <v>2018</v>
      </c>
      <c r="AA52" s="320">
        <f>IF(B168&lt;1000,(B52/$R52)," ")</f>
        <v>1</v>
      </c>
      <c r="AB52" s="321" t="str">
        <f>IF(C168&lt;1000,(C52/$R52)," ")</f>
        <v xml:space="preserve"> </v>
      </c>
      <c r="AC52" s="321">
        <f>IF(D168&gt;1200,(D52/$S52)," ")</f>
        <v>0.71445330830595966</v>
      </c>
      <c r="AD52" s="321">
        <f>IF(E168&gt;1200,(E52/$S52)," ")</f>
        <v>0.80150164242139843</v>
      </c>
      <c r="AE52" s="321">
        <f>IF(F168&gt;1200,(F52/$S52)," ")</f>
        <v>0.8817456593148757</v>
      </c>
      <c r="AF52" s="321">
        <f>IF(G168&gt;1200,(G52/$S52)," ")</f>
        <v>0.97982167996245895</v>
      </c>
      <c r="AG52" s="321">
        <f>IF(H168&gt;1200,(H52/$S52)," ")</f>
        <v>0.98193336461755043</v>
      </c>
      <c r="AH52" s="321">
        <f>IF(I168&gt;1200,(I52/$S52)," ")</f>
        <v>1</v>
      </c>
      <c r="AI52" s="321">
        <f>IF(J168&gt;1200,(J52/$S52)," ")</f>
        <v>0.98052557484748948</v>
      </c>
      <c r="AJ52" s="321">
        <f>IF(K168&gt;1200,(K52/$S52)," ")</f>
        <v>0.94556546222430782</v>
      </c>
      <c r="AK52" s="321" t="str">
        <f>IF(L168&lt;1000,(L52/$R52)," ")</f>
        <v xml:space="preserve"> </v>
      </c>
      <c r="AL52" s="369" t="str">
        <f>IF(M168&lt;1000,(M52/$R53)," ")</f>
        <v xml:space="preserve"> </v>
      </c>
      <c r="AN52" s="1">
        <f t="shared" si="3"/>
        <v>2018</v>
      </c>
      <c r="AO52" s="76">
        <f t="shared" si="10"/>
        <v>919</v>
      </c>
      <c r="AP52" s="68">
        <f t="shared" si="10"/>
        <v>123</v>
      </c>
      <c r="AQ52" s="68">
        <f t="shared" si="10"/>
        <v>-199</v>
      </c>
      <c r="AR52" s="68">
        <f t="shared" si="9"/>
        <v>-603</v>
      </c>
      <c r="AS52" s="68">
        <f t="shared" si="9"/>
        <v>-353</v>
      </c>
      <c r="AT52" s="68">
        <f t="shared" si="9"/>
        <v>-18</v>
      </c>
      <c r="AU52" s="68">
        <f t="shared" si="9"/>
        <v>-150</v>
      </c>
      <c r="AV52" s="68">
        <f t="shared" si="9"/>
        <v>-18</v>
      </c>
      <c r="AW52" s="68">
        <f t="shared" si="9"/>
        <v>39</v>
      </c>
      <c r="AX52" s="68">
        <f t="shared" si="9"/>
        <v>32</v>
      </c>
      <c r="AY52" s="68">
        <f t="shared" si="9"/>
        <v>214</v>
      </c>
      <c r="AZ52" s="68">
        <f t="shared" si="9"/>
        <v>-146</v>
      </c>
    </row>
    <row r="53" spans="1:52">
      <c r="A53" s="323">
        <f>'Instant Old no Delete'!A53</f>
        <v>2019</v>
      </c>
      <c r="B53" s="1">
        <v>3232</v>
      </c>
      <c r="C53" s="1">
        <v>3232</v>
      </c>
      <c r="D53" s="1">
        <v>3239</v>
      </c>
      <c r="E53" s="1">
        <v>3635</v>
      </c>
      <c r="F53" s="1">
        <v>4318</v>
      </c>
      <c r="G53" s="1">
        <v>4428</v>
      </c>
      <c r="H53" s="1">
        <v>4216</v>
      </c>
      <c r="I53" s="1">
        <v>4245</v>
      </c>
      <c r="J53" s="1">
        <v>4241</v>
      </c>
      <c r="K53" s="1">
        <v>3795</v>
      </c>
      <c r="L53" s="1">
        <v>3434</v>
      </c>
      <c r="M53" s="1">
        <v>2900</v>
      </c>
      <c r="N53" s="68"/>
      <c r="O53" s="374"/>
      <c r="P53" s="397"/>
      <c r="Q53" s="288" t="s">
        <v>288</v>
      </c>
      <c r="R53" s="259">
        <f t="shared" si="11"/>
        <v>3440</v>
      </c>
      <c r="S53" s="257">
        <f t="shared" si="0"/>
        <v>4428</v>
      </c>
      <c r="T53" s="317">
        <f t="shared" si="6"/>
        <v>3440</v>
      </c>
      <c r="U53" s="318">
        <f t="shared" si="1"/>
        <v>3239</v>
      </c>
      <c r="Z53" s="291">
        <f t="shared" si="12"/>
        <v>2019</v>
      </c>
      <c r="AA53" s="320">
        <f>IF(B169&lt;1000,(B53/$R53)," ")</f>
        <v>0.93953488372093019</v>
      </c>
      <c r="AB53" s="321" t="str">
        <f>IF(C169&lt;1000,(C53/$R53)," ")</f>
        <v xml:space="preserve"> </v>
      </c>
      <c r="AC53" s="321">
        <f>IF(D169&gt;1200,(D53/$S53)," ")</f>
        <v>0.73148148148148151</v>
      </c>
      <c r="AD53" s="321">
        <f>IF(E169&gt;1200,(E53/$S53)," ")</f>
        <v>0.82091237579042453</v>
      </c>
      <c r="AE53" s="321">
        <f>IF(F169&gt;1200,(F53/$S53)," ")</f>
        <v>0.97515808491418243</v>
      </c>
      <c r="AF53" s="321">
        <f>IF(G169&gt;1200,(G53/$S53)," ")</f>
        <v>1</v>
      </c>
      <c r="AG53" s="321">
        <f>IF(H169&gt;1200,(H53/$S53)," ")</f>
        <v>0.95212285456187895</v>
      </c>
      <c r="AH53" s="321">
        <f>IF(I169&gt;1200,(I53/$S53)," ")</f>
        <v>0.95867208672086723</v>
      </c>
      <c r="AI53" s="321"/>
      <c r="AJ53" s="321"/>
      <c r="AK53" s="321"/>
      <c r="AL53" s="369"/>
      <c r="AN53" s="1">
        <f t="shared" si="3"/>
        <v>2019</v>
      </c>
      <c r="AO53" s="76">
        <f t="shared" si="10"/>
        <v>-1070</v>
      </c>
      <c r="AP53" s="68">
        <f t="shared" si="10"/>
        <v>-78</v>
      </c>
      <c r="AQ53" s="68">
        <f t="shared" si="10"/>
        <v>194</v>
      </c>
      <c r="AR53" s="68">
        <f t="shared" si="9"/>
        <v>219</v>
      </c>
      <c r="AS53" s="68">
        <f t="shared" si="9"/>
        <v>560</v>
      </c>
      <c r="AT53" s="68">
        <f t="shared" si="9"/>
        <v>252</v>
      </c>
      <c r="AU53" s="68">
        <f t="shared" si="9"/>
        <v>31</v>
      </c>
      <c r="AV53" s="68">
        <f t="shared" si="9"/>
        <v>-17</v>
      </c>
      <c r="AW53" s="68">
        <f t="shared" si="9"/>
        <v>62</v>
      </c>
      <c r="AX53" s="68">
        <f t="shared" si="9"/>
        <v>-235</v>
      </c>
      <c r="AY53" s="68">
        <f t="shared" si="9"/>
        <v>-6</v>
      </c>
      <c r="AZ53" s="68">
        <f t="shared" si="9"/>
        <v>-119</v>
      </c>
    </row>
    <row r="54" spans="1:52" ht="16.5" thickBot="1">
      <c r="A54" s="323">
        <f>'Instant Old no Delete'!A54</f>
        <v>2020</v>
      </c>
      <c r="B54" s="226">
        <v>3680</v>
      </c>
      <c r="C54" s="1">
        <v>3072</v>
      </c>
      <c r="D54" s="1">
        <v>3665</v>
      </c>
      <c r="E54" s="1">
        <v>3681</v>
      </c>
      <c r="F54" s="1">
        <v>4005</v>
      </c>
      <c r="G54" s="1">
        <v>4369</v>
      </c>
      <c r="H54" s="1">
        <v>4261</v>
      </c>
      <c r="I54" s="1">
        <v>4363</v>
      </c>
      <c r="J54" s="1">
        <v>4380</v>
      </c>
      <c r="K54" s="1">
        <v>3997</v>
      </c>
      <c r="L54" s="1">
        <v>3395</v>
      </c>
      <c r="M54" s="1">
        <v>3137</v>
      </c>
      <c r="N54" s="68"/>
      <c r="O54" s="374"/>
      <c r="P54" s="397"/>
      <c r="Q54" s="288" t="s">
        <v>293</v>
      </c>
      <c r="R54" s="259">
        <f t="shared" si="11"/>
        <v>3680</v>
      </c>
      <c r="S54" s="257">
        <f t="shared" si="0"/>
        <v>4380</v>
      </c>
      <c r="T54" s="317">
        <f t="shared" si="6"/>
        <v>3434</v>
      </c>
      <c r="U54" s="318">
        <f t="shared" si="1"/>
        <v>3680</v>
      </c>
      <c r="Z54" s="291">
        <f t="shared" si="12"/>
        <v>2020</v>
      </c>
      <c r="AA54" s="320">
        <f>IF(B172&lt;1000,(B54/$R54)," ")</f>
        <v>1</v>
      </c>
      <c r="AB54" s="321" t="str">
        <f>IF(C172&lt;1000,(C54/$R54)," ")</f>
        <v xml:space="preserve"> </v>
      </c>
      <c r="AC54" s="321">
        <f t="shared" ref="AC54:AH54" si="13">IF(D172&gt;1200,(D54/$S54)," ")</f>
        <v>0.83675799086757996</v>
      </c>
      <c r="AD54" s="321">
        <f t="shared" si="13"/>
        <v>0.84041095890410955</v>
      </c>
      <c r="AE54" s="321">
        <f t="shared" si="13"/>
        <v>0.91438356164383561</v>
      </c>
      <c r="AF54" s="321">
        <f t="shared" si="13"/>
        <v>0.99748858447488586</v>
      </c>
      <c r="AG54" s="321">
        <f t="shared" si="13"/>
        <v>0.97283105022831051</v>
      </c>
      <c r="AH54" s="321">
        <f t="shared" si="13"/>
        <v>0.99611872146118718</v>
      </c>
      <c r="AI54" s="321"/>
      <c r="AJ54" s="321"/>
      <c r="AK54" s="321"/>
      <c r="AL54" s="369"/>
      <c r="AN54" s="1">
        <f>Z54</f>
        <v>2020</v>
      </c>
      <c r="AO54" s="76">
        <f t="shared" si="10"/>
        <v>448</v>
      </c>
      <c r="AP54" s="68">
        <f t="shared" si="10"/>
        <v>-160</v>
      </c>
      <c r="AQ54" s="68">
        <f t="shared" si="10"/>
        <v>426</v>
      </c>
      <c r="AR54" s="68">
        <f t="shared" si="9"/>
        <v>46</v>
      </c>
      <c r="AS54" s="68">
        <f t="shared" si="9"/>
        <v>-313</v>
      </c>
      <c r="AT54" s="68">
        <f t="shared" si="9"/>
        <v>-59</v>
      </c>
      <c r="AU54" s="68">
        <f t="shared" si="9"/>
        <v>45</v>
      </c>
      <c r="AV54" s="68">
        <f t="shared" si="9"/>
        <v>118</v>
      </c>
      <c r="AW54" s="68">
        <f t="shared" si="9"/>
        <v>139</v>
      </c>
      <c r="AX54" s="68">
        <f t="shared" si="9"/>
        <v>202</v>
      </c>
      <c r="AY54" s="68">
        <f t="shared" si="9"/>
        <v>-39</v>
      </c>
      <c r="AZ54" s="68">
        <f t="shared" si="9"/>
        <v>237</v>
      </c>
    </row>
    <row r="55" spans="1:52" ht="16.5" thickBot="1">
      <c r="A55" s="323">
        <f>'Instant Old no Delete'!A55</f>
        <v>2021</v>
      </c>
      <c r="B55" s="1">
        <v>3054</v>
      </c>
      <c r="C55" s="1">
        <v>3547</v>
      </c>
      <c r="D55" s="402">
        <v>3590</v>
      </c>
      <c r="E55" s="1">
        <v>3761</v>
      </c>
      <c r="F55" s="1">
        <v>4206</v>
      </c>
      <c r="G55" s="1">
        <v>4180</v>
      </c>
      <c r="H55" s="1">
        <v>4325</v>
      </c>
      <c r="I55" s="198">
        <v>4514</v>
      </c>
      <c r="J55" s="1">
        <v>4134</v>
      </c>
      <c r="K55" s="1">
        <v>4074</v>
      </c>
      <c r="L55" s="1">
        <v>3029</v>
      </c>
      <c r="M55" s="1">
        <v>3041</v>
      </c>
      <c r="N55" s="68"/>
      <c r="O55" s="374"/>
      <c r="P55" s="397"/>
      <c r="Q55" s="288" t="s">
        <v>299</v>
      </c>
      <c r="R55" s="259">
        <f t="shared" si="11"/>
        <v>3590</v>
      </c>
      <c r="S55" s="289">
        <f t="shared" si="0"/>
        <v>4514</v>
      </c>
      <c r="T55" s="317">
        <f t="shared" si="6"/>
        <v>3395</v>
      </c>
      <c r="U55" s="318">
        <f t="shared" si="1"/>
        <v>3590</v>
      </c>
      <c r="Z55" s="457">
        <f t="shared" si="12"/>
        <v>2021</v>
      </c>
      <c r="AA55" s="456">
        <f>IF(B176&lt;1000,(B55/$R55)," ")</f>
        <v>0.85069637883008353</v>
      </c>
      <c r="AB55" s="321">
        <f>IF(C176&lt;1000,(C55/$R55)," ")</f>
        <v>0.98802228412256266</v>
      </c>
      <c r="AC55" s="321" t="str">
        <f t="shared" ref="AC55:AH55" si="14">IF(D176&gt;1200,(D55/$S55)," ")</f>
        <v xml:space="preserve"> </v>
      </c>
      <c r="AD55" s="321" t="str">
        <f t="shared" si="14"/>
        <v xml:space="preserve"> </v>
      </c>
      <c r="AE55" s="321" t="str">
        <f t="shared" si="14"/>
        <v xml:space="preserve"> </v>
      </c>
      <c r="AF55" s="321" t="str">
        <f t="shared" si="14"/>
        <v xml:space="preserve"> </v>
      </c>
      <c r="AG55" s="321" t="str">
        <f t="shared" si="14"/>
        <v xml:space="preserve"> </v>
      </c>
      <c r="AH55" s="321" t="str">
        <f t="shared" si="14"/>
        <v xml:space="preserve"> </v>
      </c>
      <c r="AI55" s="321"/>
      <c r="AJ55" s="321"/>
      <c r="AK55" s="321"/>
      <c r="AL55" s="369"/>
      <c r="AN55" s="1">
        <f t="shared" si="3"/>
        <v>2021</v>
      </c>
      <c r="AO55" s="76">
        <f t="shared" si="10"/>
        <v>-626</v>
      </c>
      <c r="AP55" s="68">
        <f t="shared" si="10"/>
        <v>475</v>
      </c>
      <c r="AQ55" s="68">
        <f t="shared" si="10"/>
        <v>-75</v>
      </c>
      <c r="AR55" s="68">
        <f t="shared" si="9"/>
        <v>80</v>
      </c>
      <c r="AS55" s="68">
        <f t="shared" si="9"/>
        <v>201</v>
      </c>
      <c r="AT55" s="68">
        <f t="shared" si="9"/>
        <v>-189</v>
      </c>
      <c r="AU55" s="68">
        <f t="shared" si="9"/>
        <v>64</v>
      </c>
      <c r="AV55" s="68">
        <f t="shared" si="9"/>
        <v>151</v>
      </c>
      <c r="AW55" s="68">
        <f t="shared" si="9"/>
        <v>-246</v>
      </c>
      <c r="AX55" s="68">
        <f t="shared" si="9"/>
        <v>77</v>
      </c>
      <c r="AY55" s="68">
        <f t="shared" si="9"/>
        <v>-366</v>
      </c>
      <c r="AZ55" s="68">
        <f t="shared" si="9"/>
        <v>-96</v>
      </c>
    </row>
    <row r="56" spans="1:52" ht="15.75">
      <c r="A56" s="323">
        <f>'Instant Old no Delete'!A56</f>
        <v>2022</v>
      </c>
      <c r="B56" s="402">
        <v>3893</v>
      </c>
      <c r="C56" s="374">
        <v>3155</v>
      </c>
      <c r="D56" s="1">
        <v>3505</v>
      </c>
      <c r="E56" s="1">
        <v>3654</v>
      </c>
      <c r="F56" s="1">
        <v>4101</v>
      </c>
      <c r="G56" s="22">
        <v>4501</v>
      </c>
      <c r="H56" s="1">
        <v>4480</v>
      </c>
      <c r="I56" s="1">
        <v>4490</v>
      </c>
      <c r="J56" s="1">
        <v>4321</v>
      </c>
      <c r="K56" s="1">
        <v>3684</v>
      </c>
      <c r="L56" s="226">
        <v>3730</v>
      </c>
      <c r="M56" s="1">
        <v>3680</v>
      </c>
      <c r="N56" s="68"/>
      <c r="P56" s="397"/>
      <c r="Q56" s="288" t="s">
        <v>323</v>
      </c>
      <c r="R56" s="259">
        <f>MAX(T56:U56)</f>
        <v>3893</v>
      </c>
      <c r="S56" s="367">
        <f t="shared" si="0"/>
        <v>4501</v>
      </c>
      <c r="T56" s="365">
        <f>MAX(L55:M55)</f>
        <v>3041</v>
      </c>
      <c r="U56" s="318">
        <f t="shared" si="1"/>
        <v>3893</v>
      </c>
      <c r="Z56" s="457">
        <f t="shared" si="12"/>
        <v>2022</v>
      </c>
      <c r="AA56" s="324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69"/>
      <c r="AN56" s="254">
        <f t="shared" si="3"/>
        <v>2022</v>
      </c>
      <c r="AO56" s="76">
        <f t="shared" si="10"/>
        <v>839</v>
      </c>
      <c r="AP56" s="68">
        <f t="shared" si="10"/>
        <v>-392</v>
      </c>
      <c r="AQ56" s="68">
        <f t="shared" si="10"/>
        <v>-85</v>
      </c>
      <c r="AR56" s="68">
        <f t="shared" si="9"/>
        <v>-107</v>
      </c>
      <c r="AS56" s="68">
        <f t="shared" si="9"/>
        <v>-105</v>
      </c>
      <c r="AT56" s="68">
        <f t="shared" si="9"/>
        <v>321</v>
      </c>
      <c r="AU56" s="68">
        <f t="shared" si="9"/>
        <v>155</v>
      </c>
      <c r="AV56" s="68">
        <f t="shared" si="9"/>
        <v>-24</v>
      </c>
      <c r="AW56" s="68">
        <f t="shared" si="9"/>
        <v>187</v>
      </c>
      <c r="AX56" s="68">
        <f t="shared" si="9"/>
        <v>-390</v>
      </c>
      <c r="AY56" s="68">
        <f t="shared" si="9"/>
        <v>701</v>
      </c>
      <c r="AZ56" s="68">
        <f t="shared" si="9"/>
        <v>639</v>
      </c>
    </row>
    <row r="57" spans="1:52" ht="15.75">
      <c r="A57" s="323">
        <f>'Instant Old no Delete'!A57</f>
        <v>2023</v>
      </c>
      <c r="B57" s="374">
        <v>3457</v>
      </c>
      <c r="C57" s="374">
        <v>3393</v>
      </c>
      <c r="D57" s="1">
        <v>3689</v>
      </c>
      <c r="E57" s="1">
        <v>3777</v>
      </c>
      <c r="F57" s="1">
        <v>3986</v>
      </c>
      <c r="G57" s="1">
        <v>4410</v>
      </c>
      <c r="H57" s="1">
        <v>4452</v>
      </c>
      <c r="I57" s="255">
        <v>4754</v>
      </c>
      <c r="J57" s="1">
        <v>4284</v>
      </c>
      <c r="K57" s="1">
        <v>3907</v>
      </c>
      <c r="L57" s="1">
        <v>3448</v>
      </c>
      <c r="M57" s="1">
        <v>3061</v>
      </c>
      <c r="N57" s="68"/>
      <c r="P57" s="397"/>
      <c r="Q57" s="288" t="s">
        <v>332</v>
      </c>
      <c r="R57" s="259">
        <f t="shared" si="11"/>
        <v>3730</v>
      </c>
      <c r="S57" s="367">
        <f t="shared" si="0"/>
        <v>4754</v>
      </c>
      <c r="T57" s="365">
        <f>MAX(L56:M56)</f>
        <v>3730</v>
      </c>
      <c r="U57" s="318">
        <f>MAX(B57:D57)</f>
        <v>3689</v>
      </c>
      <c r="Z57" s="457">
        <f t="shared" si="12"/>
        <v>2023</v>
      </c>
      <c r="AA57" s="324"/>
      <c r="AB57" s="321"/>
      <c r="AC57" s="321"/>
      <c r="AD57" s="321"/>
      <c r="AE57" s="321"/>
      <c r="AF57" s="321"/>
      <c r="AG57" s="321"/>
      <c r="AH57" s="321"/>
      <c r="AI57" s="321"/>
      <c r="AJ57" s="321"/>
      <c r="AK57" s="321"/>
      <c r="AL57" s="321"/>
      <c r="AN57" s="254">
        <f t="shared" si="3"/>
        <v>2023</v>
      </c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</row>
    <row r="58" spans="1:52" ht="15.75">
      <c r="A58" s="323">
        <f>A57+1</f>
        <v>2024</v>
      </c>
      <c r="B58" s="374">
        <v>3133</v>
      </c>
      <c r="C58" s="374">
        <v>2794</v>
      </c>
      <c r="I58" s="255"/>
      <c r="N58" s="68"/>
      <c r="P58" s="397"/>
      <c r="Q58" s="455"/>
      <c r="R58" s="259"/>
      <c r="S58" s="257"/>
      <c r="T58" s="365"/>
      <c r="U58" s="365"/>
      <c r="Z58" s="457">
        <f t="shared" si="12"/>
        <v>2024</v>
      </c>
      <c r="AA58" s="324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N58" s="254">
        <f t="shared" si="3"/>
        <v>2024</v>
      </c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</row>
    <row r="59" spans="1:52" ht="15.75">
      <c r="A59" s="225"/>
      <c r="D59" s="232"/>
      <c r="R59" s="259"/>
      <c r="S59" s="292"/>
    </row>
    <row r="60" spans="1:52">
      <c r="Z60" s="225" t="s">
        <v>52</v>
      </c>
      <c r="AA60" s="324">
        <f>MAX(AA8:AA54)</f>
        <v>1</v>
      </c>
      <c r="AB60" s="321">
        <f t="shared" ref="AB60:AL60" si="15">MAX(AB8:AB54)</f>
        <v>1</v>
      </c>
      <c r="AC60" s="321">
        <f t="shared" si="15"/>
        <v>1.0024213075060533</v>
      </c>
      <c r="AD60" s="321">
        <f t="shared" si="15"/>
        <v>0.93975903614457834</v>
      </c>
      <c r="AE60" s="321">
        <f t="shared" si="15"/>
        <v>0.98421052631578942</v>
      </c>
      <c r="AF60" s="321">
        <f t="shared" si="15"/>
        <v>1</v>
      </c>
      <c r="AG60" s="321">
        <f t="shared" si="15"/>
        <v>1</v>
      </c>
      <c r="AH60" s="321">
        <f t="shared" si="15"/>
        <v>1</v>
      </c>
      <c r="AI60" s="321">
        <f t="shared" si="15"/>
        <v>1</v>
      </c>
      <c r="AJ60" s="321">
        <f t="shared" si="15"/>
        <v>1</v>
      </c>
      <c r="AK60" s="321">
        <f t="shared" si="15"/>
        <v>0.98594847775175642</v>
      </c>
      <c r="AL60" s="321">
        <f t="shared" si="15"/>
        <v>1</v>
      </c>
      <c r="AN60" s="165" t="s">
        <v>52</v>
      </c>
      <c r="AO60" s="68">
        <f>MAX(AO8:AO54)</f>
        <v>919</v>
      </c>
      <c r="AP60" s="68">
        <f t="shared" ref="AP60:AZ60" si="16">MAX(AP8:AP54)</f>
        <v>1022</v>
      </c>
      <c r="AQ60" s="68">
        <f t="shared" si="16"/>
        <v>639</v>
      </c>
      <c r="AR60" s="68">
        <f t="shared" si="16"/>
        <v>467</v>
      </c>
      <c r="AS60" s="68">
        <f t="shared" si="16"/>
        <v>560</v>
      </c>
      <c r="AT60" s="68">
        <f t="shared" si="16"/>
        <v>380</v>
      </c>
      <c r="AU60" s="68">
        <f t="shared" si="16"/>
        <v>445</v>
      </c>
      <c r="AV60" s="68">
        <f t="shared" si="16"/>
        <v>333</v>
      </c>
      <c r="AW60" s="68">
        <f t="shared" si="16"/>
        <v>348</v>
      </c>
      <c r="AX60" s="68">
        <f t="shared" si="16"/>
        <v>467</v>
      </c>
      <c r="AY60" s="68">
        <f t="shared" si="16"/>
        <v>602</v>
      </c>
      <c r="AZ60" s="68">
        <f t="shared" si="16"/>
        <v>1316</v>
      </c>
    </row>
    <row r="61" spans="1:52" ht="15.75">
      <c r="Q61" s="370" t="s">
        <v>237</v>
      </c>
      <c r="R61" s="90" t="s">
        <v>48</v>
      </c>
      <c r="S61" s="90" t="s">
        <v>50</v>
      </c>
      <c r="Z61" s="225" t="s">
        <v>53</v>
      </c>
      <c r="AA61" s="324">
        <f>MIN(AA8:AA54)</f>
        <v>0.75457875457875456</v>
      </c>
      <c r="AB61" s="321">
        <f t="shared" ref="AB61:AL61" si="17">MIN(AB8:AB54)</f>
        <v>0.69623655913978499</v>
      </c>
      <c r="AC61" s="321">
        <f t="shared" si="17"/>
        <v>0.62485481997677117</v>
      </c>
      <c r="AD61" s="321">
        <f t="shared" si="17"/>
        <v>0.70349967595592999</v>
      </c>
      <c r="AE61" s="321">
        <f t="shared" si="17"/>
        <v>0.80330524951393389</v>
      </c>
      <c r="AF61" s="321">
        <f t="shared" si="17"/>
        <v>0.91402714932126694</v>
      </c>
      <c r="AG61" s="321">
        <f t="shared" si="17"/>
        <v>0.91159135559921411</v>
      </c>
      <c r="AH61" s="321">
        <f t="shared" si="17"/>
        <v>0.91355599214145378</v>
      </c>
      <c r="AI61" s="321">
        <f t="shared" si="17"/>
        <v>0.90962671905697445</v>
      </c>
      <c r="AJ61" s="321">
        <f t="shared" si="17"/>
        <v>0.78298485940879592</v>
      </c>
      <c r="AK61" s="321">
        <f t="shared" si="17"/>
        <v>0.70941883767535074</v>
      </c>
      <c r="AL61" s="321">
        <f t="shared" si="17"/>
        <v>0.73570432357043236</v>
      </c>
      <c r="AN61" s="165" t="s">
        <v>53</v>
      </c>
      <c r="AO61" s="68">
        <f>MIN(AO8:AO54)</f>
        <v>-1070</v>
      </c>
      <c r="AP61" s="68">
        <f t="shared" ref="AP61:AZ61" si="18">MIN(AP8:AP54)</f>
        <v>-1122</v>
      </c>
      <c r="AQ61" s="68">
        <f t="shared" si="18"/>
        <v>-752</v>
      </c>
      <c r="AR61" s="68">
        <f t="shared" si="18"/>
        <v>-603</v>
      </c>
      <c r="AS61" s="68">
        <f t="shared" si="18"/>
        <v>-353</v>
      </c>
      <c r="AT61" s="68">
        <f t="shared" si="18"/>
        <v>-285</v>
      </c>
      <c r="AU61" s="68">
        <f t="shared" si="18"/>
        <v>-175</v>
      </c>
      <c r="AV61" s="68">
        <f t="shared" si="18"/>
        <v>-273</v>
      </c>
      <c r="AW61" s="68">
        <f t="shared" si="18"/>
        <v>-134</v>
      </c>
      <c r="AX61" s="68">
        <f t="shared" si="18"/>
        <v>-406</v>
      </c>
      <c r="AY61" s="68">
        <f t="shared" si="18"/>
        <v>-526</v>
      </c>
      <c r="AZ61" s="68">
        <f t="shared" si="18"/>
        <v>-1620</v>
      </c>
    </row>
    <row r="62" spans="1:52" ht="15.75">
      <c r="Q62" s="370" t="s">
        <v>291</v>
      </c>
      <c r="R62" s="268">
        <f>MAX(R10:R56)</f>
        <v>4760</v>
      </c>
      <c r="S62" s="268">
        <f>MAX(S10:S56)</f>
        <v>4514</v>
      </c>
      <c r="Z62" s="225" t="s">
        <v>54</v>
      </c>
      <c r="AA62" s="324">
        <f>AVERAGE(AA8:AA54)</f>
        <v>0.9630132480494944</v>
      </c>
      <c r="AB62" s="321">
        <f t="shared" ref="AB62:AL62" si="19">AVERAGE(AB8:AB54)</f>
        <v>0.90340365577480919</v>
      </c>
      <c r="AC62" s="321">
        <f t="shared" si="19"/>
        <v>0.77038610857850653</v>
      </c>
      <c r="AD62" s="321">
        <f t="shared" si="19"/>
        <v>0.82667766491990735</v>
      </c>
      <c r="AE62" s="321">
        <f t="shared" si="19"/>
        <v>0.91216574776880777</v>
      </c>
      <c r="AF62" s="321">
        <f t="shared" si="19"/>
        <v>0.96984841514271292</v>
      </c>
      <c r="AG62" s="321">
        <f t="shared" si="19"/>
        <v>0.97721233345222247</v>
      </c>
      <c r="AH62" s="321">
        <f t="shared" si="19"/>
        <v>0.98390189809797202</v>
      </c>
      <c r="AI62" s="321">
        <f t="shared" si="19"/>
        <v>0.95731797065478275</v>
      </c>
      <c r="AJ62" s="321">
        <f t="shared" si="19"/>
        <v>0.89139126489325371</v>
      </c>
      <c r="AK62" s="321">
        <f t="shared" si="19"/>
        <v>0.85792255648607629</v>
      </c>
      <c r="AL62" s="321">
        <f t="shared" si="19"/>
        <v>0.85505178682493099</v>
      </c>
      <c r="AM62" s="321"/>
      <c r="AN62" s="1" t="s">
        <v>54</v>
      </c>
      <c r="AO62" s="68">
        <f>AVERAGE(AO23:AO54)</f>
        <v>28.125</v>
      </c>
      <c r="AP62" s="68">
        <f t="shared" ref="AP62:AZ62" si="20">AVERAGE(AP23:AP54)</f>
        <v>22.09375</v>
      </c>
      <c r="AQ62" s="68">
        <f t="shared" si="20"/>
        <v>39.53125</v>
      </c>
      <c r="AR62" s="68">
        <f t="shared" si="20"/>
        <v>48.3125</v>
      </c>
      <c r="AS62" s="68">
        <f t="shared" si="20"/>
        <v>49.84375</v>
      </c>
      <c r="AT62" s="68">
        <f t="shared" si="20"/>
        <v>59.5</v>
      </c>
      <c r="AU62" s="68">
        <f t="shared" si="20"/>
        <v>51.59375</v>
      </c>
      <c r="AV62" s="68">
        <f t="shared" si="20"/>
        <v>56.1875</v>
      </c>
      <c r="AW62" s="68">
        <f t="shared" si="20"/>
        <v>58.59375</v>
      </c>
      <c r="AX62" s="68">
        <f t="shared" si="20"/>
        <v>55.84375</v>
      </c>
      <c r="AY62" s="68">
        <f t="shared" si="20"/>
        <v>42.03125</v>
      </c>
      <c r="AZ62" s="68">
        <f t="shared" si="20"/>
        <v>13.8125</v>
      </c>
    </row>
    <row r="63" spans="1:52" ht="15.75">
      <c r="B63" s="5" t="s">
        <v>5</v>
      </c>
      <c r="O63" s="225"/>
    </row>
    <row r="64" spans="1:52">
      <c r="B64" s="1">
        <v>1</v>
      </c>
      <c r="C64" s="1">
        <v>2</v>
      </c>
      <c r="D64" s="1">
        <v>3</v>
      </c>
      <c r="E64" s="1">
        <v>4</v>
      </c>
      <c r="F64" s="1">
        <v>5</v>
      </c>
      <c r="G64" s="1">
        <v>6</v>
      </c>
      <c r="H64" s="1">
        <v>7</v>
      </c>
      <c r="I64" s="1">
        <v>8</v>
      </c>
      <c r="J64" s="1">
        <v>9</v>
      </c>
      <c r="K64" s="1">
        <v>10</v>
      </c>
      <c r="L64" s="1">
        <v>11</v>
      </c>
      <c r="M64" s="1">
        <v>12</v>
      </c>
    </row>
    <row r="65" spans="1:45">
      <c r="B65" s="165" t="s">
        <v>4</v>
      </c>
      <c r="C65" s="165" t="s">
        <v>8</v>
      </c>
      <c r="D65" s="165" t="s">
        <v>9</v>
      </c>
      <c r="E65" s="165" t="s">
        <v>10</v>
      </c>
      <c r="F65" s="165" t="s">
        <v>11</v>
      </c>
      <c r="G65" s="165" t="s">
        <v>12</v>
      </c>
      <c r="H65" s="165" t="s">
        <v>13</v>
      </c>
      <c r="I65" s="165" t="s">
        <v>15</v>
      </c>
      <c r="J65" s="165" t="s">
        <v>16</v>
      </c>
      <c r="K65" s="165" t="s">
        <v>17</v>
      </c>
      <c r="L65" s="165" t="s">
        <v>18</v>
      </c>
      <c r="M65" s="165" t="s">
        <v>19</v>
      </c>
      <c r="N65" s="165"/>
      <c r="O65" s="165"/>
    </row>
    <row r="66" spans="1:45" ht="15.75">
      <c r="A66" s="1">
        <f>A7</f>
        <v>1973</v>
      </c>
      <c r="B66" s="30">
        <v>30</v>
      </c>
      <c r="C66" s="24">
        <v>10</v>
      </c>
      <c r="D66" s="31">
        <v>15</v>
      </c>
      <c r="E66" s="31">
        <v>25</v>
      </c>
      <c r="F66" s="31">
        <v>29</v>
      </c>
      <c r="G66" s="31">
        <v>6</v>
      </c>
      <c r="H66" s="31">
        <v>25</v>
      </c>
      <c r="I66" s="31">
        <v>27</v>
      </c>
      <c r="J66" s="23">
        <v>14</v>
      </c>
      <c r="K66" s="31">
        <v>3</v>
      </c>
      <c r="L66" s="31">
        <v>5</v>
      </c>
      <c r="M66" s="24">
        <v>17</v>
      </c>
      <c r="AB66" s="225"/>
      <c r="AC66" s="225"/>
      <c r="AD66" s="225"/>
      <c r="AE66" s="225"/>
      <c r="AF66" s="225"/>
      <c r="AG66" s="225"/>
      <c r="AH66" s="225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</row>
    <row r="67" spans="1:45" ht="15.75">
      <c r="A67" s="1">
        <f>A8</f>
        <v>1974</v>
      </c>
      <c r="B67" s="20">
        <v>30</v>
      </c>
      <c r="C67" s="1">
        <v>27</v>
      </c>
      <c r="D67" s="1">
        <v>27</v>
      </c>
      <c r="E67" s="1">
        <v>3</v>
      </c>
      <c r="F67" s="1">
        <v>28</v>
      </c>
      <c r="G67" s="1">
        <v>20</v>
      </c>
      <c r="H67" s="1">
        <v>11</v>
      </c>
      <c r="I67" s="1">
        <v>29</v>
      </c>
      <c r="J67" s="22">
        <v>17</v>
      </c>
      <c r="K67" s="1">
        <v>15</v>
      </c>
      <c r="L67" s="1">
        <v>19</v>
      </c>
      <c r="M67" s="1">
        <v>10</v>
      </c>
      <c r="AB67" s="225"/>
      <c r="AC67" s="225"/>
      <c r="AD67" s="225"/>
      <c r="AE67" s="225"/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</row>
    <row r="68" spans="1:45" ht="15.75">
      <c r="A68" s="1">
        <f>A9</f>
        <v>1975</v>
      </c>
      <c r="B68" s="27">
        <v>15</v>
      </c>
      <c r="C68" s="1">
        <v>26</v>
      </c>
      <c r="D68" s="1">
        <v>4</v>
      </c>
      <c r="E68" s="1">
        <v>30</v>
      </c>
      <c r="F68" s="1">
        <v>26</v>
      </c>
      <c r="G68" s="22">
        <v>16</v>
      </c>
      <c r="H68" s="1">
        <v>8</v>
      </c>
      <c r="I68" s="1">
        <v>25</v>
      </c>
      <c r="J68" s="1">
        <v>5</v>
      </c>
      <c r="K68" s="1">
        <v>8</v>
      </c>
      <c r="L68" s="1">
        <v>24</v>
      </c>
      <c r="M68" s="1">
        <v>22</v>
      </c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</row>
    <row r="69" spans="1:45" ht="15.75">
      <c r="A69" s="1">
        <f>A10</f>
        <v>1976</v>
      </c>
      <c r="B69" s="27">
        <v>19</v>
      </c>
      <c r="C69" s="1">
        <v>3</v>
      </c>
      <c r="D69" s="1">
        <v>29</v>
      </c>
      <c r="E69" s="1">
        <v>28</v>
      </c>
      <c r="F69" s="1">
        <v>13</v>
      </c>
      <c r="G69" s="1">
        <v>17</v>
      </c>
      <c r="H69" s="1">
        <v>14</v>
      </c>
      <c r="I69" s="1">
        <v>26</v>
      </c>
      <c r="J69" s="22">
        <v>28</v>
      </c>
      <c r="K69" s="1">
        <v>7</v>
      </c>
      <c r="L69" s="1">
        <v>30</v>
      </c>
      <c r="M69" s="1">
        <v>22</v>
      </c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</row>
    <row r="70" spans="1:45" ht="15.75">
      <c r="A70" s="1">
        <f>A11</f>
        <v>1977</v>
      </c>
      <c r="B70" s="27">
        <v>18</v>
      </c>
      <c r="C70" s="1">
        <v>17</v>
      </c>
      <c r="D70" s="1">
        <v>21</v>
      </c>
      <c r="E70" s="1">
        <v>4</v>
      </c>
      <c r="F70" s="1">
        <v>26</v>
      </c>
      <c r="G70" s="22">
        <v>27</v>
      </c>
      <c r="H70" s="1">
        <v>27</v>
      </c>
      <c r="I70" s="1">
        <v>17</v>
      </c>
      <c r="J70" s="1">
        <v>7</v>
      </c>
      <c r="K70" s="1">
        <v>10</v>
      </c>
      <c r="L70" s="1">
        <v>30</v>
      </c>
      <c r="M70" s="1">
        <v>28</v>
      </c>
      <c r="AB70" s="225"/>
      <c r="AC70" s="225"/>
      <c r="AD70" s="225"/>
      <c r="AE70" s="225"/>
      <c r="AF70" s="225"/>
      <c r="AG70" s="225"/>
      <c r="AH70" s="225"/>
      <c r="AI70" s="225"/>
      <c r="AJ70" s="225"/>
      <c r="AK70" s="225"/>
      <c r="AL70" s="225"/>
      <c r="AM70" s="225"/>
      <c r="AN70" s="225"/>
      <c r="AO70" s="225"/>
      <c r="AP70" s="225"/>
      <c r="AQ70" s="225"/>
      <c r="AR70" s="225"/>
      <c r="AS70" s="225"/>
    </row>
    <row r="71" spans="1:45" ht="15.75">
      <c r="A71" s="1">
        <f>A12</f>
        <v>1978</v>
      </c>
      <c r="B71" s="20">
        <v>16</v>
      </c>
      <c r="C71" s="21">
        <v>7</v>
      </c>
      <c r="D71" s="1">
        <v>6</v>
      </c>
      <c r="E71" s="1">
        <v>12</v>
      </c>
      <c r="F71" s="1">
        <v>31</v>
      </c>
      <c r="G71" s="22">
        <v>26</v>
      </c>
      <c r="H71" s="1">
        <v>24</v>
      </c>
      <c r="I71" s="1">
        <v>29</v>
      </c>
      <c r="J71" s="1">
        <v>22</v>
      </c>
      <c r="K71" s="1">
        <v>2</v>
      </c>
      <c r="L71" s="1">
        <v>29</v>
      </c>
      <c r="M71" s="1">
        <v>27</v>
      </c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</row>
    <row r="72" spans="1:45" ht="15.75">
      <c r="A72" s="1">
        <f>A13</f>
        <v>1979</v>
      </c>
      <c r="B72" s="27">
        <v>4</v>
      </c>
      <c r="C72" s="1">
        <v>1</v>
      </c>
      <c r="D72" s="1">
        <v>12</v>
      </c>
      <c r="E72" s="1">
        <v>12</v>
      </c>
      <c r="F72" s="1">
        <v>10</v>
      </c>
      <c r="G72" s="1">
        <v>19</v>
      </c>
      <c r="H72" s="22">
        <v>30</v>
      </c>
      <c r="I72" s="1">
        <v>29</v>
      </c>
      <c r="J72" s="1">
        <v>7</v>
      </c>
      <c r="K72" s="1">
        <v>3</v>
      </c>
      <c r="L72" s="1">
        <v>30</v>
      </c>
      <c r="M72" s="1">
        <v>1</v>
      </c>
      <c r="AB72" s="225"/>
      <c r="AC72" s="225"/>
      <c r="AD72" s="225"/>
      <c r="AE72" s="225"/>
      <c r="AF72" s="225"/>
      <c r="AG72" s="225"/>
      <c r="AH72" s="225"/>
      <c r="AI72" s="225"/>
      <c r="AJ72" s="225"/>
      <c r="AK72" s="225"/>
      <c r="AL72" s="225"/>
      <c r="AM72" s="225"/>
      <c r="AN72" s="225"/>
      <c r="AO72" s="225"/>
      <c r="AP72" s="225"/>
      <c r="AQ72" s="225"/>
      <c r="AR72" s="225"/>
      <c r="AS72" s="225"/>
    </row>
    <row r="73" spans="1:45" ht="15.75">
      <c r="A73" s="1">
        <f>A14</f>
        <v>1980</v>
      </c>
      <c r="B73" s="20">
        <v>7</v>
      </c>
      <c r="C73" s="1">
        <v>2</v>
      </c>
      <c r="D73" s="21">
        <v>2</v>
      </c>
      <c r="E73" s="1">
        <v>2</v>
      </c>
      <c r="F73" s="1">
        <v>21</v>
      </c>
      <c r="G73" s="1">
        <v>9</v>
      </c>
      <c r="H73" s="1">
        <v>14</v>
      </c>
      <c r="I73" s="22">
        <v>21</v>
      </c>
      <c r="J73" s="1">
        <v>8</v>
      </c>
      <c r="K73" s="1">
        <v>30</v>
      </c>
      <c r="L73" s="1">
        <v>10</v>
      </c>
      <c r="M73" s="1">
        <v>29</v>
      </c>
      <c r="AB73" s="225"/>
      <c r="AC73" s="225"/>
      <c r="AD73" s="225"/>
      <c r="AE73" s="225"/>
      <c r="AF73" s="225"/>
      <c r="AG73" s="225"/>
      <c r="AH73" s="225"/>
      <c r="AI73" s="225"/>
      <c r="AJ73" s="225"/>
      <c r="AK73" s="225"/>
      <c r="AL73" s="225"/>
      <c r="AM73" s="225"/>
      <c r="AN73" s="225"/>
      <c r="AO73" s="225"/>
      <c r="AP73" s="225"/>
      <c r="AQ73" s="225"/>
      <c r="AR73" s="225"/>
      <c r="AS73" s="225"/>
    </row>
    <row r="74" spans="1:45" ht="15.75">
      <c r="A74" s="1">
        <f>A15</f>
        <v>1981</v>
      </c>
      <c r="B74" s="27">
        <v>13</v>
      </c>
      <c r="C74" s="1">
        <v>3</v>
      </c>
      <c r="D74" s="1">
        <v>23</v>
      </c>
      <c r="E74" s="1">
        <v>14</v>
      </c>
      <c r="F74" s="1">
        <v>18</v>
      </c>
      <c r="G74" s="22">
        <v>16</v>
      </c>
      <c r="H74" s="1">
        <v>7</v>
      </c>
      <c r="I74" s="1">
        <v>6</v>
      </c>
      <c r="J74" s="1">
        <v>1</v>
      </c>
      <c r="K74" s="1">
        <v>2</v>
      </c>
      <c r="L74" s="1">
        <v>23</v>
      </c>
      <c r="M74" s="1">
        <v>11</v>
      </c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S74" s="225"/>
    </row>
    <row r="75" spans="1:45" ht="15.75">
      <c r="A75" s="1">
        <f>A16</f>
        <v>1982</v>
      </c>
      <c r="B75" s="27">
        <v>12</v>
      </c>
      <c r="C75" s="1">
        <v>16</v>
      </c>
      <c r="D75" s="1">
        <v>8</v>
      </c>
      <c r="E75" s="1">
        <v>21</v>
      </c>
      <c r="F75" s="1">
        <v>28</v>
      </c>
      <c r="G75" s="1">
        <v>9</v>
      </c>
      <c r="H75" s="1">
        <v>14</v>
      </c>
      <c r="I75" s="1">
        <v>24</v>
      </c>
      <c r="J75" s="22">
        <v>13</v>
      </c>
      <c r="K75" s="1">
        <v>11</v>
      </c>
      <c r="L75" s="1">
        <v>1</v>
      </c>
      <c r="M75" s="1">
        <v>13</v>
      </c>
      <c r="AB75" s="225"/>
      <c r="AC75" s="225"/>
      <c r="AD75" s="225"/>
      <c r="AE75" s="225"/>
      <c r="AF75" s="225"/>
      <c r="AG75" s="225"/>
      <c r="AH75" s="225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</row>
    <row r="76" spans="1:45" ht="15.75">
      <c r="A76" s="1">
        <f>A17</f>
        <v>1983</v>
      </c>
      <c r="B76" s="27">
        <v>14</v>
      </c>
      <c r="C76" s="1">
        <v>9</v>
      </c>
      <c r="D76" s="1">
        <v>11</v>
      </c>
      <c r="E76" s="1">
        <v>7</v>
      </c>
      <c r="F76" s="1">
        <v>24</v>
      </c>
      <c r="G76" s="1">
        <v>6</v>
      </c>
      <c r="H76" s="22">
        <v>18</v>
      </c>
      <c r="I76" s="1">
        <v>23</v>
      </c>
      <c r="J76" s="1">
        <v>6</v>
      </c>
      <c r="K76" s="1">
        <v>5</v>
      </c>
      <c r="L76" s="1">
        <v>18</v>
      </c>
      <c r="M76" s="1">
        <v>26</v>
      </c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</row>
    <row r="77" spans="1:45" ht="15.75">
      <c r="A77" s="1">
        <f>A18</f>
        <v>1984</v>
      </c>
      <c r="B77" s="20">
        <v>21</v>
      </c>
      <c r="C77" s="21">
        <v>7</v>
      </c>
      <c r="D77" s="1">
        <v>2</v>
      </c>
      <c r="E77" s="1">
        <v>27</v>
      </c>
      <c r="F77" s="1">
        <v>7</v>
      </c>
      <c r="G77" s="1">
        <v>21</v>
      </c>
      <c r="H77" s="22">
        <v>9</v>
      </c>
      <c r="I77" s="1">
        <v>9</v>
      </c>
      <c r="J77" s="1">
        <v>14</v>
      </c>
      <c r="K77" s="1">
        <v>29</v>
      </c>
      <c r="L77" s="1">
        <v>14</v>
      </c>
      <c r="M77" s="1">
        <v>7</v>
      </c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</row>
    <row r="78" spans="1:45" ht="15.75">
      <c r="A78" s="1">
        <f>A19</f>
        <v>1985</v>
      </c>
      <c r="B78" s="27">
        <v>22</v>
      </c>
      <c r="C78" s="1">
        <v>14</v>
      </c>
      <c r="D78" s="1">
        <v>19</v>
      </c>
      <c r="E78" s="1">
        <v>26</v>
      </c>
      <c r="F78" s="1">
        <v>21</v>
      </c>
      <c r="G78" s="22">
        <v>5</v>
      </c>
      <c r="H78" s="1">
        <v>8</v>
      </c>
      <c r="I78" s="1">
        <v>28</v>
      </c>
      <c r="J78" s="1">
        <v>11</v>
      </c>
      <c r="K78" s="1">
        <v>2</v>
      </c>
      <c r="L78" s="1">
        <v>13</v>
      </c>
      <c r="M78" s="1">
        <v>27</v>
      </c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</row>
    <row r="79" spans="1:45" ht="15.75">
      <c r="A79" s="1">
        <f>A20</f>
        <v>1986</v>
      </c>
      <c r="B79" s="27">
        <v>28</v>
      </c>
      <c r="C79" s="1">
        <v>14</v>
      </c>
      <c r="D79" s="1">
        <v>3</v>
      </c>
      <c r="E79" s="1">
        <v>30</v>
      </c>
      <c r="F79" s="1">
        <v>28</v>
      </c>
      <c r="G79" s="1">
        <v>6</v>
      </c>
      <c r="H79" s="1">
        <v>17</v>
      </c>
      <c r="I79" s="22">
        <v>26</v>
      </c>
      <c r="J79" s="1">
        <v>29</v>
      </c>
      <c r="K79" s="1">
        <v>2</v>
      </c>
      <c r="L79" s="1">
        <v>11</v>
      </c>
      <c r="M79" s="1">
        <v>10</v>
      </c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</row>
    <row r="80" spans="1:45" ht="15.75">
      <c r="A80" s="1">
        <f>A21</f>
        <v>1987</v>
      </c>
      <c r="B80" s="20">
        <v>24</v>
      </c>
      <c r="C80" s="21">
        <v>10</v>
      </c>
      <c r="D80" s="1">
        <v>31</v>
      </c>
      <c r="E80" s="1">
        <v>2</v>
      </c>
      <c r="F80" s="1">
        <v>21</v>
      </c>
      <c r="G80" s="1">
        <v>18</v>
      </c>
      <c r="H80" s="1">
        <v>8</v>
      </c>
      <c r="I80" s="22">
        <v>7</v>
      </c>
      <c r="J80" s="1">
        <v>14</v>
      </c>
      <c r="K80" s="1">
        <v>1</v>
      </c>
      <c r="L80" s="1">
        <v>9</v>
      </c>
      <c r="M80" s="1">
        <v>18</v>
      </c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</row>
    <row r="81" spans="1:45" ht="15.75">
      <c r="A81" s="1">
        <f>A22</f>
        <v>1988</v>
      </c>
      <c r="B81" s="27">
        <v>28</v>
      </c>
      <c r="C81" s="1">
        <v>7</v>
      </c>
      <c r="D81" s="1">
        <v>16</v>
      </c>
      <c r="E81" s="1">
        <v>27</v>
      </c>
      <c r="F81" s="1">
        <v>24</v>
      </c>
      <c r="G81" s="1">
        <v>30</v>
      </c>
      <c r="H81" s="22">
        <v>12</v>
      </c>
      <c r="I81" s="1">
        <v>23</v>
      </c>
      <c r="J81" s="1">
        <v>13</v>
      </c>
      <c r="K81" s="1">
        <v>4</v>
      </c>
      <c r="L81" s="1">
        <v>17</v>
      </c>
      <c r="M81" s="1">
        <v>19</v>
      </c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</row>
    <row r="82" spans="1:45" ht="15.75">
      <c r="A82" s="1">
        <f>A23</f>
        <v>1989</v>
      </c>
      <c r="B82" s="20">
        <v>5</v>
      </c>
      <c r="C82" s="21">
        <v>24</v>
      </c>
      <c r="D82" s="1">
        <v>9</v>
      </c>
      <c r="E82" s="1">
        <v>28</v>
      </c>
      <c r="F82" s="1">
        <v>26</v>
      </c>
      <c r="G82" s="22">
        <v>16</v>
      </c>
      <c r="H82" s="1">
        <v>10</v>
      </c>
      <c r="I82" s="1">
        <v>31</v>
      </c>
      <c r="J82" s="1">
        <v>13</v>
      </c>
      <c r="K82" s="1">
        <v>4</v>
      </c>
      <c r="L82" s="1">
        <v>8</v>
      </c>
      <c r="M82" s="21">
        <v>23</v>
      </c>
      <c r="N82" s="5"/>
      <c r="O82" s="5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</row>
    <row r="83" spans="1:45" ht="15.75">
      <c r="A83" s="1">
        <f>A24</f>
        <v>1990</v>
      </c>
      <c r="B83" s="20">
        <v>13</v>
      </c>
      <c r="C83" s="1">
        <v>26</v>
      </c>
      <c r="D83" s="1">
        <v>16</v>
      </c>
      <c r="E83" s="1">
        <v>30</v>
      </c>
      <c r="F83" s="1">
        <v>17</v>
      </c>
      <c r="G83" s="22">
        <v>6</v>
      </c>
      <c r="H83" s="1">
        <v>26</v>
      </c>
      <c r="I83" s="1">
        <v>29</v>
      </c>
      <c r="J83" s="1">
        <v>21</v>
      </c>
      <c r="K83" s="1">
        <v>4</v>
      </c>
      <c r="L83" s="1">
        <v>8</v>
      </c>
      <c r="M83" s="202">
        <v>10</v>
      </c>
      <c r="N83" s="5"/>
      <c r="O83" s="5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</row>
    <row r="84" spans="1:45" ht="15.75">
      <c r="A84" s="1">
        <f>A25</f>
        <v>1991</v>
      </c>
      <c r="B84" s="20">
        <v>23</v>
      </c>
      <c r="C84" s="21">
        <v>16</v>
      </c>
      <c r="D84" s="1">
        <v>11</v>
      </c>
      <c r="E84" s="1">
        <v>29</v>
      </c>
      <c r="F84" s="1">
        <v>15</v>
      </c>
      <c r="G84" s="1">
        <v>20</v>
      </c>
      <c r="H84" s="1">
        <v>22</v>
      </c>
      <c r="I84" s="22">
        <v>12</v>
      </c>
      <c r="J84" s="1">
        <v>6</v>
      </c>
      <c r="K84" s="1">
        <v>3</v>
      </c>
      <c r="L84" s="1">
        <v>26</v>
      </c>
      <c r="M84" s="1">
        <v>5</v>
      </c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</row>
    <row r="85" spans="1:45" ht="15.75">
      <c r="A85" s="1">
        <f>A26</f>
        <v>1992</v>
      </c>
      <c r="B85" s="27">
        <v>17</v>
      </c>
      <c r="C85" s="1">
        <v>9</v>
      </c>
      <c r="D85" s="1">
        <v>12</v>
      </c>
      <c r="E85" s="1">
        <v>23</v>
      </c>
      <c r="F85" s="1">
        <v>29</v>
      </c>
      <c r="G85" s="1">
        <v>11</v>
      </c>
      <c r="H85" s="22">
        <v>9</v>
      </c>
      <c r="I85" s="1">
        <v>21</v>
      </c>
      <c r="J85" s="1">
        <v>21</v>
      </c>
      <c r="K85" s="1">
        <v>9</v>
      </c>
      <c r="L85" s="1">
        <v>4</v>
      </c>
      <c r="M85" s="1">
        <v>3</v>
      </c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</row>
    <row r="86" spans="1:45" ht="15.75">
      <c r="A86" s="1">
        <f>A27</f>
        <v>1993</v>
      </c>
      <c r="B86" s="20">
        <v>28</v>
      </c>
      <c r="C86" s="1">
        <v>19</v>
      </c>
      <c r="D86" s="21">
        <v>15</v>
      </c>
      <c r="E86" s="1">
        <v>14</v>
      </c>
      <c r="F86" s="1">
        <v>18</v>
      </c>
      <c r="G86" s="1">
        <v>9</v>
      </c>
      <c r="H86" s="1">
        <v>29</v>
      </c>
      <c r="I86" s="22">
        <v>5</v>
      </c>
      <c r="J86" s="1">
        <v>13</v>
      </c>
      <c r="K86" s="1">
        <v>22</v>
      </c>
      <c r="L86" s="1">
        <v>15</v>
      </c>
      <c r="M86" s="1">
        <v>27</v>
      </c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</row>
    <row r="87" spans="1:45" ht="15.75">
      <c r="A87" s="1">
        <f>A28</f>
        <v>1994</v>
      </c>
      <c r="B87" s="20">
        <v>6</v>
      </c>
      <c r="C87" s="21">
        <v>3</v>
      </c>
      <c r="D87" s="1">
        <v>28</v>
      </c>
      <c r="E87" s="1">
        <v>26</v>
      </c>
      <c r="F87" s="1">
        <v>31</v>
      </c>
      <c r="G87" s="22">
        <v>27</v>
      </c>
      <c r="H87" s="1">
        <v>11</v>
      </c>
      <c r="I87" s="1">
        <v>18</v>
      </c>
      <c r="J87" s="1">
        <v>2</v>
      </c>
      <c r="K87" s="1">
        <v>4</v>
      </c>
      <c r="L87" s="1">
        <v>9</v>
      </c>
      <c r="M87" s="1">
        <v>5</v>
      </c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</row>
    <row r="88" spans="1:45" ht="15.75">
      <c r="A88" s="1">
        <f>A29</f>
        <v>1995</v>
      </c>
      <c r="B88" s="20">
        <v>25</v>
      </c>
      <c r="C88" s="21">
        <v>9</v>
      </c>
      <c r="D88" s="1">
        <v>10</v>
      </c>
      <c r="E88" s="1">
        <v>21</v>
      </c>
      <c r="F88" s="1">
        <v>18</v>
      </c>
      <c r="G88" s="1">
        <v>9</v>
      </c>
      <c r="H88" s="1">
        <v>5</v>
      </c>
      <c r="I88" s="22">
        <v>15</v>
      </c>
      <c r="J88" s="1">
        <v>14</v>
      </c>
      <c r="K88" s="1">
        <v>12</v>
      </c>
      <c r="L88" s="1">
        <v>2</v>
      </c>
      <c r="M88" s="1">
        <v>11</v>
      </c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</row>
    <row r="89" spans="1:45" ht="15.75">
      <c r="A89" s="1">
        <f>A30</f>
        <v>1996</v>
      </c>
      <c r="B89" s="20">
        <v>9</v>
      </c>
      <c r="C89" s="21">
        <v>5</v>
      </c>
      <c r="D89" s="1">
        <v>9</v>
      </c>
      <c r="E89" s="1">
        <v>29</v>
      </c>
      <c r="F89" s="1">
        <v>23</v>
      </c>
      <c r="G89" s="1">
        <v>25</v>
      </c>
      <c r="H89" s="22">
        <v>25</v>
      </c>
      <c r="I89" s="1">
        <v>7</v>
      </c>
      <c r="J89" s="1">
        <v>3</v>
      </c>
      <c r="K89" s="1">
        <v>1</v>
      </c>
      <c r="L89" s="1">
        <v>1</v>
      </c>
      <c r="M89" s="1">
        <v>20</v>
      </c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</row>
    <row r="90" spans="1:45" ht="15.75">
      <c r="A90" s="1">
        <f>A31</f>
        <v>1997</v>
      </c>
      <c r="B90" s="27">
        <v>19</v>
      </c>
      <c r="C90" s="1">
        <v>12</v>
      </c>
      <c r="D90" s="1">
        <v>3</v>
      </c>
      <c r="E90" s="1">
        <v>22</v>
      </c>
      <c r="F90" s="22">
        <v>27</v>
      </c>
      <c r="G90" s="1">
        <v>18</v>
      </c>
      <c r="H90" s="1">
        <v>3</v>
      </c>
      <c r="I90" s="1">
        <v>18</v>
      </c>
      <c r="J90" s="1">
        <v>17</v>
      </c>
      <c r="K90" s="1">
        <v>1</v>
      </c>
      <c r="L90" s="1">
        <v>1</v>
      </c>
      <c r="M90" s="1">
        <v>15</v>
      </c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</row>
    <row r="91" spans="1:45" ht="15.75">
      <c r="A91" s="1">
        <f>A32</f>
        <v>1998</v>
      </c>
      <c r="B91" s="20">
        <v>29</v>
      </c>
      <c r="C91" s="1">
        <v>10</v>
      </c>
      <c r="D91" s="21">
        <v>13</v>
      </c>
      <c r="E91" s="1">
        <v>2</v>
      </c>
      <c r="F91" s="1">
        <v>22</v>
      </c>
      <c r="G91" s="1">
        <v>12</v>
      </c>
      <c r="H91" s="1">
        <v>2</v>
      </c>
      <c r="I91" s="22">
        <v>17</v>
      </c>
      <c r="J91" s="1">
        <v>1</v>
      </c>
      <c r="K91" s="1">
        <v>6</v>
      </c>
      <c r="L91" s="1">
        <v>2</v>
      </c>
      <c r="M91" s="1">
        <v>7</v>
      </c>
    </row>
    <row r="92" spans="1:45" ht="15.75">
      <c r="A92" s="1">
        <f>A33</f>
        <v>1999</v>
      </c>
      <c r="B92" s="27">
        <v>6</v>
      </c>
      <c r="C92" s="1">
        <v>23</v>
      </c>
      <c r="D92" s="1">
        <v>5</v>
      </c>
      <c r="E92" s="1">
        <v>27</v>
      </c>
      <c r="F92" s="1">
        <v>25</v>
      </c>
      <c r="G92" s="1">
        <v>15</v>
      </c>
      <c r="H92" s="1">
        <v>20</v>
      </c>
      <c r="I92" s="22">
        <v>30</v>
      </c>
      <c r="J92" s="1">
        <v>3</v>
      </c>
      <c r="K92" s="1">
        <v>1</v>
      </c>
      <c r="L92" s="1">
        <v>1</v>
      </c>
      <c r="M92" s="1">
        <v>2</v>
      </c>
    </row>
    <row r="93" spans="1:45" ht="15.75">
      <c r="A93" s="165">
        <f>A34</f>
        <v>2000</v>
      </c>
      <c r="B93" s="27">
        <v>27</v>
      </c>
      <c r="C93" s="1">
        <v>6</v>
      </c>
      <c r="D93" s="1">
        <v>31</v>
      </c>
      <c r="E93" s="1">
        <v>20</v>
      </c>
      <c r="F93" s="1">
        <v>25</v>
      </c>
      <c r="G93" s="1">
        <v>5</v>
      </c>
      <c r="H93" s="1">
        <v>12</v>
      </c>
      <c r="I93" s="22">
        <v>8</v>
      </c>
      <c r="J93" s="1">
        <v>13</v>
      </c>
      <c r="K93" s="1">
        <v>5</v>
      </c>
      <c r="L93" s="1">
        <v>8</v>
      </c>
      <c r="M93" s="1">
        <v>21</v>
      </c>
      <c r="N93" s="372"/>
    </row>
    <row r="94" spans="1:45" ht="15.75">
      <c r="A94" s="165">
        <f>A35</f>
        <v>2001</v>
      </c>
      <c r="B94" s="27">
        <v>5</v>
      </c>
      <c r="C94" s="1">
        <v>6</v>
      </c>
      <c r="D94" s="1">
        <v>12</v>
      </c>
      <c r="E94" s="1">
        <v>13</v>
      </c>
      <c r="F94" s="1">
        <v>22</v>
      </c>
      <c r="G94" s="1">
        <v>13</v>
      </c>
      <c r="H94" s="1">
        <v>30</v>
      </c>
      <c r="I94" s="22">
        <v>29</v>
      </c>
      <c r="J94" s="1">
        <v>5</v>
      </c>
      <c r="K94" s="1">
        <v>24</v>
      </c>
      <c r="L94" s="1">
        <v>1</v>
      </c>
      <c r="M94" s="1">
        <v>27</v>
      </c>
    </row>
    <row r="95" spans="1:45" ht="15.75">
      <c r="A95" s="165">
        <f>A36</f>
        <v>2002</v>
      </c>
      <c r="B95" s="27">
        <v>9</v>
      </c>
      <c r="C95" s="1">
        <v>28</v>
      </c>
      <c r="D95" s="1">
        <v>5</v>
      </c>
      <c r="E95" s="1">
        <v>30</v>
      </c>
      <c r="F95" s="1">
        <v>8</v>
      </c>
      <c r="G95" s="1">
        <v>3</v>
      </c>
      <c r="H95" s="22">
        <v>17</v>
      </c>
      <c r="I95" s="1">
        <v>6</v>
      </c>
      <c r="J95" s="1">
        <v>4</v>
      </c>
      <c r="K95" s="1">
        <v>1</v>
      </c>
      <c r="L95" s="1">
        <v>11</v>
      </c>
      <c r="M95" s="1">
        <v>16</v>
      </c>
    </row>
    <row r="96" spans="1:45" ht="15.75">
      <c r="A96" s="165">
        <f>A37</f>
        <v>2003</v>
      </c>
      <c r="B96" s="27">
        <v>24</v>
      </c>
      <c r="C96" s="1">
        <v>3</v>
      </c>
      <c r="D96" s="1">
        <v>20</v>
      </c>
      <c r="E96" s="1">
        <v>7</v>
      </c>
      <c r="F96" s="1">
        <v>12</v>
      </c>
      <c r="G96" s="1">
        <v>11</v>
      </c>
      <c r="H96" s="22">
        <v>8</v>
      </c>
      <c r="I96" s="1">
        <v>12</v>
      </c>
      <c r="J96" s="1">
        <v>24</v>
      </c>
      <c r="K96" s="1">
        <v>13</v>
      </c>
      <c r="L96" s="1">
        <v>5</v>
      </c>
      <c r="M96" s="1">
        <v>21</v>
      </c>
    </row>
    <row r="97" spans="1:13" ht="15.75">
      <c r="A97" s="165">
        <f>A38</f>
        <v>2004</v>
      </c>
      <c r="B97" s="27">
        <v>29</v>
      </c>
      <c r="C97" s="1">
        <v>19</v>
      </c>
      <c r="D97" s="1">
        <v>5</v>
      </c>
      <c r="E97" s="1">
        <v>30</v>
      </c>
      <c r="F97" s="1">
        <v>27</v>
      </c>
      <c r="G97" s="22">
        <v>23</v>
      </c>
      <c r="H97" s="1">
        <v>9</v>
      </c>
      <c r="I97" s="1">
        <v>31</v>
      </c>
      <c r="J97" s="1">
        <v>1</v>
      </c>
      <c r="K97" s="1">
        <v>4</v>
      </c>
      <c r="L97" s="1">
        <v>3</v>
      </c>
      <c r="M97" s="1">
        <v>15</v>
      </c>
    </row>
    <row r="98" spans="1:13" ht="15.75">
      <c r="A98" s="165">
        <f>A39</f>
        <v>2005</v>
      </c>
      <c r="B98" s="27">
        <v>24</v>
      </c>
      <c r="C98" s="1">
        <v>11</v>
      </c>
      <c r="D98" s="1">
        <v>31</v>
      </c>
      <c r="E98" s="1">
        <v>30</v>
      </c>
      <c r="F98" s="1">
        <v>30</v>
      </c>
      <c r="G98" s="1">
        <v>15</v>
      </c>
      <c r="H98" s="1">
        <v>22</v>
      </c>
      <c r="I98" s="22">
        <v>16</v>
      </c>
      <c r="J98" s="1">
        <v>19</v>
      </c>
      <c r="K98" s="1">
        <v>3</v>
      </c>
      <c r="L98" s="1">
        <v>8</v>
      </c>
      <c r="M98" s="1">
        <v>22</v>
      </c>
    </row>
    <row r="99" spans="1:13" ht="15.75">
      <c r="A99" s="165">
        <f>A40</f>
        <v>2006</v>
      </c>
      <c r="B99" s="322">
        <v>19</v>
      </c>
      <c r="C99" s="21">
        <v>14</v>
      </c>
      <c r="D99" s="1">
        <v>21</v>
      </c>
      <c r="E99" s="1">
        <v>21</v>
      </c>
      <c r="F99" s="1">
        <v>31</v>
      </c>
      <c r="G99" s="1">
        <v>21</v>
      </c>
      <c r="H99" s="1">
        <v>26</v>
      </c>
      <c r="I99" s="22">
        <v>2</v>
      </c>
      <c r="J99" s="1">
        <v>15</v>
      </c>
      <c r="K99" s="1">
        <v>20</v>
      </c>
      <c r="L99" s="1">
        <v>1</v>
      </c>
      <c r="M99" s="1">
        <v>18</v>
      </c>
    </row>
    <row r="100" spans="1:13" ht="15.75">
      <c r="A100" s="220">
        <f>A41</f>
        <v>2007</v>
      </c>
      <c r="B100" s="260">
        <v>30</v>
      </c>
      <c r="C100" s="192">
        <v>19</v>
      </c>
      <c r="D100" s="68">
        <v>28</v>
      </c>
      <c r="E100" s="68">
        <v>27</v>
      </c>
      <c r="F100" s="68">
        <v>3</v>
      </c>
      <c r="G100" s="68">
        <v>25</v>
      </c>
      <c r="H100" s="68">
        <v>1</v>
      </c>
      <c r="I100" s="256">
        <v>20</v>
      </c>
      <c r="J100" s="68">
        <v>13</v>
      </c>
      <c r="K100" s="68">
        <v>4</v>
      </c>
      <c r="L100" s="68">
        <v>1</v>
      </c>
      <c r="M100" s="68">
        <v>17</v>
      </c>
    </row>
    <row r="101" spans="1:13" ht="15.75">
      <c r="A101" s="220">
        <f>A42</f>
        <v>2008</v>
      </c>
      <c r="B101" s="261">
        <v>3</v>
      </c>
      <c r="C101" s="68">
        <v>28</v>
      </c>
      <c r="D101" s="68">
        <v>19</v>
      </c>
      <c r="E101" s="68">
        <v>3</v>
      </c>
      <c r="F101" s="68">
        <v>10</v>
      </c>
      <c r="G101" s="256">
        <v>6</v>
      </c>
      <c r="H101" s="68">
        <v>21</v>
      </c>
      <c r="I101" s="68">
        <v>7</v>
      </c>
      <c r="J101" s="68">
        <v>3</v>
      </c>
      <c r="K101" s="68">
        <v>8</v>
      </c>
      <c r="L101" s="68">
        <v>13</v>
      </c>
      <c r="M101" s="68">
        <v>3</v>
      </c>
    </row>
    <row r="102" spans="1:13" ht="16.5" thickBot="1">
      <c r="A102" s="220">
        <f>A43</f>
        <v>2009</v>
      </c>
      <c r="B102" s="261">
        <v>22</v>
      </c>
      <c r="C102" s="68">
        <v>6</v>
      </c>
      <c r="D102" s="68">
        <v>3</v>
      </c>
      <c r="E102" s="68">
        <v>1</v>
      </c>
      <c r="F102" s="68">
        <v>11</v>
      </c>
      <c r="G102" s="22">
        <v>22</v>
      </c>
      <c r="H102" s="68">
        <v>29</v>
      </c>
      <c r="I102" s="68">
        <v>20</v>
      </c>
      <c r="J102" s="68">
        <v>21</v>
      </c>
      <c r="K102" s="68">
        <v>9</v>
      </c>
      <c r="L102" s="68">
        <v>1</v>
      </c>
      <c r="M102" s="68">
        <v>14</v>
      </c>
    </row>
    <row r="103" spans="1:13" ht="16.5" thickBot="1">
      <c r="A103" s="220">
        <f>A44</f>
        <v>2010</v>
      </c>
      <c r="B103" s="262">
        <v>11</v>
      </c>
      <c r="C103" s="68">
        <v>26</v>
      </c>
      <c r="D103" s="68">
        <v>5</v>
      </c>
      <c r="E103" s="68">
        <v>23</v>
      </c>
      <c r="F103" s="68">
        <v>3</v>
      </c>
      <c r="G103" s="256">
        <v>11</v>
      </c>
      <c r="H103" s="68">
        <v>28</v>
      </c>
      <c r="I103" s="68">
        <v>19</v>
      </c>
      <c r="J103" s="68">
        <v>13</v>
      </c>
      <c r="K103" s="68">
        <v>28</v>
      </c>
      <c r="L103" s="68">
        <v>3</v>
      </c>
      <c r="M103" s="232">
        <v>15</v>
      </c>
    </row>
    <row r="104" spans="1:13" ht="15.75">
      <c r="A104" s="220">
        <f>A45</f>
        <v>2011</v>
      </c>
      <c r="B104" s="260">
        <v>13</v>
      </c>
      <c r="C104" s="68">
        <v>14</v>
      </c>
      <c r="D104" s="68">
        <v>22</v>
      </c>
      <c r="E104" s="68">
        <v>28</v>
      </c>
      <c r="F104" s="68">
        <v>23</v>
      </c>
      <c r="G104" s="68">
        <v>15</v>
      </c>
      <c r="H104" s="68">
        <v>29</v>
      </c>
      <c r="I104" s="256">
        <v>12</v>
      </c>
      <c r="J104" s="68">
        <v>20</v>
      </c>
      <c r="K104" s="68">
        <v>11</v>
      </c>
      <c r="L104" s="68">
        <v>16</v>
      </c>
      <c r="M104" s="68">
        <v>6</v>
      </c>
    </row>
    <row r="105" spans="1:13" ht="15.75">
      <c r="A105" s="220">
        <f>A46</f>
        <v>2012</v>
      </c>
      <c r="B105" s="261">
        <v>4</v>
      </c>
      <c r="C105" s="68">
        <v>13</v>
      </c>
      <c r="D105" s="68">
        <v>23</v>
      </c>
      <c r="E105" s="68">
        <v>3</v>
      </c>
      <c r="F105" s="68">
        <v>24</v>
      </c>
      <c r="G105" s="68">
        <v>11</v>
      </c>
      <c r="H105" s="68">
        <v>20</v>
      </c>
      <c r="I105" s="22">
        <v>9</v>
      </c>
      <c r="J105" s="68">
        <v>4</v>
      </c>
      <c r="K105" s="68">
        <v>4</v>
      </c>
      <c r="L105" s="68">
        <v>12</v>
      </c>
      <c r="M105" s="68">
        <v>10</v>
      </c>
    </row>
    <row r="106" spans="1:13" ht="15.75">
      <c r="A106" s="220">
        <f>A47</f>
        <v>2013</v>
      </c>
      <c r="B106" s="260">
        <v>9</v>
      </c>
      <c r="C106" s="232">
        <v>18</v>
      </c>
      <c r="D106" s="68">
        <v>8</v>
      </c>
      <c r="E106" s="68">
        <v>16</v>
      </c>
      <c r="F106" s="68">
        <v>24</v>
      </c>
      <c r="G106" s="68">
        <v>25</v>
      </c>
      <c r="H106" s="68">
        <v>31</v>
      </c>
      <c r="I106" s="22">
        <v>13</v>
      </c>
      <c r="J106" s="68">
        <v>4</v>
      </c>
      <c r="K106" s="68">
        <v>1</v>
      </c>
      <c r="L106" s="68">
        <v>1</v>
      </c>
      <c r="M106" s="68">
        <v>9</v>
      </c>
    </row>
    <row r="107" spans="1:13" ht="15.75">
      <c r="A107" s="220">
        <f>A48</f>
        <v>2014</v>
      </c>
      <c r="B107" s="261">
        <v>23</v>
      </c>
      <c r="C107" s="68">
        <v>4</v>
      </c>
      <c r="D107" s="68">
        <v>21</v>
      </c>
      <c r="E107" s="68">
        <v>29</v>
      </c>
      <c r="F107" s="68">
        <v>23</v>
      </c>
      <c r="G107" s="68">
        <v>26</v>
      </c>
      <c r="H107" s="68">
        <v>1</v>
      </c>
      <c r="I107" s="256">
        <v>21</v>
      </c>
      <c r="J107" s="68">
        <v>3</v>
      </c>
      <c r="K107" s="68">
        <v>2</v>
      </c>
      <c r="L107" s="68">
        <v>19</v>
      </c>
      <c r="M107" s="68">
        <v>15</v>
      </c>
    </row>
    <row r="108" spans="1:13" ht="15.75">
      <c r="A108" s="220">
        <f>A49</f>
        <v>2015</v>
      </c>
      <c r="B108" s="260">
        <v>8</v>
      </c>
      <c r="C108" s="232">
        <v>20</v>
      </c>
      <c r="D108" s="68">
        <v>18</v>
      </c>
      <c r="E108" s="68">
        <v>15</v>
      </c>
      <c r="F108" s="68">
        <v>22</v>
      </c>
      <c r="G108" s="68">
        <v>23</v>
      </c>
      <c r="H108" s="68">
        <v>9</v>
      </c>
      <c r="I108" s="256">
        <v>25</v>
      </c>
      <c r="J108" s="68">
        <v>2</v>
      </c>
      <c r="K108" s="68">
        <v>2</v>
      </c>
      <c r="L108" s="232">
        <v>2</v>
      </c>
      <c r="M108" s="68">
        <v>30</v>
      </c>
    </row>
    <row r="109" spans="1:13" ht="15.75">
      <c r="A109" s="220">
        <f>A50</f>
        <v>2016</v>
      </c>
      <c r="B109" s="260">
        <v>25</v>
      </c>
      <c r="C109" s="68">
        <v>11</v>
      </c>
      <c r="D109" s="68">
        <v>31</v>
      </c>
      <c r="E109" s="68">
        <v>29</v>
      </c>
      <c r="F109" s="68">
        <v>19</v>
      </c>
      <c r="G109" s="68">
        <v>23</v>
      </c>
      <c r="H109" s="256">
        <v>5</v>
      </c>
      <c r="I109" s="68">
        <v>22</v>
      </c>
      <c r="J109" s="68">
        <v>9</v>
      </c>
      <c r="K109" s="68">
        <v>5</v>
      </c>
      <c r="L109" s="68">
        <v>1</v>
      </c>
      <c r="M109" s="68">
        <v>19</v>
      </c>
    </row>
    <row r="110" spans="1:13" ht="15.75">
      <c r="A110" s="220">
        <f>A51</f>
        <v>2017</v>
      </c>
      <c r="B110" s="261">
        <v>9</v>
      </c>
      <c r="C110" s="68">
        <v>28</v>
      </c>
      <c r="D110" s="68">
        <v>29</v>
      </c>
      <c r="E110" s="68">
        <v>28</v>
      </c>
      <c r="F110" s="68">
        <v>31</v>
      </c>
      <c r="G110" s="68">
        <v>22</v>
      </c>
      <c r="H110" s="256">
        <v>26</v>
      </c>
      <c r="I110" s="68">
        <v>31</v>
      </c>
      <c r="J110" s="68">
        <v>1</v>
      </c>
      <c r="K110" s="68">
        <v>9</v>
      </c>
      <c r="L110" s="68">
        <v>6</v>
      </c>
      <c r="M110" s="68">
        <v>11</v>
      </c>
    </row>
    <row r="111" spans="1:13" ht="15.75">
      <c r="A111" s="220">
        <f>A52</f>
        <v>2018</v>
      </c>
      <c r="B111" s="261">
        <v>18</v>
      </c>
      <c r="C111" s="68">
        <v>21</v>
      </c>
      <c r="D111" s="68">
        <v>1</v>
      </c>
      <c r="E111" s="68">
        <v>23</v>
      </c>
      <c r="F111" s="68">
        <v>11</v>
      </c>
      <c r="G111" s="68">
        <v>26</v>
      </c>
      <c r="H111" s="68">
        <v>16</v>
      </c>
      <c r="I111" s="256">
        <v>17</v>
      </c>
      <c r="J111" s="68">
        <v>17</v>
      </c>
      <c r="K111" s="68">
        <v>16</v>
      </c>
      <c r="L111" s="232">
        <v>9</v>
      </c>
      <c r="M111" s="68">
        <v>3</v>
      </c>
    </row>
    <row r="112" spans="1:13" ht="15.75">
      <c r="A112" s="220">
        <f>A53</f>
        <v>2019</v>
      </c>
      <c r="B112" s="68">
        <v>29</v>
      </c>
      <c r="C112" s="68">
        <v>22</v>
      </c>
      <c r="D112" s="68">
        <v>15</v>
      </c>
      <c r="E112" s="68">
        <v>30</v>
      </c>
      <c r="F112" s="68">
        <v>28</v>
      </c>
      <c r="G112" s="256">
        <v>25</v>
      </c>
      <c r="H112" s="68">
        <v>16</v>
      </c>
      <c r="I112" s="68">
        <v>22</v>
      </c>
      <c r="J112" s="68">
        <v>5</v>
      </c>
      <c r="K112" s="68">
        <v>28</v>
      </c>
      <c r="L112" s="68">
        <v>7</v>
      </c>
      <c r="M112" s="68">
        <v>17</v>
      </c>
    </row>
    <row r="113" spans="1:28" ht="16.5" thickBot="1">
      <c r="A113" s="220">
        <f>A54</f>
        <v>2020</v>
      </c>
      <c r="B113" s="281">
        <v>22</v>
      </c>
      <c r="C113" s="68">
        <v>18</v>
      </c>
      <c r="D113" s="232">
        <v>30</v>
      </c>
      <c r="E113" s="68">
        <v>12</v>
      </c>
      <c r="F113" s="68">
        <v>22</v>
      </c>
      <c r="G113" s="68">
        <v>25</v>
      </c>
      <c r="H113" s="68">
        <v>13</v>
      </c>
      <c r="I113" s="68">
        <v>25</v>
      </c>
      <c r="J113" s="366">
        <v>4</v>
      </c>
      <c r="K113" s="68">
        <v>8</v>
      </c>
      <c r="L113" s="68">
        <v>15</v>
      </c>
      <c r="M113" s="1">
        <v>26</v>
      </c>
    </row>
    <row r="114" spans="1:28" ht="16.5" thickBot="1">
      <c r="A114" s="220">
        <f>A55</f>
        <v>2021</v>
      </c>
      <c r="B114" s="260">
        <v>19</v>
      </c>
      <c r="C114" s="68">
        <v>4</v>
      </c>
      <c r="D114" s="232">
        <v>31</v>
      </c>
      <c r="E114" s="68">
        <v>29</v>
      </c>
      <c r="F114" s="68">
        <v>4</v>
      </c>
      <c r="G114" s="68">
        <v>11</v>
      </c>
      <c r="H114" s="68">
        <v>23</v>
      </c>
      <c r="I114" s="275">
        <v>18</v>
      </c>
      <c r="J114" s="68">
        <v>13</v>
      </c>
      <c r="K114" s="68">
        <v>7</v>
      </c>
      <c r="L114" s="68">
        <v>3</v>
      </c>
      <c r="M114" s="68">
        <v>31</v>
      </c>
    </row>
    <row r="115" spans="1:28" ht="15.75">
      <c r="A115" s="220">
        <f>A56</f>
        <v>2022</v>
      </c>
      <c r="B115" s="232">
        <v>31</v>
      </c>
      <c r="C115" s="68">
        <v>24</v>
      </c>
      <c r="D115" s="68">
        <v>23</v>
      </c>
      <c r="E115" s="68">
        <v>15</v>
      </c>
      <c r="F115" s="68">
        <v>23</v>
      </c>
      <c r="G115" s="256">
        <v>15</v>
      </c>
      <c r="H115" s="68">
        <v>6</v>
      </c>
      <c r="I115" s="68">
        <v>1</v>
      </c>
      <c r="J115" s="68">
        <v>6</v>
      </c>
      <c r="K115" s="68">
        <v>10</v>
      </c>
      <c r="L115" s="21">
        <v>1</v>
      </c>
      <c r="M115" s="68">
        <v>25</v>
      </c>
    </row>
    <row r="116" spans="1:28" ht="15.75">
      <c r="A116" s="220">
        <f>A57</f>
        <v>2023</v>
      </c>
      <c r="B116" s="1">
        <v>16</v>
      </c>
      <c r="C116" s="68">
        <v>24</v>
      </c>
      <c r="D116" s="1">
        <v>27</v>
      </c>
      <c r="E116" s="68">
        <v>7</v>
      </c>
      <c r="F116" s="68">
        <v>10</v>
      </c>
      <c r="G116" s="68">
        <v>29</v>
      </c>
      <c r="H116" s="68">
        <v>20</v>
      </c>
      <c r="I116" s="22">
        <v>9</v>
      </c>
      <c r="J116" s="1">
        <v>11</v>
      </c>
      <c r="K116" s="1">
        <v>5</v>
      </c>
      <c r="L116" s="1">
        <v>11</v>
      </c>
      <c r="M116" s="1">
        <v>3</v>
      </c>
    </row>
    <row r="117" spans="1:28" ht="15.75">
      <c r="A117" s="220">
        <f>A58</f>
        <v>2024</v>
      </c>
      <c r="B117" s="1">
        <v>21</v>
      </c>
      <c r="C117" s="68">
        <v>11</v>
      </c>
      <c r="E117" s="68"/>
      <c r="F117" s="68"/>
      <c r="G117" s="68"/>
      <c r="H117" s="68"/>
      <c r="I117" s="22"/>
    </row>
    <row r="119" spans="1:28">
      <c r="L119" s="1" t="s">
        <v>88</v>
      </c>
    </row>
    <row r="120" spans="1:28" ht="15.75">
      <c r="B120" s="5" t="s">
        <v>6</v>
      </c>
    </row>
    <row r="122" spans="1:28">
      <c r="B122" s="165" t="s">
        <v>4</v>
      </c>
      <c r="C122" s="165" t="s">
        <v>8</v>
      </c>
      <c r="D122" s="165" t="s">
        <v>9</v>
      </c>
      <c r="E122" s="165" t="s">
        <v>10</v>
      </c>
      <c r="F122" s="165" t="s">
        <v>11</v>
      </c>
      <c r="G122" s="165" t="s">
        <v>12</v>
      </c>
      <c r="H122" s="165" t="s">
        <v>13</v>
      </c>
      <c r="I122" s="165" t="s">
        <v>15</v>
      </c>
      <c r="J122" s="165" t="s">
        <v>16</v>
      </c>
      <c r="K122" s="165" t="s">
        <v>17</v>
      </c>
      <c r="L122" s="165" t="s">
        <v>18</v>
      </c>
      <c r="M122" s="165" t="s">
        <v>19</v>
      </c>
      <c r="N122" s="165"/>
      <c r="O122" s="325"/>
      <c r="P122" s="313" t="s">
        <v>4</v>
      </c>
      <c r="Q122" s="313" t="s">
        <v>8</v>
      </c>
      <c r="R122" s="313" t="s">
        <v>9</v>
      </c>
      <c r="S122" s="313" t="s">
        <v>10</v>
      </c>
      <c r="T122" s="313" t="s">
        <v>11</v>
      </c>
      <c r="U122" s="313" t="s">
        <v>12</v>
      </c>
      <c r="V122" s="313" t="s">
        <v>13</v>
      </c>
      <c r="W122" s="313" t="s">
        <v>15</v>
      </c>
      <c r="X122" s="313" t="s">
        <v>16</v>
      </c>
      <c r="Y122" s="313" t="s">
        <v>17</v>
      </c>
      <c r="Z122" s="313" t="s">
        <v>18</v>
      </c>
      <c r="AA122" s="313" t="s">
        <v>19</v>
      </c>
      <c r="AB122" s="165"/>
    </row>
    <row r="123" spans="1:28">
      <c r="A123" s="1">
        <f>A7</f>
        <v>1973</v>
      </c>
      <c r="B123" s="225">
        <v>727</v>
      </c>
      <c r="C123" s="225">
        <v>1903</v>
      </c>
      <c r="D123" s="225">
        <v>1925</v>
      </c>
      <c r="E123" s="225">
        <v>1943</v>
      </c>
      <c r="F123" s="225">
        <v>1722</v>
      </c>
      <c r="G123" s="225">
        <v>1742</v>
      </c>
      <c r="H123" s="225">
        <v>1638</v>
      </c>
      <c r="I123" s="225">
        <v>1605</v>
      </c>
      <c r="J123" s="225">
        <v>1608</v>
      </c>
      <c r="K123" s="225">
        <v>1625</v>
      </c>
      <c r="L123" s="225">
        <v>1845</v>
      </c>
      <c r="M123" s="225">
        <v>1835</v>
      </c>
      <c r="O123" s="254">
        <f t="shared" ref="O123:O173" si="21">+A123</f>
        <v>1973</v>
      </c>
      <c r="P123" s="225">
        <f t="shared" ref="P123:AA144" si="22">IF(AND(B123&gt;700,B123&lt;1000),1,0)</f>
        <v>1</v>
      </c>
      <c r="Q123" s="225">
        <f t="shared" si="22"/>
        <v>0</v>
      </c>
      <c r="R123" s="225">
        <f t="shared" si="22"/>
        <v>0</v>
      </c>
      <c r="S123" s="225">
        <f t="shared" si="22"/>
        <v>0</v>
      </c>
      <c r="T123" s="225">
        <f t="shared" si="22"/>
        <v>0</v>
      </c>
      <c r="U123" s="225">
        <f t="shared" si="22"/>
        <v>0</v>
      </c>
      <c r="V123" s="225">
        <f t="shared" si="22"/>
        <v>0</v>
      </c>
      <c r="W123" s="225">
        <f t="shared" si="22"/>
        <v>0</v>
      </c>
      <c r="X123" s="225">
        <f t="shared" si="22"/>
        <v>0</v>
      </c>
      <c r="Y123" s="225">
        <f t="shared" si="22"/>
        <v>0</v>
      </c>
      <c r="Z123" s="225">
        <f t="shared" si="22"/>
        <v>0</v>
      </c>
      <c r="AA123" s="225">
        <f t="shared" si="22"/>
        <v>0</v>
      </c>
    </row>
    <row r="124" spans="1:28">
      <c r="A124" s="1">
        <f>A8</f>
        <v>1974</v>
      </c>
      <c r="B124" s="225">
        <v>1911</v>
      </c>
      <c r="C124" s="225">
        <v>615</v>
      </c>
      <c r="D124" s="225">
        <v>1710</v>
      </c>
      <c r="E124" s="225">
        <v>1652</v>
      </c>
      <c r="F124" s="225">
        <v>1703</v>
      </c>
      <c r="G124" s="225">
        <v>1700</v>
      </c>
      <c r="H124" s="225">
        <v>1802</v>
      </c>
      <c r="I124" s="225">
        <v>1625</v>
      </c>
      <c r="J124" s="225">
        <v>1623</v>
      </c>
      <c r="K124" s="225">
        <v>1829</v>
      </c>
      <c r="L124" s="225">
        <v>1825</v>
      </c>
      <c r="M124" s="225">
        <v>1902</v>
      </c>
      <c r="O124" s="254">
        <f t="shared" si="21"/>
        <v>1974</v>
      </c>
      <c r="P124" s="225">
        <f t="shared" si="22"/>
        <v>0</v>
      </c>
      <c r="Q124" s="225">
        <f t="shared" si="22"/>
        <v>0</v>
      </c>
      <c r="R124" s="225">
        <f t="shared" si="22"/>
        <v>0</v>
      </c>
      <c r="S124" s="225">
        <f t="shared" si="22"/>
        <v>0</v>
      </c>
      <c r="T124" s="225">
        <f t="shared" si="22"/>
        <v>0</v>
      </c>
      <c r="U124" s="225">
        <f t="shared" si="22"/>
        <v>0</v>
      </c>
      <c r="V124" s="225">
        <f t="shared" si="22"/>
        <v>0</v>
      </c>
      <c r="W124" s="225">
        <f t="shared" si="22"/>
        <v>0</v>
      </c>
      <c r="X124" s="225">
        <f t="shared" si="22"/>
        <v>0</v>
      </c>
      <c r="Y124" s="225">
        <f t="shared" si="22"/>
        <v>0</v>
      </c>
      <c r="Z124" s="225">
        <f t="shared" si="22"/>
        <v>0</v>
      </c>
      <c r="AA124" s="225">
        <f t="shared" si="22"/>
        <v>0</v>
      </c>
    </row>
    <row r="125" spans="1:28">
      <c r="A125" s="1">
        <f>A9</f>
        <v>1975</v>
      </c>
      <c r="B125" s="225">
        <v>724</v>
      </c>
      <c r="C125" s="225">
        <v>640</v>
      </c>
      <c r="D125" s="225">
        <v>722</v>
      </c>
      <c r="E125" s="225">
        <v>1726</v>
      </c>
      <c r="F125" s="225">
        <v>1708</v>
      </c>
      <c r="G125" s="225">
        <v>1819</v>
      </c>
      <c r="H125" s="225">
        <v>1703</v>
      </c>
      <c r="I125" s="225">
        <v>1558</v>
      </c>
      <c r="J125" s="225">
        <v>1635</v>
      </c>
      <c r="K125" s="225">
        <v>1710</v>
      </c>
      <c r="L125" s="225">
        <v>740</v>
      </c>
      <c r="M125" s="225">
        <v>1835</v>
      </c>
      <c r="O125" s="254">
        <f t="shared" si="21"/>
        <v>1975</v>
      </c>
      <c r="P125" s="225">
        <f t="shared" si="22"/>
        <v>1</v>
      </c>
      <c r="Q125" s="225">
        <f t="shared" si="22"/>
        <v>0</v>
      </c>
      <c r="R125" s="225">
        <f t="shared" si="22"/>
        <v>1</v>
      </c>
      <c r="S125" s="225">
        <f t="shared" si="22"/>
        <v>0</v>
      </c>
      <c r="T125" s="225">
        <f t="shared" si="22"/>
        <v>0</v>
      </c>
      <c r="U125" s="225">
        <f t="shared" si="22"/>
        <v>0</v>
      </c>
      <c r="V125" s="225">
        <f t="shared" si="22"/>
        <v>0</v>
      </c>
      <c r="W125" s="225">
        <f t="shared" si="22"/>
        <v>0</v>
      </c>
      <c r="X125" s="225">
        <f t="shared" si="22"/>
        <v>0</v>
      </c>
      <c r="Y125" s="225">
        <f t="shared" si="22"/>
        <v>0</v>
      </c>
      <c r="Z125" s="225">
        <f t="shared" si="22"/>
        <v>1</v>
      </c>
      <c r="AA125" s="225">
        <f t="shared" si="22"/>
        <v>0</v>
      </c>
    </row>
    <row r="126" spans="1:28">
      <c r="A126" s="1">
        <f>A10</f>
        <v>1976</v>
      </c>
      <c r="B126" s="225">
        <v>732</v>
      </c>
      <c r="C126" s="225">
        <v>725</v>
      </c>
      <c r="D126" s="225">
        <v>1906</v>
      </c>
      <c r="E126" s="225">
        <v>1700</v>
      </c>
      <c r="F126" s="225">
        <v>1657</v>
      </c>
      <c r="G126" s="225">
        <v>1658</v>
      </c>
      <c r="H126" s="225">
        <v>1640</v>
      </c>
      <c r="I126" s="225">
        <v>1555</v>
      </c>
      <c r="J126" s="225">
        <v>1900</v>
      </c>
      <c r="K126" s="225">
        <v>1853</v>
      </c>
      <c r="L126" s="225">
        <v>1917</v>
      </c>
      <c r="M126" s="225">
        <v>820</v>
      </c>
      <c r="O126" s="254">
        <f t="shared" si="21"/>
        <v>1976</v>
      </c>
      <c r="P126" s="225">
        <f t="shared" si="22"/>
        <v>1</v>
      </c>
      <c r="Q126" s="225">
        <f t="shared" si="22"/>
        <v>1</v>
      </c>
      <c r="R126" s="225">
        <f t="shared" si="22"/>
        <v>0</v>
      </c>
      <c r="S126" s="225">
        <f t="shared" si="22"/>
        <v>0</v>
      </c>
      <c r="T126" s="225">
        <f t="shared" si="22"/>
        <v>0</v>
      </c>
      <c r="U126" s="225">
        <f t="shared" si="22"/>
        <v>0</v>
      </c>
      <c r="V126" s="225">
        <f t="shared" si="22"/>
        <v>0</v>
      </c>
      <c r="W126" s="225">
        <f t="shared" si="22"/>
        <v>0</v>
      </c>
      <c r="X126" s="225">
        <f t="shared" si="22"/>
        <v>0</v>
      </c>
      <c r="Y126" s="225">
        <f t="shared" si="22"/>
        <v>0</v>
      </c>
      <c r="Z126" s="225">
        <f t="shared" si="22"/>
        <v>0</v>
      </c>
      <c r="AA126" s="225">
        <f t="shared" si="22"/>
        <v>1</v>
      </c>
    </row>
    <row r="127" spans="1:28">
      <c r="A127" s="1">
        <f>A11</f>
        <v>1977</v>
      </c>
      <c r="B127" s="225">
        <v>723</v>
      </c>
      <c r="C127" s="225">
        <v>715</v>
      </c>
      <c r="D127" s="225">
        <v>1915</v>
      </c>
      <c r="E127" s="225">
        <v>1945</v>
      </c>
      <c r="F127" s="225">
        <v>1728</v>
      </c>
      <c r="G127" s="225">
        <v>1643</v>
      </c>
      <c r="H127" s="225">
        <v>1606</v>
      </c>
      <c r="I127" s="225">
        <v>1645</v>
      </c>
      <c r="J127" s="225">
        <v>1631</v>
      </c>
      <c r="K127" s="225">
        <v>1653</v>
      </c>
      <c r="L127" s="225">
        <v>1823</v>
      </c>
      <c r="M127" s="225">
        <v>812</v>
      </c>
      <c r="O127" s="254">
        <f t="shared" si="21"/>
        <v>1977</v>
      </c>
      <c r="P127" s="225">
        <f t="shared" si="22"/>
        <v>1</v>
      </c>
      <c r="Q127" s="225">
        <f t="shared" si="22"/>
        <v>1</v>
      </c>
      <c r="R127" s="225">
        <f t="shared" si="22"/>
        <v>0</v>
      </c>
      <c r="S127" s="225">
        <f t="shared" si="22"/>
        <v>0</v>
      </c>
      <c r="T127" s="225">
        <f t="shared" si="22"/>
        <v>0</v>
      </c>
      <c r="U127" s="225">
        <f t="shared" si="22"/>
        <v>0</v>
      </c>
      <c r="V127" s="225">
        <f t="shared" si="22"/>
        <v>0</v>
      </c>
      <c r="W127" s="225">
        <f t="shared" si="22"/>
        <v>0</v>
      </c>
      <c r="X127" s="225">
        <f t="shared" si="22"/>
        <v>0</v>
      </c>
      <c r="Y127" s="225">
        <f t="shared" si="22"/>
        <v>0</v>
      </c>
      <c r="Z127" s="225">
        <f t="shared" si="22"/>
        <v>0</v>
      </c>
      <c r="AA127" s="225">
        <f t="shared" si="22"/>
        <v>1</v>
      </c>
    </row>
    <row r="128" spans="1:28">
      <c r="A128" s="1">
        <f>A12</f>
        <v>1978</v>
      </c>
      <c r="B128" s="225">
        <v>720</v>
      </c>
      <c r="C128" s="225">
        <v>715</v>
      </c>
      <c r="D128" s="225">
        <v>722</v>
      </c>
      <c r="E128" s="225">
        <v>1935</v>
      </c>
      <c r="F128" s="225">
        <v>1630</v>
      </c>
      <c r="G128" s="225">
        <v>1601</v>
      </c>
      <c r="H128" s="225">
        <v>1547</v>
      </c>
      <c r="I128" s="225">
        <v>1655</v>
      </c>
      <c r="J128" s="225">
        <v>1606</v>
      </c>
      <c r="K128" s="225">
        <v>1620</v>
      </c>
      <c r="L128" s="225">
        <v>1824</v>
      </c>
      <c r="M128" s="225">
        <v>1845</v>
      </c>
      <c r="O128" s="254">
        <f t="shared" si="21"/>
        <v>1978</v>
      </c>
      <c r="P128" s="225">
        <f t="shared" si="22"/>
        <v>1</v>
      </c>
      <c r="Q128" s="225">
        <f t="shared" si="22"/>
        <v>1</v>
      </c>
      <c r="R128" s="225">
        <f t="shared" si="22"/>
        <v>1</v>
      </c>
      <c r="S128" s="225">
        <f t="shared" si="22"/>
        <v>0</v>
      </c>
      <c r="T128" s="225">
        <f t="shared" si="22"/>
        <v>0</v>
      </c>
      <c r="U128" s="225">
        <f t="shared" si="22"/>
        <v>0</v>
      </c>
      <c r="V128" s="225">
        <f t="shared" si="22"/>
        <v>0</v>
      </c>
      <c r="W128" s="225">
        <f t="shared" si="22"/>
        <v>0</v>
      </c>
      <c r="X128" s="225">
        <f t="shared" si="22"/>
        <v>0</v>
      </c>
      <c r="Y128" s="225">
        <f t="shared" si="22"/>
        <v>0</v>
      </c>
      <c r="Z128" s="225">
        <f t="shared" si="22"/>
        <v>0</v>
      </c>
      <c r="AA128" s="225">
        <f t="shared" si="22"/>
        <v>0</v>
      </c>
    </row>
    <row r="129" spans="1:27">
      <c r="A129" s="1">
        <f>A13</f>
        <v>1979</v>
      </c>
      <c r="B129" s="225">
        <v>724</v>
      </c>
      <c r="C129" s="225">
        <v>708</v>
      </c>
      <c r="D129" s="225">
        <v>709</v>
      </c>
      <c r="E129" s="225">
        <v>1920</v>
      </c>
      <c r="F129" s="225">
        <v>1655</v>
      </c>
      <c r="G129" s="225">
        <v>1705</v>
      </c>
      <c r="H129" s="225">
        <v>1655</v>
      </c>
      <c r="I129" s="225">
        <v>1645</v>
      </c>
      <c r="J129" s="225">
        <v>1545</v>
      </c>
      <c r="K129" s="225">
        <v>1558</v>
      </c>
      <c r="L129" s="225">
        <v>1855</v>
      </c>
      <c r="M129" s="225">
        <v>835</v>
      </c>
      <c r="O129" s="254">
        <f t="shared" si="21"/>
        <v>1979</v>
      </c>
      <c r="P129" s="225">
        <f t="shared" si="22"/>
        <v>1</v>
      </c>
      <c r="Q129" s="225">
        <f t="shared" si="22"/>
        <v>1</v>
      </c>
      <c r="R129" s="225">
        <f t="shared" si="22"/>
        <v>1</v>
      </c>
      <c r="S129" s="225">
        <f t="shared" si="22"/>
        <v>0</v>
      </c>
      <c r="T129" s="225">
        <f t="shared" si="22"/>
        <v>0</v>
      </c>
      <c r="U129" s="225">
        <f t="shared" si="22"/>
        <v>0</v>
      </c>
      <c r="V129" s="225">
        <f t="shared" si="22"/>
        <v>0</v>
      </c>
      <c r="W129" s="225">
        <f t="shared" si="22"/>
        <v>0</v>
      </c>
      <c r="X129" s="225">
        <f t="shared" si="22"/>
        <v>0</v>
      </c>
      <c r="Y129" s="225">
        <f t="shared" si="22"/>
        <v>0</v>
      </c>
      <c r="Z129" s="225">
        <f t="shared" si="22"/>
        <v>0</v>
      </c>
      <c r="AA129" s="225">
        <f t="shared" si="22"/>
        <v>1</v>
      </c>
    </row>
    <row r="130" spans="1:27">
      <c r="A130" s="1">
        <f>A14</f>
        <v>1980</v>
      </c>
      <c r="B130" s="225">
        <v>718</v>
      </c>
      <c r="C130" s="225">
        <v>858</v>
      </c>
      <c r="D130" s="225">
        <v>1908</v>
      </c>
      <c r="E130" s="225">
        <v>1903</v>
      </c>
      <c r="F130" s="225">
        <v>1540</v>
      </c>
      <c r="G130" s="225">
        <v>1625</v>
      </c>
      <c r="H130" s="225">
        <v>2015</v>
      </c>
      <c r="I130" s="225">
        <v>1650</v>
      </c>
      <c r="J130" s="225">
        <v>1640</v>
      </c>
      <c r="K130" s="225">
        <v>1822</v>
      </c>
      <c r="L130" s="225">
        <v>1755</v>
      </c>
      <c r="M130" s="225">
        <v>855</v>
      </c>
      <c r="O130" s="254">
        <f t="shared" si="21"/>
        <v>1980</v>
      </c>
      <c r="P130" s="225">
        <f t="shared" si="22"/>
        <v>1</v>
      </c>
      <c r="Q130" s="225">
        <f t="shared" si="22"/>
        <v>1</v>
      </c>
      <c r="R130" s="225">
        <f t="shared" si="22"/>
        <v>0</v>
      </c>
      <c r="S130" s="225">
        <f t="shared" si="22"/>
        <v>0</v>
      </c>
      <c r="T130" s="225">
        <f t="shared" si="22"/>
        <v>0</v>
      </c>
      <c r="U130" s="225">
        <f t="shared" si="22"/>
        <v>0</v>
      </c>
      <c r="V130" s="225">
        <f t="shared" si="22"/>
        <v>0</v>
      </c>
      <c r="W130" s="225">
        <f t="shared" si="22"/>
        <v>0</v>
      </c>
      <c r="X130" s="225">
        <f t="shared" si="22"/>
        <v>0</v>
      </c>
      <c r="Y130" s="225">
        <f t="shared" si="22"/>
        <v>0</v>
      </c>
      <c r="Z130" s="225">
        <f t="shared" si="22"/>
        <v>0</v>
      </c>
      <c r="AA130" s="225">
        <f t="shared" si="22"/>
        <v>1</v>
      </c>
    </row>
    <row r="131" spans="1:27">
      <c r="A131" s="1">
        <f>A15</f>
        <v>1981</v>
      </c>
      <c r="B131" s="225">
        <v>722</v>
      </c>
      <c r="C131" s="225">
        <v>1843</v>
      </c>
      <c r="D131" s="225">
        <v>1916</v>
      </c>
      <c r="E131" s="225">
        <v>1920</v>
      </c>
      <c r="F131" s="225">
        <v>1907</v>
      </c>
      <c r="G131" s="225">
        <v>1853</v>
      </c>
      <c r="H131" s="225">
        <v>1830</v>
      </c>
      <c r="I131" s="225">
        <v>1815</v>
      </c>
      <c r="J131" s="225">
        <v>1858</v>
      </c>
      <c r="K131" s="225">
        <v>1709</v>
      </c>
      <c r="L131" s="225">
        <v>714</v>
      </c>
      <c r="M131" s="225">
        <v>712</v>
      </c>
      <c r="O131" s="254">
        <f t="shared" si="21"/>
        <v>1981</v>
      </c>
      <c r="P131" s="225">
        <f t="shared" si="22"/>
        <v>1</v>
      </c>
      <c r="Q131" s="225">
        <f t="shared" si="22"/>
        <v>0</v>
      </c>
      <c r="R131" s="225">
        <f t="shared" si="22"/>
        <v>0</v>
      </c>
      <c r="S131" s="225">
        <f t="shared" si="22"/>
        <v>0</v>
      </c>
      <c r="T131" s="225">
        <f t="shared" si="22"/>
        <v>0</v>
      </c>
      <c r="U131" s="225">
        <f t="shared" si="22"/>
        <v>0</v>
      </c>
      <c r="V131" s="225">
        <f t="shared" si="22"/>
        <v>0</v>
      </c>
      <c r="W131" s="225">
        <f t="shared" si="22"/>
        <v>0</v>
      </c>
      <c r="X131" s="225">
        <f t="shared" si="22"/>
        <v>0</v>
      </c>
      <c r="Y131" s="225">
        <f t="shared" si="22"/>
        <v>0</v>
      </c>
      <c r="Z131" s="225">
        <f t="shared" si="22"/>
        <v>1</v>
      </c>
      <c r="AA131" s="225">
        <f t="shared" si="22"/>
        <v>1</v>
      </c>
    </row>
    <row r="132" spans="1:27">
      <c r="A132" s="1">
        <f>A16</f>
        <v>1982</v>
      </c>
      <c r="B132" s="225">
        <v>723</v>
      </c>
      <c r="C132" s="225">
        <v>1903</v>
      </c>
      <c r="D132" s="225">
        <v>728</v>
      </c>
      <c r="E132" s="225">
        <v>1919</v>
      </c>
      <c r="F132" s="225">
        <v>1730</v>
      </c>
      <c r="G132" s="225">
        <v>1745</v>
      </c>
      <c r="H132" s="225">
        <v>1705</v>
      </c>
      <c r="I132" s="225">
        <v>1645</v>
      </c>
      <c r="J132" s="225">
        <v>1646</v>
      </c>
      <c r="K132" s="225">
        <v>1625</v>
      </c>
      <c r="L132" s="225">
        <v>1813</v>
      </c>
      <c r="M132" s="225">
        <v>815</v>
      </c>
      <c r="O132" s="254">
        <f t="shared" si="21"/>
        <v>1982</v>
      </c>
      <c r="P132" s="225">
        <f t="shared" si="22"/>
        <v>1</v>
      </c>
      <c r="Q132" s="225">
        <f t="shared" si="22"/>
        <v>0</v>
      </c>
      <c r="R132" s="225">
        <f t="shared" si="22"/>
        <v>1</v>
      </c>
      <c r="S132" s="225">
        <f t="shared" si="22"/>
        <v>0</v>
      </c>
      <c r="T132" s="225">
        <f t="shared" si="22"/>
        <v>0</v>
      </c>
      <c r="U132" s="225">
        <f t="shared" si="22"/>
        <v>0</v>
      </c>
      <c r="V132" s="225">
        <f t="shared" si="22"/>
        <v>0</v>
      </c>
      <c r="W132" s="225">
        <f t="shared" si="22"/>
        <v>0</v>
      </c>
      <c r="X132" s="225">
        <f t="shared" si="22"/>
        <v>0</v>
      </c>
      <c r="Y132" s="225">
        <f t="shared" si="22"/>
        <v>0</v>
      </c>
      <c r="Z132" s="225">
        <f t="shared" si="22"/>
        <v>0</v>
      </c>
      <c r="AA132" s="225">
        <f t="shared" si="22"/>
        <v>1</v>
      </c>
    </row>
    <row r="133" spans="1:27">
      <c r="A133" s="1">
        <f>A17</f>
        <v>1983</v>
      </c>
      <c r="B133" s="225">
        <v>715</v>
      </c>
      <c r="C133" s="225">
        <v>728</v>
      </c>
      <c r="D133" s="225">
        <v>1912</v>
      </c>
      <c r="E133" s="225">
        <v>1919</v>
      </c>
      <c r="F133" s="225">
        <v>1734</v>
      </c>
      <c r="G133" s="225">
        <v>1736</v>
      </c>
      <c r="H133" s="225">
        <v>1744</v>
      </c>
      <c r="I133" s="225">
        <v>1633</v>
      </c>
      <c r="J133" s="225">
        <v>1724</v>
      </c>
      <c r="K133" s="225">
        <v>1714</v>
      </c>
      <c r="L133" s="225">
        <v>706</v>
      </c>
      <c r="M133" s="225">
        <v>917</v>
      </c>
      <c r="O133" s="254">
        <f t="shared" si="21"/>
        <v>1983</v>
      </c>
      <c r="P133" s="225">
        <f t="shared" si="22"/>
        <v>1</v>
      </c>
      <c r="Q133" s="225">
        <f t="shared" si="22"/>
        <v>1</v>
      </c>
      <c r="R133" s="225">
        <f t="shared" si="22"/>
        <v>0</v>
      </c>
      <c r="S133" s="225">
        <f t="shared" si="22"/>
        <v>0</v>
      </c>
      <c r="T133" s="225">
        <f t="shared" si="22"/>
        <v>0</v>
      </c>
      <c r="U133" s="225">
        <f t="shared" si="22"/>
        <v>0</v>
      </c>
      <c r="V133" s="225">
        <f t="shared" si="22"/>
        <v>0</v>
      </c>
      <c r="W133" s="225">
        <f t="shared" si="22"/>
        <v>0</v>
      </c>
      <c r="X133" s="225">
        <f t="shared" si="22"/>
        <v>0</v>
      </c>
      <c r="Y133" s="225">
        <f t="shared" si="22"/>
        <v>0</v>
      </c>
      <c r="Z133" s="225">
        <f t="shared" si="22"/>
        <v>1</v>
      </c>
      <c r="AA133" s="225">
        <f t="shared" si="22"/>
        <v>1</v>
      </c>
    </row>
    <row r="134" spans="1:27">
      <c r="A134" s="1">
        <f>A18</f>
        <v>1984</v>
      </c>
      <c r="B134" s="225">
        <v>959</v>
      </c>
      <c r="C134" s="225">
        <v>708</v>
      </c>
      <c r="D134" s="225">
        <v>708</v>
      </c>
      <c r="E134" s="225">
        <v>1642</v>
      </c>
      <c r="F134" s="225">
        <v>1620</v>
      </c>
      <c r="G134" s="225">
        <v>1829</v>
      </c>
      <c r="H134" s="225">
        <v>1702</v>
      </c>
      <c r="I134" s="225">
        <v>1735</v>
      </c>
      <c r="J134" s="225">
        <v>1705</v>
      </c>
      <c r="K134" s="225">
        <v>1812</v>
      </c>
      <c r="L134" s="225">
        <v>709</v>
      </c>
      <c r="M134" s="225">
        <v>726</v>
      </c>
      <c r="O134" s="254">
        <f t="shared" si="21"/>
        <v>1984</v>
      </c>
      <c r="P134" s="225">
        <f t="shared" si="22"/>
        <v>1</v>
      </c>
      <c r="Q134" s="225">
        <f t="shared" si="22"/>
        <v>1</v>
      </c>
      <c r="R134" s="225">
        <f t="shared" si="22"/>
        <v>1</v>
      </c>
      <c r="S134" s="225">
        <f t="shared" si="22"/>
        <v>0</v>
      </c>
      <c r="T134" s="225">
        <f t="shared" si="22"/>
        <v>0</v>
      </c>
      <c r="U134" s="225">
        <f t="shared" si="22"/>
        <v>0</v>
      </c>
      <c r="V134" s="225">
        <f t="shared" si="22"/>
        <v>0</v>
      </c>
      <c r="W134" s="225">
        <f t="shared" si="22"/>
        <v>0</v>
      </c>
      <c r="X134" s="225">
        <f t="shared" si="22"/>
        <v>0</v>
      </c>
      <c r="Y134" s="225">
        <f t="shared" si="22"/>
        <v>0</v>
      </c>
      <c r="Z134" s="225">
        <f t="shared" si="22"/>
        <v>1</v>
      </c>
      <c r="AA134" s="225">
        <f t="shared" si="22"/>
        <v>1</v>
      </c>
    </row>
    <row r="135" spans="1:27">
      <c r="A135" s="1">
        <f>A19</f>
        <v>1985</v>
      </c>
      <c r="B135" s="225">
        <v>812</v>
      </c>
      <c r="C135" s="225">
        <v>720</v>
      </c>
      <c r="D135" s="225">
        <v>718</v>
      </c>
      <c r="E135" s="225">
        <v>1652</v>
      </c>
      <c r="F135" s="225">
        <v>1718</v>
      </c>
      <c r="G135" s="225">
        <v>1740</v>
      </c>
      <c r="H135" s="225">
        <v>1724</v>
      </c>
      <c r="I135" s="225">
        <v>1610</v>
      </c>
      <c r="J135" s="225">
        <v>1708</v>
      </c>
      <c r="K135" s="225">
        <v>1750</v>
      </c>
      <c r="L135" s="225">
        <v>1815</v>
      </c>
      <c r="M135" s="225">
        <v>815</v>
      </c>
      <c r="O135" s="254">
        <f t="shared" si="21"/>
        <v>1985</v>
      </c>
      <c r="P135" s="225">
        <f t="shared" si="22"/>
        <v>1</v>
      </c>
      <c r="Q135" s="225">
        <f t="shared" si="22"/>
        <v>1</v>
      </c>
      <c r="R135" s="225">
        <f t="shared" si="22"/>
        <v>1</v>
      </c>
      <c r="S135" s="225">
        <f t="shared" si="22"/>
        <v>0</v>
      </c>
      <c r="T135" s="225">
        <f t="shared" si="22"/>
        <v>0</v>
      </c>
      <c r="U135" s="225">
        <f t="shared" si="22"/>
        <v>0</v>
      </c>
      <c r="V135" s="225">
        <f t="shared" si="22"/>
        <v>0</v>
      </c>
      <c r="W135" s="225">
        <f t="shared" si="22"/>
        <v>0</v>
      </c>
      <c r="X135" s="225">
        <f t="shared" si="22"/>
        <v>0</v>
      </c>
      <c r="Y135" s="225">
        <f t="shared" si="22"/>
        <v>0</v>
      </c>
      <c r="Z135" s="225">
        <f t="shared" si="22"/>
        <v>0</v>
      </c>
      <c r="AA135" s="225">
        <f t="shared" si="22"/>
        <v>1</v>
      </c>
    </row>
    <row r="136" spans="1:27">
      <c r="A136" s="1">
        <f>A20</f>
        <v>1986</v>
      </c>
      <c r="B136" s="225">
        <v>714</v>
      </c>
      <c r="C136" s="225">
        <v>720</v>
      </c>
      <c r="D136" s="225">
        <v>655</v>
      </c>
      <c r="E136" s="225">
        <v>1654</v>
      </c>
      <c r="F136" s="225">
        <v>1725</v>
      </c>
      <c r="G136" s="225">
        <v>1632</v>
      </c>
      <c r="H136" s="225">
        <v>1632</v>
      </c>
      <c r="I136" s="225">
        <v>1720</v>
      </c>
      <c r="J136" s="225">
        <v>1715</v>
      </c>
      <c r="K136" s="225">
        <v>1740</v>
      </c>
      <c r="L136" s="225">
        <v>1815</v>
      </c>
      <c r="M136" s="225">
        <v>1840</v>
      </c>
      <c r="O136" s="254">
        <f t="shared" si="21"/>
        <v>1986</v>
      </c>
      <c r="P136" s="225">
        <f t="shared" si="22"/>
        <v>1</v>
      </c>
      <c r="Q136" s="225">
        <f t="shared" si="22"/>
        <v>1</v>
      </c>
      <c r="R136" s="225">
        <f t="shared" si="22"/>
        <v>0</v>
      </c>
      <c r="S136" s="225">
        <f t="shared" si="22"/>
        <v>0</v>
      </c>
      <c r="T136" s="225">
        <f t="shared" si="22"/>
        <v>0</v>
      </c>
      <c r="U136" s="225">
        <f t="shared" si="22"/>
        <v>0</v>
      </c>
      <c r="V136" s="225">
        <f t="shared" si="22"/>
        <v>0</v>
      </c>
      <c r="W136" s="225">
        <f t="shared" si="22"/>
        <v>0</v>
      </c>
      <c r="X136" s="225">
        <f t="shared" si="22"/>
        <v>0</v>
      </c>
      <c r="Y136" s="225">
        <f t="shared" si="22"/>
        <v>0</v>
      </c>
      <c r="Z136" s="225">
        <f t="shared" si="22"/>
        <v>0</v>
      </c>
      <c r="AA136" s="225">
        <f t="shared" si="22"/>
        <v>0</v>
      </c>
    </row>
    <row r="137" spans="1:27">
      <c r="A137" s="1">
        <f>A21</f>
        <v>1987</v>
      </c>
      <c r="B137" s="225">
        <v>820</v>
      </c>
      <c r="C137" s="225">
        <v>720</v>
      </c>
      <c r="D137" s="225">
        <v>1935</v>
      </c>
      <c r="E137" s="225">
        <v>706</v>
      </c>
      <c r="F137" s="225">
        <v>1738</v>
      </c>
      <c r="G137" s="225">
        <v>1718</v>
      </c>
      <c r="H137" s="225">
        <v>1743</v>
      </c>
      <c r="I137" s="225">
        <v>1547</v>
      </c>
      <c r="J137" s="225">
        <v>1712</v>
      </c>
      <c r="K137" s="225">
        <v>1728</v>
      </c>
      <c r="L137" s="225">
        <v>1837</v>
      </c>
      <c r="M137" s="225">
        <v>720</v>
      </c>
      <c r="O137" s="254">
        <f t="shared" si="21"/>
        <v>1987</v>
      </c>
      <c r="P137" s="225">
        <f t="shared" si="22"/>
        <v>1</v>
      </c>
      <c r="Q137" s="225">
        <f t="shared" si="22"/>
        <v>1</v>
      </c>
      <c r="R137" s="225">
        <f t="shared" si="22"/>
        <v>0</v>
      </c>
      <c r="S137" s="225">
        <f t="shared" si="22"/>
        <v>1</v>
      </c>
      <c r="T137" s="225">
        <f t="shared" si="22"/>
        <v>0</v>
      </c>
      <c r="U137" s="225">
        <f t="shared" si="22"/>
        <v>0</v>
      </c>
      <c r="V137" s="225">
        <f t="shared" si="22"/>
        <v>0</v>
      </c>
      <c r="W137" s="225">
        <f t="shared" si="22"/>
        <v>0</v>
      </c>
      <c r="X137" s="225">
        <f t="shared" si="22"/>
        <v>0</v>
      </c>
      <c r="Y137" s="225">
        <f t="shared" si="22"/>
        <v>0</v>
      </c>
      <c r="Z137" s="225">
        <f t="shared" si="22"/>
        <v>0</v>
      </c>
      <c r="AA137" s="225">
        <f t="shared" si="22"/>
        <v>1</v>
      </c>
    </row>
    <row r="138" spans="1:27">
      <c r="A138" s="1">
        <f>A22</f>
        <v>1988</v>
      </c>
      <c r="B138" s="225">
        <v>720</v>
      </c>
      <c r="C138" s="225">
        <v>811</v>
      </c>
      <c r="D138" s="225">
        <v>712</v>
      </c>
      <c r="E138" s="225">
        <v>1702</v>
      </c>
      <c r="F138" s="225">
        <v>1645</v>
      </c>
      <c r="G138" s="225">
        <v>1655</v>
      </c>
      <c r="H138" s="225">
        <v>1727</v>
      </c>
      <c r="I138" s="225">
        <v>1655</v>
      </c>
      <c r="J138" s="225">
        <v>1658</v>
      </c>
      <c r="K138" s="225">
        <v>1655</v>
      </c>
      <c r="L138" s="225">
        <v>1818</v>
      </c>
      <c r="M138" s="225">
        <v>725</v>
      </c>
      <c r="O138" s="254">
        <f t="shared" si="21"/>
        <v>1988</v>
      </c>
      <c r="P138" s="225">
        <f t="shared" si="22"/>
        <v>1</v>
      </c>
      <c r="Q138" s="225">
        <f t="shared" si="22"/>
        <v>1</v>
      </c>
      <c r="R138" s="225">
        <f t="shared" si="22"/>
        <v>1</v>
      </c>
      <c r="S138" s="225">
        <f t="shared" si="22"/>
        <v>0</v>
      </c>
      <c r="T138" s="225">
        <f t="shared" si="22"/>
        <v>0</v>
      </c>
      <c r="U138" s="225">
        <f t="shared" si="22"/>
        <v>0</v>
      </c>
      <c r="V138" s="225">
        <f t="shared" si="22"/>
        <v>0</v>
      </c>
      <c r="W138" s="225">
        <f t="shared" si="22"/>
        <v>0</v>
      </c>
      <c r="X138" s="225">
        <f t="shared" si="22"/>
        <v>0</v>
      </c>
      <c r="Y138" s="225">
        <f t="shared" si="22"/>
        <v>0</v>
      </c>
      <c r="Z138" s="225">
        <f t="shared" si="22"/>
        <v>0</v>
      </c>
      <c r="AA138" s="225">
        <f t="shared" si="22"/>
        <v>1</v>
      </c>
    </row>
    <row r="139" spans="1:27">
      <c r="A139" s="1">
        <f>A23</f>
        <v>1989</v>
      </c>
      <c r="B139" s="225">
        <v>717</v>
      </c>
      <c r="C139" s="225">
        <v>719</v>
      </c>
      <c r="D139" s="225">
        <v>725</v>
      </c>
      <c r="E139" s="225">
        <v>1650</v>
      </c>
      <c r="F139" s="225">
        <v>1709</v>
      </c>
      <c r="G139" s="225">
        <v>1641</v>
      </c>
      <c r="H139" s="225">
        <v>1742</v>
      </c>
      <c r="I139" s="225">
        <v>1713</v>
      </c>
      <c r="J139" s="225">
        <v>1725</v>
      </c>
      <c r="K139" s="225">
        <v>1725</v>
      </c>
      <c r="L139" s="225">
        <v>1826</v>
      </c>
      <c r="M139" s="225">
        <v>1757</v>
      </c>
      <c r="O139" s="254">
        <f t="shared" si="21"/>
        <v>1989</v>
      </c>
      <c r="P139" s="225">
        <f t="shared" si="22"/>
        <v>1</v>
      </c>
      <c r="Q139" s="225">
        <f t="shared" si="22"/>
        <v>1</v>
      </c>
      <c r="R139" s="225">
        <f t="shared" si="22"/>
        <v>1</v>
      </c>
      <c r="S139" s="225">
        <f t="shared" si="22"/>
        <v>0</v>
      </c>
      <c r="T139" s="225">
        <f t="shared" si="22"/>
        <v>0</v>
      </c>
      <c r="U139" s="225">
        <f t="shared" si="22"/>
        <v>0</v>
      </c>
      <c r="V139" s="225">
        <f t="shared" si="22"/>
        <v>0</v>
      </c>
      <c r="W139" s="225">
        <f t="shared" si="22"/>
        <v>0</v>
      </c>
      <c r="X139" s="225">
        <f t="shared" si="22"/>
        <v>0</v>
      </c>
      <c r="Y139" s="225">
        <f t="shared" si="22"/>
        <v>0</v>
      </c>
      <c r="Z139" s="225">
        <f t="shared" si="22"/>
        <v>0</v>
      </c>
      <c r="AA139" s="225">
        <f t="shared" si="22"/>
        <v>0</v>
      </c>
    </row>
    <row r="140" spans="1:27">
      <c r="A140" s="1">
        <f>A24</f>
        <v>1990</v>
      </c>
      <c r="B140" s="225">
        <v>910</v>
      </c>
      <c r="C140" s="225">
        <v>714</v>
      </c>
      <c r="D140" s="225">
        <v>1608</v>
      </c>
      <c r="E140" s="225">
        <v>1742</v>
      </c>
      <c r="F140" s="225">
        <v>1736</v>
      </c>
      <c r="G140" s="225">
        <v>1714</v>
      </c>
      <c r="H140" s="225">
        <v>1644</v>
      </c>
      <c r="I140" s="225">
        <v>1634</v>
      </c>
      <c r="J140" s="225">
        <v>1635</v>
      </c>
      <c r="K140" s="225">
        <v>1648</v>
      </c>
      <c r="L140" s="225">
        <v>1821</v>
      </c>
      <c r="M140" s="225">
        <v>800</v>
      </c>
      <c r="O140" s="254">
        <f t="shared" si="21"/>
        <v>1990</v>
      </c>
      <c r="P140" s="225">
        <f t="shared" si="22"/>
        <v>1</v>
      </c>
      <c r="Q140" s="225">
        <f t="shared" si="22"/>
        <v>1</v>
      </c>
      <c r="R140" s="225">
        <f t="shared" si="22"/>
        <v>0</v>
      </c>
      <c r="S140" s="225">
        <f t="shared" si="22"/>
        <v>0</v>
      </c>
      <c r="T140" s="225">
        <f t="shared" si="22"/>
        <v>0</v>
      </c>
      <c r="U140" s="225">
        <f t="shared" si="22"/>
        <v>0</v>
      </c>
      <c r="V140" s="225">
        <f t="shared" si="22"/>
        <v>0</v>
      </c>
      <c r="W140" s="225">
        <f t="shared" si="22"/>
        <v>0</v>
      </c>
      <c r="X140" s="225">
        <f t="shared" si="22"/>
        <v>0</v>
      </c>
      <c r="Y140" s="225">
        <f t="shared" si="22"/>
        <v>0</v>
      </c>
      <c r="Z140" s="225">
        <f t="shared" si="22"/>
        <v>0</v>
      </c>
      <c r="AA140" s="225">
        <f t="shared" si="22"/>
        <v>1</v>
      </c>
    </row>
    <row r="141" spans="1:27">
      <c r="A141" s="1">
        <f>A25</f>
        <v>1991</v>
      </c>
      <c r="B141" s="225">
        <v>717</v>
      </c>
      <c r="C141" s="225">
        <v>855</v>
      </c>
      <c r="D141" s="225">
        <v>730</v>
      </c>
      <c r="E141" s="225">
        <v>1739</v>
      </c>
      <c r="F141" s="225">
        <v>1653</v>
      </c>
      <c r="G141" s="225">
        <v>1603</v>
      </c>
      <c r="H141" s="225">
        <v>1654</v>
      </c>
      <c r="I141" s="225">
        <v>1523</v>
      </c>
      <c r="J141" s="225">
        <v>1622</v>
      </c>
      <c r="K141" s="225">
        <v>1723</v>
      </c>
      <c r="L141" s="225">
        <v>715</v>
      </c>
      <c r="M141" s="225">
        <v>716</v>
      </c>
      <c r="O141" s="254">
        <f t="shared" si="21"/>
        <v>1991</v>
      </c>
      <c r="P141" s="225">
        <f t="shared" si="22"/>
        <v>1</v>
      </c>
      <c r="Q141" s="225">
        <f t="shared" si="22"/>
        <v>1</v>
      </c>
      <c r="R141" s="225">
        <f t="shared" si="22"/>
        <v>1</v>
      </c>
      <c r="S141" s="225">
        <f t="shared" si="22"/>
        <v>0</v>
      </c>
      <c r="T141" s="225">
        <f t="shared" si="22"/>
        <v>0</v>
      </c>
      <c r="U141" s="225">
        <f t="shared" si="22"/>
        <v>0</v>
      </c>
      <c r="V141" s="225">
        <f t="shared" si="22"/>
        <v>0</v>
      </c>
      <c r="W141" s="225">
        <f t="shared" si="22"/>
        <v>0</v>
      </c>
      <c r="X141" s="225">
        <f t="shared" si="22"/>
        <v>0</v>
      </c>
      <c r="Y141" s="225">
        <f t="shared" si="22"/>
        <v>0</v>
      </c>
      <c r="Z141" s="225">
        <f t="shared" si="22"/>
        <v>1</v>
      </c>
      <c r="AA141" s="225">
        <f t="shared" si="22"/>
        <v>1</v>
      </c>
    </row>
    <row r="142" spans="1:27">
      <c r="A142" s="1">
        <f>A26</f>
        <v>1992</v>
      </c>
      <c r="B142" s="225">
        <v>736</v>
      </c>
      <c r="C142" s="225">
        <v>829</v>
      </c>
      <c r="D142" s="225">
        <v>1902</v>
      </c>
      <c r="E142" s="225">
        <v>1657</v>
      </c>
      <c r="F142" s="225">
        <v>1642</v>
      </c>
      <c r="G142" s="225">
        <v>1716</v>
      </c>
      <c r="H142" s="225">
        <v>1619</v>
      </c>
      <c r="I142" s="225">
        <v>1449</v>
      </c>
      <c r="J142" s="225">
        <v>1650</v>
      </c>
      <c r="K142" s="225">
        <v>1631</v>
      </c>
      <c r="L142" s="225">
        <v>1819</v>
      </c>
      <c r="M142" s="225">
        <v>724</v>
      </c>
      <c r="O142" s="254">
        <f t="shared" si="21"/>
        <v>1992</v>
      </c>
      <c r="P142" s="225">
        <f t="shared" si="22"/>
        <v>1</v>
      </c>
      <c r="Q142" s="225">
        <f t="shared" si="22"/>
        <v>1</v>
      </c>
      <c r="R142" s="225">
        <f t="shared" si="22"/>
        <v>0</v>
      </c>
      <c r="S142" s="225">
        <f t="shared" si="22"/>
        <v>0</v>
      </c>
      <c r="T142" s="225">
        <f t="shared" si="22"/>
        <v>0</v>
      </c>
      <c r="U142" s="225">
        <f t="shared" si="22"/>
        <v>0</v>
      </c>
      <c r="V142" s="225">
        <f t="shared" si="22"/>
        <v>0</v>
      </c>
      <c r="W142" s="225">
        <f t="shared" si="22"/>
        <v>0</v>
      </c>
      <c r="X142" s="225">
        <f t="shared" si="22"/>
        <v>0</v>
      </c>
      <c r="Y142" s="225">
        <f t="shared" si="22"/>
        <v>0</v>
      </c>
      <c r="Z142" s="225">
        <f t="shared" si="22"/>
        <v>0</v>
      </c>
      <c r="AA142" s="225">
        <f t="shared" si="22"/>
        <v>1</v>
      </c>
    </row>
    <row r="143" spans="1:27">
      <c r="A143" s="1">
        <f>A27</f>
        <v>1993</v>
      </c>
      <c r="B143" s="225">
        <v>738</v>
      </c>
      <c r="C143" s="225">
        <v>718</v>
      </c>
      <c r="D143" s="225">
        <v>658</v>
      </c>
      <c r="E143" s="225">
        <v>1756</v>
      </c>
      <c r="F143" s="225">
        <v>1733</v>
      </c>
      <c r="G143" s="225">
        <v>1744</v>
      </c>
      <c r="H143" s="225">
        <v>1650</v>
      </c>
      <c r="I143" s="225">
        <v>1655</v>
      </c>
      <c r="J143" s="225">
        <v>1615</v>
      </c>
      <c r="K143" s="225">
        <v>1650</v>
      </c>
      <c r="L143" s="225">
        <v>1816</v>
      </c>
      <c r="M143" s="225">
        <v>817</v>
      </c>
      <c r="O143" s="254">
        <f t="shared" si="21"/>
        <v>1993</v>
      </c>
      <c r="P143" s="225">
        <f t="shared" si="22"/>
        <v>1</v>
      </c>
      <c r="Q143" s="225">
        <f t="shared" si="22"/>
        <v>1</v>
      </c>
      <c r="R143" s="225">
        <f t="shared" si="22"/>
        <v>0</v>
      </c>
      <c r="S143" s="225">
        <f t="shared" si="22"/>
        <v>0</v>
      </c>
      <c r="T143" s="225">
        <f t="shared" si="22"/>
        <v>0</v>
      </c>
      <c r="U143" s="225">
        <f t="shared" si="22"/>
        <v>0</v>
      </c>
      <c r="V143" s="225">
        <f t="shared" si="22"/>
        <v>0</v>
      </c>
      <c r="W143" s="225">
        <f t="shared" si="22"/>
        <v>0</v>
      </c>
      <c r="X143" s="225">
        <f t="shared" si="22"/>
        <v>0</v>
      </c>
      <c r="Y143" s="225">
        <f t="shared" si="22"/>
        <v>0</v>
      </c>
      <c r="Z143" s="225">
        <f t="shared" si="22"/>
        <v>0</v>
      </c>
      <c r="AA143" s="225">
        <f t="shared" si="22"/>
        <v>1</v>
      </c>
    </row>
    <row r="144" spans="1:27">
      <c r="A144" s="1">
        <f>A28</f>
        <v>1994</v>
      </c>
      <c r="B144" s="225">
        <v>711</v>
      </c>
      <c r="C144" s="225">
        <v>653</v>
      </c>
      <c r="D144" s="225">
        <v>1620</v>
      </c>
      <c r="E144" s="225">
        <v>1641</v>
      </c>
      <c r="F144" s="225">
        <v>1629</v>
      </c>
      <c r="G144" s="225">
        <v>1627</v>
      </c>
      <c r="H144" s="225">
        <v>1733</v>
      </c>
      <c r="I144" s="225">
        <v>1648</v>
      </c>
      <c r="J144" s="225">
        <v>1555</v>
      </c>
      <c r="K144" s="225">
        <v>1624</v>
      </c>
      <c r="L144" s="225">
        <v>1820</v>
      </c>
      <c r="M144" s="225">
        <v>1815</v>
      </c>
      <c r="O144" s="254">
        <f t="shared" si="21"/>
        <v>1994</v>
      </c>
      <c r="P144" s="225">
        <f t="shared" si="22"/>
        <v>1</v>
      </c>
      <c r="Q144" s="225">
        <f t="shared" si="22"/>
        <v>0</v>
      </c>
      <c r="R144" s="225">
        <f t="shared" si="22"/>
        <v>0</v>
      </c>
      <c r="S144" s="225">
        <f t="shared" ref="S144:AA172" si="23">IF(AND(E144&gt;700,E144&lt;1000),1,0)</f>
        <v>0</v>
      </c>
      <c r="T144" s="225">
        <f t="shared" si="23"/>
        <v>0</v>
      </c>
      <c r="U144" s="225">
        <f t="shared" si="23"/>
        <v>0</v>
      </c>
      <c r="V144" s="225">
        <f t="shared" si="23"/>
        <v>0</v>
      </c>
      <c r="W144" s="225">
        <f t="shared" si="23"/>
        <v>0</v>
      </c>
      <c r="X144" s="225">
        <f t="shared" si="23"/>
        <v>0</v>
      </c>
      <c r="Y144" s="225">
        <f t="shared" si="23"/>
        <v>0</v>
      </c>
      <c r="Z144" s="225">
        <f t="shared" si="23"/>
        <v>0</v>
      </c>
      <c r="AA144" s="225">
        <f t="shared" si="23"/>
        <v>0</v>
      </c>
    </row>
    <row r="145" spans="1:27">
      <c r="A145" s="1">
        <f>A29</f>
        <v>1995</v>
      </c>
      <c r="B145" s="225">
        <v>744</v>
      </c>
      <c r="C145" s="225">
        <v>717</v>
      </c>
      <c r="D145" s="225">
        <v>711</v>
      </c>
      <c r="E145" s="225">
        <v>1557</v>
      </c>
      <c r="F145" s="225">
        <v>1747</v>
      </c>
      <c r="G145" s="225">
        <v>1638</v>
      </c>
      <c r="H145" s="225">
        <v>1612</v>
      </c>
      <c r="I145" s="225">
        <v>1621</v>
      </c>
      <c r="J145" s="225">
        <v>1648</v>
      </c>
      <c r="K145" s="225">
        <v>1616</v>
      </c>
      <c r="L145" s="225">
        <v>1542</v>
      </c>
      <c r="M145" s="225">
        <v>718</v>
      </c>
      <c r="O145" s="254">
        <f t="shared" si="21"/>
        <v>1995</v>
      </c>
      <c r="P145" s="225">
        <f t="shared" ref="P145:R172" si="24">IF(AND(B145&gt;700,B145&lt;1000),1,0)</f>
        <v>1</v>
      </c>
      <c r="Q145" s="225">
        <f t="shared" si="24"/>
        <v>1</v>
      </c>
      <c r="R145" s="225">
        <f t="shared" si="24"/>
        <v>1</v>
      </c>
      <c r="S145" s="225">
        <f t="shared" si="23"/>
        <v>0</v>
      </c>
      <c r="T145" s="225">
        <f t="shared" si="23"/>
        <v>0</v>
      </c>
      <c r="U145" s="225">
        <f t="shared" si="23"/>
        <v>0</v>
      </c>
      <c r="V145" s="225">
        <f t="shared" si="23"/>
        <v>0</v>
      </c>
      <c r="W145" s="225">
        <f t="shared" si="23"/>
        <v>0</v>
      </c>
      <c r="X145" s="225">
        <f t="shared" si="23"/>
        <v>0</v>
      </c>
      <c r="Y145" s="225">
        <f t="shared" si="23"/>
        <v>0</v>
      </c>
      <c r="Z145" s="225">
        <f t="shared" si="23"/>
        <v>0</v>
      </c>
      <c r="AA145" s="225">
        <f t="shared" si="23"/>
        <v>1</v>
      </c>
    </row>
    <row r="146" spans="1:27">
      <c r="A146" s="1">
        <f>A30</f>
        <v>1996</v>
      </c>
      <c r="B146" s="225">
        <v>711</v>
      </c>
      <c r="C146" s="225">
        <v>702</v>
      </c>
      <c r="D146" s="225">
        <v>821</v>
      </c>
      <c r="E146" s="225">
        <v>1650</v>
      </c>
      <c r="F146" s="225">
        <v>1650</v>
      </c>
      <c r="G146" s="225">
        <v>1408</v>
      </c>
      <c r="H146" s="225">
        <v>1654</v>
      </c>
      <c r="I146" s="225">
        <v>1652</v>
      </c>
      <c r="J146" s="225">
        <v>1613</v>
      </c>
      <c r="K146" s="225">
        <v>1522</v>
      </c>
      <c r="L146" s="225">
        <v>1531</v>
      </c>
      <c r="M146" s="225">
        <v>722</v>
      </c>
      <c r="O146" s="254">
        <f t="shared" si="21"/>
        <v>1996</v>
      </c>
      <c r="P146" s="225">
        <f t="shared" si="24"/>
        <v>1</v>
      </c>
      <c r="Q146" s="225">
        <f t="shared" si="24"/>
        <v>1</v>
      </c>
      <c r="R146" s="225">
        <f t="shared" si="24"/>
        <v>1</v>
      </c>
      <c r="S146" s="225">
        <f t="shared" si="23"/>
        <v>0</v>
      </c>
      <c r="T146" s="225">
        <f t="shared" si="23"/>
        <v>0</v>
      </c>
      <c r="U146" s="225">
        <f t="shared" si="23"/>
        <v>0</v>
      </c>
      <c r="V146" s="225">
        <f t="shared" si="23"/>
        <v>0</v>
      </c>
      <c r="W146" s="225">
        <f t="shared" si="23"/>
        <v>0</v>
      </c>
      <c r="X146" s="225">
        <f t="shared" si="23"/>
        <v>0</v>
      </c>
      <c r="Y146" s="225">
        <f t="shared" si="23"/>
        <v>0</v>
      </c>
      <c r="Z146" s="225">
        <f t="shared" si="23"/>
        <v>0</v>
      </c>
      <c r="AA146" s="225">
        <f t="shared" si="23"/>
        <v>1</v>
      </c>
    </row>
    <row r="147" spans="1:27">
      <c r="A147" s="1">
        <f>A31</f>
        <v>1997</v>
      </c>
      <c r="B147" s="225">
        <v>812</v>
      </c>
      <c r="C147" s="225">
        <v>704</v>
      </c>
      <c r="D147" s="225">
        <v>1857</v>
      </c>
      <c r="E147" s="225">
        <v>1744</v>
      </c>
      <c r="F147" s="225">
        <v>1751</v>
      </c>
      <c r="G147" s="225">
        <v>1607</v>
      </c>
      <c r="H147" s="225">
        <v>1514</v>
      </c>
      <c r="I147" s="225">
        <v>1603</v>
      </c>
      <c r="J147" s="225">
        <v>1625</v>
      </c>
      <c r="K147" s="225">
        <v>1641</v>
      </c>
      <c r="L147" s="225">
        <v>1424</v>
      </c>
      <c r="M147" s="225">
        <v>1847</v>
      </c>
      <c r="O147" s="254">
        <f t="shared" si="21"/>
        <v>1997</v>
      </c>
      <c r="P147" s="225">
        <f t="shared" si="24"/>
        <v>1</v>
      </c>
      <c r="Q147" s="225">
        <f t="shared" si="24"/>
        <v>1</v>
      </c>
      <c r="R147" s="225">
        <f t="shared" si="24"/>
        <v>0</v>
      </c>
      <c r="S147" s="225">
        <f t="shared" si="23"/>
        <v>0</v>
      </c>
      <c r="T147" s="225">
        <f t="shared" si="23"/>
        <v>0</v>
      </c>
      <c r="U147" s="225">
        <f t="shared" si="23"/>
        <v>0</v>
      </c>
      <c r="V147" s="225">
        <f t="shared" si="23"/>
        <v>0</v>
      </c>
      <c r="W147" s="225">
        <f t="shared" si="23"/>
        <v>0</v>
      </c>
      <c r="X147" s="225">
        <f t="shared" si="23"/>
        <v>0</v>
      </c>
      <c r="Y147" s="225">
        <f t="shared" si="23"/>
        <v>0</v>
      </c>
      <c r="Z147" s="225">
        <f t="shared" si="23"/>
        <v>0</v>
      </c>
      <c r="AA147" s="225">
        <f t="shared" si="23"/>
        <v>0</v>
      </c>
    </row>
    <row r="148" spans="1:27">
      <c r="A148" s="1">
        <f>A32</f>
        <v>1998</v>
      </c>
      <c r="B148" s="225">
        <v>714</v>
      </c>
      <c r="C148" s="225">
        <v>740</v>
      </c>
      <c r="D148" s="225">
        <v>657</v>
      </c>
      <c r="E148" s="225">
        <v>1618</v>
      </c>
      <c r="F148" s="225">
        <v>1550</v>
      </c>
      <c r="G148" s="225">
        <v>1625</v>
      </c>
      <c r="H148" s="225">
        <v>1519</v>
      </c>
      <c r="I148" s="225">
        <v>1642</v>
      </c>
      <c r="J148" s="225">
        <v>1510</v>
      </c>
      <c r="K148" s="225">
        <v>1529</v>
      </c>
      <c r="L148" s="225">
        <v>1833</v>
      </c>
      <c r="M148" s="225">
        <v>1829</v>
      </c>
      <c r="O148" s="254">
        <f t="shared" si="21"/>
        <v>1998</v>
      </c>
      <c r="P148" s="225">
        <f t="shared" si="24"/>
        <v>1</v>
      </c>
      <c r="Q148" s="225">
        <f t="shared" si="24"/>
        <v>1</v>
      </c>
      <c r="R148" s="225">
        <f t="shared" si="24"/>
        <v>0</v>
      </c>
      <c r="S148" s="225">
        <f t="shared" si="23"/>
        <v>0</v>
      </c>
      <c r="T148" s="225">
        <f t="shared" si="23"/>
        <v>0</v>
      </c>
      <c r="U148" s="225">
        <f t="shared" si="23"/>
        <v>0</v>
      </c>
      <c r="V148" s="225">
        <f t="shared" si="23"/>
        <v>0</v>
      </c>
      <c r="W148" s="225">
        <f t="shared" si="23"/>
        <v>0</v>
      </c>
      <c r="X148" s="225">
        <f t="shared" si="23"/>
        <v>0</v>
      </c>
      <c r="Y148" s="225">
        <f t="shared" si="23"/>
        <v>0</v>
      </c>
      <c r="Z148" s="225">
        <f t="shared" si="23"/>
        <v>0</v>
      </c>
      <c r="AA148" s="225">
        <f t="shared" si="23"/>
        <v>0</v>
      </c>
    </row>
    <row r="149" spans="1:27">
      <c r="A149" s="1">
        <f>A33</f>
        <v>1999</v>
      </c>
      <c r="B149" s="225">
        <v>742</v>
      </c>
      <c r="C149" s="225">
        <v>703</v>
      </c>
      <c r="D149" s="225">
        <v>709</v>
      </c>
      <c r="E149" s="225">
        <v>1746</v>
      </c>
      <c r="F149" s="225">
        <v>1649</v>
      </c>
      <c r="G149" s="225">
        <v>1610</v>
      </c>
      <c r="H149" s="225">
        <v>1646</v>
      </c>
      <c r="I149" s="225">
        <v>1645</v>
      </c>
      <c r="J149" s="225">
        <v>1650</v>
      </c>
      <c r="K149" s="225">
        <v>1615</v>
      </c>
      <c r="L149" s="225">
        <v>1800</v>
      </c>
      <c r="M149" s="225">
        <v>652</v>
      </c>
      <c r="O149" s="254">
        <f t="shared" si="21"/>
        <v>1999</v>
      </c>
      <c r="P149" s="225">
        <f t="shared" si="24"/>
        <v>1</v>
      </c>
      <c r="Q149" s="225">
        <f t="shared" si="24"/>
        <v>1</v>
      </c>
      <c r="R149" s="225">
        <f t="shared" si="24"/>
        <v>1</v>
      </c>
      <c r="S149" s="225">
        <f t="shared" si="23"/>
        <v>0</v>
      </c>
      <c r="T149" s="225">
        <f t="shared" si="23"/>
        <v>0</v>
      </c>
      <c r="U149" s="225">
        <f t="shared" si="23"/>
        <v>0</v>
      </c>
      <c r="V149" s="225">
        <f t="shared" si="23"/>
        <v>0</v>
      </c>
      <c r="W149" s="225">
        <f t="shared" si="23"/>
        <v>0</v>
      </c>
      <c r="X149" s="225">
        <f t="shared" si="23"/>
        <v>0</v>
      </c>
      <c r="Y149" s="225">
        <f t="shared" si="23"/>
        <v>0</v>
      </c>
      <c r="Z149" s="225">
        <f t="shared" si="23"/>
        <v>0</v>
      </c>
      <c r="AA149" s="225">
        <f t="shared" si="23"/>
        <v>0</v>
      </c>
    </row>
    <row r="150" spans="1:27">
      <c r="A150" s="165">
        <f>A34</f>
        <v>2000</v>
      </c>
      <c r="B150" s="225">
        <v>701</v>
      </c>
      <c r="C150" s="225">
        <v>807</v>
      </c>
      <c r="D150" s="225">
        <v>1622</v>
      </c>
      <c r="E150" s="225">
        <v>1729</v>
      </c>
      <c r="F150" s="225">
        <v>1654</v>
      </c>
      <c r="G150" s="225">
        <v>1642</v>
      </c>
      <c r="H150" s="225">
        <v>1624</v>
      </c>
      <c r="I150" s="225">
        <v>1646</v>
      </c>
      <c r="J150" s="225">
        <v>1657</v>
      </c>
      <c r="K150" s="225">
        <v>1511</v>
      </c>
      <c r="L150" s="225">
        <v>1828</v>
      </c>
      <c r="M150" s="225">
        <v>708</v>
      </c>
      <c r="O150" s="254">
        <f t="shared" si="21"/>
        <v>2000</v>
      </c>
      <c r="P150" s="225">
        <f t="shared" si="24"/>
        <v>1</v>
      </c>
      <c r="Q150" s="225">
        <f t="shared" si="24"/>
        <v>1</v>
      </c>
      <c r="R150" s="225">
        <f t="shared" si="24"/>
        <v>0</v>
      </c>
      <c r="S150" s="225">
        <f t="shared" si="23"/>
        <v>0</v>
      </c>
      <c r="T150" s="225">
        <f t="shared" si="23"/>
        <v>0</v>
      </c>
      <c r="U150" s="225">
        <f t="shared" si="23"/>
        <v>0</v>
      </c>
      <c r="V150" s="225">
        <f t="shared" si="23"/>
        <v>0</v>
      </c>
      <c r="W150" s="225">
        <f t="shared" si="23"/>
        <v>0</v>
      </c>
      <c r="X150" s="225">
        <f t="shared" si="23"/>
        <v>0</v>
      </c>
      <c r="Y150" s="225">
        <f t="shared" si="23"/>
        <v>0</v>
      </c>
      <c r="Z150" s="225">
        <f t="shared" si="23"/>
        <v>0</v>
      </c>
      <c r="AA150" s="225">
        <f t="shared" si="23"/>
        <v>1</v>
      </c>
    </row>
    <row r="151" spans="1:27">
      <c r="A151" s="165">
        <f>A35</f>
        <v>2001</v>
      </c>
      <c r="B151" s="225">
        <v>707</v>
      </c>
      <c r="C151" s="225">
        <v>704</v>
      </c>
      <c r="D151" s="225">
        <v>1923</v>
      </c>
      <c r="E151" s="225">
        <v>1700</v>
      </c>
      <c r="F151" s="225">
        <v>1623</v>
      </c>
      <c r="G151" s="225">
        <v>1726</v>
      </c>
      <c r="H151" s="225">
        <v>1616</v>
      </c>
      <c r="I151" s="225">
        <v>1614</v>
      </c>
      <c r="J151" s="225">
        <v>1437</v>
      </c>
      <c r="K151" s="225">
        <v>1921</v>
      </c>
      <c r="L151" s="225">
        <v>1831</v>
      </c>
      <c r="M151" s="225">
        <v>804</v>
      </c>
      <c r="O151" s="254">
        <f t="shared" si="21"/>
        <v>2001</v>
      </c>
      <c r="P151" s="225">
        <f t="shared" si="24"/>
        <v>1</v>
      </c>
      <c r="Q151" s="225">
        <f t="shared" si="24"/>
        <v>1</v>
      </c>
      <c r="R151" s="225">
        <f t="shared" si="24"/>
        <v>0</v>
      </c>
      <c r="S151" s="225">
        <f t="shared" si="23"/>
        <v>0</v>
      </c>
      <c r="T151" s="225">
        <f t="shared" si="23"/>
        <v>0</v>
      </c>
      <c r="U151" s="225">
        <f t="shared" si="23"/>
        <v>0</v>
      </c>
      <c r="V151" s="225">
        <f t="shared" si="23"/>
        <v>0</v>
      </c>
      <c r="W151" s="225">
        <f t="shared" si="23"/>
        <v>0</v>
      </c>
      <c r="X151" s="225">
        <f t="shared" si="23"/>
        <v>0</v>
      </c>
      <c r="Y151" s="225">
        <f t="shared" si="23"/>
        <v>0</v>
      </c>
      <c r="Z151" s="225">
        <f t="shared" si="23"/>
        <v>0</v>
      </c>
      <c r="AA151" s="225">
        <f t="shared" si="23"/>
        <v>1</v>
      </c>
    </row>
    <row r="152" spans="1:27">
      <c r="A152" s="165">
        <f>A36</f>
        <v>2002</v>
      </c>
      <c r="B152" s="225">
        <v>714</v>
      </c>
      <c r="C152" s="225">
        <v>713</v>
      </c>
      <c r="D152" s="225">
        <v>721</v>
      </c>
      <c r="E152" s="225">
        <v>1554</v>
      </c>
      <c r="F152" s="225">
        <v>1700</v>
      </c>
      <c r="G152" s="225">
        <v>1519</v>
      </c>
      <c r="H152" s="225">
        <v>1651</v>
      </c>
      <c r="I152" s="225">
        <v>1543</v>
      </c>
      <c r="J152" s="225">
        <v>1658</v>
      </c>
      <c r="K152" s="225">
        <v>1654</v>
      </c>
      <c r="L152" s="225">
        <v>1412</v>
      </c>
      <c r="M152" s="225">
        <v>711</v>
      </c>
      <c r="O152" s="254">
        <f t="shared" si="21"/>
        <v>2002</v>
      </c>
      <c r="P152" s="225">
        <f t="shared" si="24"/>
        <v>1</v>
      </c>
      <c r="Q152" s="225">
        <f t="shared" si="24"/>
        <v>1</v>
      </c>
      <c r="R152" s="225">
        <f t="shared" si="24"/>
        <v>1</v>
      </c>
      <c r="S152" s="225">
        <f t="shared" si="23"/>
        <v>0</v>
      </c>
      <c r="T152" s="225">
        <f t="shared" si="23"/>
        <v>0</v>
      </c>
      <c r="U152" s="225">
        <f t="shared" si="23"/>
        <v>0</v>
      </c>
      <c r="V152" s="225">
        <f t="shared" si="23"/>
        <v>0</v>
      </c>
      <c r="W152" s="225">
        <f t="shared" si="23"/>
        <v>0</v>
      </c>
      <c r="X152" s="225">
        <f t="shared" si="23"/>
        <v>0</v>
      </c>
      <c r="Y152" s="225">
        <f t="shared" si="23"/>
        <v>0</v>
      </c>
      <c r="Z152" s="225">
        <f t="shared" si="23"/>
        <v>0</v>
      </c>
      <c r="AA152" s="225">
        <f t="shared" si="23"/>
        <v>1</v>
      </c>
    </row>
    <row r="153" spans="1:27">
      <c r="A153" s="165">
        <f>A37</f>
        <v>2003</v>
      </c>
      <c r="B153" s="225">
        <v>703</v>
      </c>
      <c r="C153" s="225">
        <v>700</v>
      </c>
      <c r="D153" s="225">
        <v>1516</v>
      </c>
      <c r="E153" s="225">
        <v>1658</v>
      </c>
      <c r="F153" s="225">
        <v>1630</v>
      </c>
      <c r="G153" s="225">
        <v>1522</v>
      </c>
      <c r="H153" s="225">
        <v>1625</v>
      </c>
      <c r="I153" s="225">
        <v>1650</v>
      </c>
      <c r="J153" s="225">
        <v>1703</v>
      </c>
      <c r="K153" s="225">
        <v>1626</v>
      </c>
      <c r="L153" s="225">
        <v>1437</v>
      </c>
      <c r="M153" s="225">
        <v>812</v>
      </c>
      <c r="O153" s="254">
        <f t="shared" si="21"/>
        <v>2003</v>
      </c>
      <c r="P153" s="225">
        <f t="shared" si="24"/>
        <v>1</v>
      </c>
      <c r="Q153" s="225">
        <f t="shared" si="24"/>
        <v>0</v>
      </c>
      <c r="R153" s="225">
        <f t="shared" si="24"/>
        <v>0</v>
      </c>
      <c r="S153" s="225">
        <f t="shared" si="23"/>
        <v>0</v>
      </c>
      <c r="T153" s="225">
        <f t="shared" si="23"/>
        <v>0</v>
      </c>
      <c r="U153" s="225">
        <f t="shared" si="23"/>
        <v>0</v>
      </c>
      <c r="V153" s="225">
        <f t="shared" si="23"/>
        <v>0</v>
      </c>
      <c r="W153" s="225">
        <f t="shared" si="23"/>
        <v>0</v>
      </c>
      <c r="X153" s="225">
        <f t="shared" si="23"/>
        <v>0</v>
      </c>
      <c r="Y153" s="225">
        <f t="shared" si="23"/>
        <v>0</v>
      </c>
      <c r="Z153" s="225">
        <f t="shared" si="23"/>
        <v>0</v>
      </c>
      <c r="AA153" s="225">
        <f t="shared" si="23"/>
        <v>1</v>
      </c>
    </row>
    <row r="154" spans="1:27">
      <c r="A154" s="165">
        <f>A38</f>
        <v>2004</v>
      </c>
      <c r="B154" s="225">
        <v>705</v>
      </c>
      <c r="C154" s="225">
        <v>706</v>
      </c>
      <c r="D154" s="225">
        <v>1648</v>
      </c>
      <c r="E154" s="225">
        <v>1559</v>
      </c>
      <c r="F154" s="225">
        <v>1626</v>
      </c>
      <c r="G154" s="225">
        <v>1646</v>
      </c>
      <c r="H154" s="225">
        <v>1642</v>
      </c>
      <c r="I154" s="225">
        <v>1546</v>
      </c>
      <c r="J154" s="225">
        <v>1550</v>
      </c>
      <c r="K154" s="225">
        <v>1630</v>
      </c>
      <c r="L154" s="225">
        <v>1538</v>
      </c>
      <c r="M154" s="225">
        <v>704</v>
      </c>
      <c r="O154" s="254">
        <f t="shared" si="21"/>
        <v>2004</v>
      </c>
      <c r="P154" s="225">
        <f t="shared" si="24"/>
        <v>1</v>
      </c>
      <c r="Q154" s="225">
        <f t="shared" si="24"/>
        <v>1</v>
      </c>
      <c r="R154" s="225">
        <f t="shared" si="24"/>
        <v>0</v>
      </c>
      <c r="S154" s="225">
        <f t="shared" si="23"/>
        <v>0</v>
      </c>
      <c r="T154" s="225">
        <f t="shared" si="23"/>
        <v>0</v>
      </c>
      <c r="U154" s="225">
        <f t="shared" si="23"/>
        <v>0</v>
      </c>
      <c r="V154" s="225">
        <f t="shared" si="23"/>
        <v>0</v>
      </c>
      <c r="W154" s="225">
        <f t="shared" si="23"/>
        <v>0</v>
      </c>
      <c r="X154" s="225">
        <f t="shared" si="23"/>
        <v>0</v>
      </c>
      <c r="Y154" s="225">
        <f t="shared" si="23"/>
        <v>0</v>
      </c>
      <c r="Z154" s="225">
        <f t="shared" si="23"/>
        <v>0</v>
      </c>
      <c r="AA154" s="225">
        <f t="shared" si="23"/>
        <v>1</v>
      </c>
    </row>
    <row r="155" spans="1:27">
      <c r="A155" s="165">
        <f>A39</f>
        <v>2005</v>
      </c>
      <c r="B155" s="225">
        <v>710</v>
      </c>
      <c r="C155" s="225">
        <v>712</v>
      </c>
      <c r="D155" s="225">
        <v>1642</v>
      </c>
      <c r="E155" s="225">
        <v>1735</v>
      </c>
      <c r="F155" s="225">
        <v>1652</v>
      </c>
      <c r="G155" s="225">
        <v>1639</v>
      </c>
      <c r="H155" s="225">
        <v>1626</v>
      </c>
      <c r="I155" s="225">
        <v>1650</v>
      </c>
      <c r="J155" s="225">
        <v>1628</v>
      </c>
      <c r="K155" s="225">
        <v>1622</v>
      </c>
      <c r="L155" s="225">
        <v>1831</v>
      </c>
      <c r="M155" s="225">
        <v>800</v>
      </c>
      <c r="O155" s="254">
        <f t="shared" si="21"/>
        <v>2005</v>
      </c>
      <c r="P155" s="225">
        <f t="shared" si="24"/>
        <v>1</v>
      </c>
      <c r="Q155" s="225">
        <f t="shared" si="24"/>
        <v>1</v>
      </c>
      <c r="R155" s="225">
        <f t="shared" si="24"/>
        <v>0</v>
      </c>
      <c r="S155" s="225">
        <f t="shared" si="23"/>
        <v>0</v>
      </c>
      <c r="T155" s="225">
        <f t="shared" si="23"/>
        <v>0</v>
      </c>
      <c r="U155" s="225">
        <f t="shared" si="23"/>
        <v>0</v>
      </c>
      <c r="V155" s="225">
        <f t="shared" si="23"/>
        <v>0</v>
      </c>
      <c r="W155" s="225">
        <f t="shared" si="23"/>
        <v>0</v>
      </c>
      <c r="X155" s="225">
        <f t="shared" si="23"/>
        <v>0</v>
      </c>
      <c r="Y155" s="225">
        <f t="shared" si="23"/>
        <v>0</v>
      </c>
      <c r="Z155" s="225">
        <f t="shared" si="23"/>
        <v>0</v>
      </c>
      <c r="AA155" s="225">
        <f t="shared" si="23"/>
        <v>1</v>
      </c>
    </row>
    <row r="156" spans="1:27">
      <c r="A156" s="165">
        <f>A40</f>
        <v>2006</v>
      </c>
      <c r="B156" s="225">
        <v>657</v>
      </c>
      <c r="C156" s="225">
        <v>646</v>
      </c>
      <c r="D156" s="225">
        <v>1923</v>
      </c>
      <c r="E156" s="225">
        <v>1521</v>
      </c>
      <c r="F156" s="225">
        <v>1651</v>
      </c>
      <c r="G156" s="225">
        <v>1705</v>
      </c>
      <c r="H156" s="225">
        <v>1638</v>
      </c>
      <c r="I156" s="225">
        <v>1645</v>
      </c>
      <c r="J156" s="225">
        <v>1619</v>
      </c>
      <c r="K156" s="225">
        <v>1605</v>
      </c>
      <c r="L156" s="225">
        <v>1550</v>
      </c>
      <c r="M156" s="225">
        <v>1829</v>
      </c>
      <c r="O156" s="254">
        <f t="shared" si="21"/>
        <v>2006</v>
      </c>
      <c r="P156" s="225">
        <f t="shared" si="24"/>
        <v>0</v>
      </c>
      <c r="Q156" s="225">
        <f t="shared" si="24"/>
        <v>0</v>
      </c>
      <c r="R156" s="225">
        <f t="shared" si="24"/>
        <v>0</v>
      </c>
      <c r="S156" s="225">
        <f t="shared" si="23"/>
        <v>0</v>
      </c>
      <c r="T156" s="225">
        <f t="shared" si="23"/>
        <v>0</v>
      </c>
      <c r="U156" s="225">
        <f t="shared" si="23"/>
        <v>0</v>
      </c>
      <c r="V156" s="225">
        <f t="shared" si="23"/>
        <v>0</v>
      </c>
      <c r="W156" s="225">
        <f t="shared" si="23"/>
        <v>0</v>
      </c>
      <c r="X156" s="225">
        <f t="shared" si="23"/>
        <v>0</v>
      </c>
      <c r="Y156" s="225">
        <f t="shared" si="23"/>
        <v>0</v>
      </c>
      <c r="Z156" s="225">
        <f t="shared" si="23"/>
        <v>0</v>
      </c>
      <c r="AA156" s="225">
        <f t="shared" si="23"/>
        <v>0</v>
      </c>
    </row>
    <row r="157" spans="1:27">
      <c r="A157" s="165">
        <f>A41</f>
        <v>2007</v>
      </c>
      <c r="B157" s="291">
        <v>711</v>
      </c>
      <c r="C157" s="291">
        <v>724</v>
      </c>
      <c r="D157" s="291">
        <v>1723</v>
      </c>
      <c r="E157" s="291">
        <v>1643</v>
      </c>
      <c r="F157" s="291">
        <v>1648</v>
      </c>
      <c r="G157" s="291">
        <v>1608</v>
      </c>
      <c r="H157" s="291">
        <v>1653</v>
      </c>
      <c r="I157" s="291">
        <v>1709</v>
      </c>
      <c r="J157" s="291">
        <v>1653</v>
      </c>
      <c r="K157" s="291">
        <v>1628</v>
      </c>
      <c r="L157" s="291">
        <v>1622</v>
      </c>
      <c r="M157" s="291">
        <v>2026</v>
      </c>
      <c r="O157" s="254">
        <f t="shared" si="21"/>
        <v>2007</v>
      </c>
      <c r="P157" s="225">
        <f t="shared" si="24"/>
        <v>1</v>
      </c>
      <c r="Q157" s="225">
        <f t="shared" si="24"/>
        <v>1</v>
      </c>
      <c r="R157" s="225">
        <f t="shared" si="24"/>
        <v>0</v>
      </c>
      <c r="S157" s="225">
        <f t="shared" si="23"/>
        <v>0</v>
      </c>
      <c r="T157" s="225">
        <f t="shared" si="23"/>
        <v>0</v>
      </c>
      <c r="U157" s="225">
        <f t="shared" si="23"/>
        <v>0</v>
      </c>
      <c r="V157" s="225">
        <f t="shared" si="23"/>
        <v>0</v>
      </c>
      <c r="W157" s="225">
        <f t="shared" si="23"/>
        <v>0</v>
      </c>
      <c r="X157" s="225">
        <f t="shared" si="23"/>
        <v>0</v>
      </c>
      <c r="Y157" s="225">
        <f t="shared" si="23"/>
        <v>0</v>
      </c>
      <c r="Z157" s="225">
        <f t="shared" si="23"/>
        <v>0</v>
      </c>
      <c r="AA157" s="225">
        <f t="shared" si="23"/>
        <v>0</v>
      </c>
    </row>
    <row r="158" spans="1:27">
      <c r="A158" s="165">
        <f>A42</f>
        <v>2008</v>
      </c>
      <c r="B158" s="291">
        <v>721</v>
      </c>
      <c r="C158" s="291">
        <v>706</v>
      </c>
      <c r="D158" s="291">
        <v>1638</v>
      </c>
      <c r="E158" s="291">
        <v>1657</v>
      </c>
      <c r="F158" s="291">
        <v>1601</v>
      </c>
      <c r="G158" s="291">
        <v>1652</v>
      </c>
      <c r="H158" s="291">
        <v>1528</v>
      </c>
      <c r="I158" s="291">
        <v>1651</v>
      </c>
      <c r="J158" s="291">
        <v>1648</v>
      </c>
      <c r="K158" s="291">
        <v>1637</v>
      </c>
      <c r="L158" s="291">
        <v>1508</v>
      </c>
      <c r="M158" s="291">
        <v>648</v>
      </c>
      <c r="O158" s="254">
        <f t="shared" si="21"/>
        <v>2008</v>
      </c>
      <c r="P158" s="225">
        <f t="shared" si="24"/>
        <v>1</v>
      </c>
      <c r="Q158" s="225">
        <f t="shared" si="24"/>
        <v>1</v>
      </c>
      <c r="R158" s="225">
        <f t="shared" si="24"/>
        <v>0</v>
      </c>
      <c r="S158" s="225">
        <f t="shared" si="23"/>
        <v>0</v>
      </c>
      <c r="T158" s="225">
        <f t="shared" si="23"/>
        <v>0</v>
      </c>
      <c r="U158" s="225">
        <f t="shared" si="23"/>
        <v>0</v>
      </c>
      <c r="V158" s="225">
        <f t="shared" si="23"/>
        <v>0</v>
      </c>
      <c r="W158" s="225">
        <f t="shared" si="23"/>
        <v>0</v>
      </c>
      <c r="X158" s="225">
        <f t="shared" si="23"/>
        <v>0</v>
      </c>
      <c r="Y158" s="225">
        <f t="shared" si="23"/>
        <v>0</v>
      </c>
      <c r="Z158" s="225">
        <f t="shared" si="23"/>
        <v>0</v>
      </c>
      <c r="AA158" s="225">
        <f t="shared" si="23"/>
        <v>0</v>
      </c>
    </row>
    <row r="159" spans="1:27">
      <c r="A159" s="165">
        <f>A43</f>
        <v>2009</v>
      </c>
      <c r="B159" s="291">
        <v>703</v>
      </c>
      <c r="C159" s="291">
        <v>726</v>
      </c>
      <c r="D159" s="291">
        <v>714</v>
      </c>
      <c r="E159" s="291">
        <v>1705</v>
      </c>
      <c r="F159" s="291">
        <v>1649</v>
      </c>
      <c r="G159" s="225">
        <v>1504</v>
      </c>
      <c r="H159" s="291">
        <v>1636</v>
      </c>
      <c r="I159" s="291">
        <v>1642</v>
      </c>
      <c r="J159" s="291">
        <v>1641</v>
      </c>
      <c r="K159" s="291">
        <v>1617</v>
      </c>
      <c r="L159" s="291">
        <v>1451</v>
      </c>
      <c r="M159" s="291">
        <v>1825</v>
      </c>
      <c r="O159" s="254">
        <f t="shared" si="21"/>
        <v>2009</v>
      </c>
      <c r="P159" s="225">
        <f t="shared" si="24"/>
        <v>1</v>
      </c>
      <c r="Q159" s="225">
        <f t="shared" si="24"/>
        <v>1</v>
      </c>
      <c r="R159" s="225">
        <f t="shared" si="24"/>
        <v>1</v>
      </c>
      <c r="S159" s="225">
        <f t="shared" si="23"/>
        <v>0</v>
      </c>
      <c r="T159" s="225">
        <f t="shared" si="23"/>
        <v>0</v>
      </c>
      <c r="U159" s="225">
        <f t="shared" si="23"/>
        <v>0</v>
      </c>
      <c r="V159" s="225">
        <f t="shared" si="23"/>
        <v>0</v>
      </c>
      <c r="W159" s="225">
        <f t="shared" si="23"/>
        <v>0</v>
      </c>
      <c r="X159" s="225">
        <f t="shared" si="23"/>
        <v>0</v>
      </c>
      <c r="Y159" s="225">
        <f t="shared" si="23"/>
        <v>0</v>
      </c>
      <c r="Z159" s="225">
        <f t="shared" si="23"/>
        <v>0</v>
      </c>
      <c r="AA159" s="225">
        <f t="shared" si="23"/>
        <v>0</v>
      </c>
    </row>
    <row r="160" spans="1:27">
      <c r="A160" s="165">
        <f>A44</f>
        <v>2010</v>
      </c>
      <c r="B160" s="418">
        <v>659</v>
      </c>
      <c r="C160" s="291">
        <v>703</v>
      </c>
      <c r="D160" s="291">
        <v>706</v>
      </c>
      <c r="E160" s="291">
        <v>1728</v>
      </c>
      <c r="F160" s="291">
        <v>1736</v>
      </c>
      <c r="G160" s="291">
        <v>1644</v>
      </c>
      <c r="H160" s="291">
        <v>1444</v>
      </c>
      <c r="I160" s="291">
        <v>1627</v>
      </c>
      <c r="J160" s="291">
        <v>1548</v>
      </c>
      <c r="K160" s="291">
        <v>1543</v>
      </c>
      <c r="L160" s="291">
        <v>1651</v>
      </c>
      <c r="M160" s="291">
        <v>652</v>
      </c>
      <c r="O160" s="254">
        <f t="shared" si="21"/>
        <v>2010</v>
      </c>
      <c r="P160" s="225">
        <f t="shared" si="24"/>
        <v>0</v>
      </c>
      <c r="Q160" s="225">
        <f t="shared" si="24"/>
        <v>1</v>
      </c>
      <c r="R160" s="225">
        <f t="shared" si="24"/>
        <v>1</v>
      </c>
      <c r="S160" s="225">
        <f t="shared" si="23"/>
        <v>0</v>
      </c>
      <c r="T160" s="225">
        <f t="shared" si="23"/>
        <v>0</v>
      </c>
      <c r="U160" s="225">
        <f t="shared" si="23"/>
        <v>0</v>
      </c>
      <c r="V160" s="225">
        <f t="shared" si="23"/>
        <v>0</v>
      </c>
      <c r="W160" s="225">
        <f t="shared" si="23"/>
        <v>0</v>
      </c>
      <c r="X160" s="225">
        <f t="shared" si="23"/>
        <v>0</v>
      </c>
      <c r="Y160" s="225">
        <f t="shared" si="23"/>
        <v>0</v>
      </c>
      <c r="Z160" s="225">
        <f t="shared" si="23"/>
        <v>0</v>
      </c>
      <c r="AA160" s="225">
        <f t="shared" si="23"/>
        <v>0</v>
      </c>
    </row>
    <row r="161" spans="1:27">
      <c r="A161" s="165">
        <f>A45</f>
        <v>2011</v>
      </c>
      <c r="B161" s="291">
        <v>711</v>
      </c>
      <c r="C161" s="291">
        <v>709</v>
      </c>
      <c r="D161" s="291">
        <v>1730</v>
      </c>
      <c r="E161" s="291">
        <v>1547</v>
      </c>
      <c r="F161" s="291">
        <v>1707</v>
      </c>
      <c r="G161" s="291">
        <v>1524</v>
      </c>
      <c r="H161" s="291">
        <v>1652</v>
      </c>
      <c r="I161" s="291">
        <v>1628</v>
      </c>
      <c r="J161" s="291">
        <v>1735</v>
      </c>
      <c r="K161" s="291">
        <v>1623</v>
      </c>
      <c r="L161" s="291">
        <v>1526</v>
      </c>
      <c r="M161" s="291">
        <v>1805</v>
      </c>
      <c r="O161" s="254">
        <f t="shared" si="21"/>
        <v>2011</v>
      </c>
      <c r="P161" s="225">
        <f t="shared" si="24"/>
        <v>1</v>
      </c>
      <c r="Q161" s="225">
        <f t="shared" si="24"/>
        <v>1</v>
      </c>
      <c r="R161" s="225">
        <f t="shared" si="24"/>
        <v>0</v>
      </c>
      <c r="S161" s="225">
        <f t="shared" si="23"/>
        <v>0</v>
      </c>
      <c r="T161" s="225">
        <f t="shared" si="23"/>
        <v>0</v>
      </c>
      <c r="U161" s="225">
        <f t="shared" si="23"/>
        <v>0</v>
      </c>
      <c r="V161" s="225">
        <f t="shared" si="23"/>
        <v>0</v>
      </c>
      <c r="W161" s="225">
        <f t="shared" si="23"/>
        <v>0</v>
      </c>
      <c r="X161" s="225">
        <f t="shared" si="23"/>
        <v>0</v>
      </c>
      <c r="Y161" s="225">
        <f t="shared" si="23"/>
        <v>0</v>
      </c>
      <c r="Z161" s="225">
        <f t="shared" si="23"/>
        <v>0</v>
      </c>
      <c r="AA161" s="225">
        <f t="shared" si="23"/>
        <v>0</v>
      </c>
    </row>
    <row r="162" spans="1:27">
      <c r="A162" s="165">
        <f>A46</f>
        <v>2012</v>
      </c>
      <c r="B162" s="291">
        <v>701</v>
      </c>
      <c r="C162" s="291">
        <v>658</v>
      </c>
      <c r="D162" s="291">
        <v>1709</v>
      </c>
      <c r="E162" s="291">
        <v>1657</v>
      </c>
      <c r="F162" s="291">
        <v>1633</v>
      </c>
      <c r="G162" s="291">
        <v>1542</v>
      </c>
      <c r="H162" s="291">
        <v>1652</v>
      </c>
      <c r="I162" s="225">
        <v>1653</v>
      </c>
      <c r="J162" s="291">
        <v>1648</v>
      </c>
      <c r="K162" s="291">
        <v>1554</v>
      </c>
      <c r="L162" s="291">
        <v>1822</v>
      </c>
      <c r="M162" s="291">
        <v>1823</v>
      </c>
      <c r="O162" s="254">
        <f t="shared" si="21"/>
        <v>2012</v>
      </c>
      <c r="P162" s="225">
        <f t="shared" si="24"/>
        <v>1</v>
      </c>
      <c r="Q162" s="225">
        <f t="shared" si="24"/>
        <v>0</v>
      </c>
      <c r="R162" s="225">
        <f t="shared" si="24"/>
        <v>0</v>
      </c>
      <c r="S162" s="225">
        <f t="shared" si="23"/>
        <v>0</v>
      </c>
      <c r="T162" s="225">
        <f t="shared" si="23"/>
        <v>0</v>
      </c>
      <c r="U162" s="225">
        <f t="shared" si="23"/>
        <v>0</v>
      </c>
      <c r="V162" s="225">
        <f t="shared" si="23"/>
        <v>0</v>
      </c>
      <c r="W162" s="225">
        <f t="shared" si="23"/>
        <v>0</v>
      </c>
      <c r="X162" s="225">
        <f t="shared" si="23"/>
        <v>0</v>
      </c>
      <c r="Y162" s="225">
        <f t="shared" si="23"/>
        <v>0</v>
      </c>
      <c r="Z162" s="225">
        <f t="shared" si="23"/>
        <v>0</v>
      </c>
      <c r="AA162" s="225">
        <f t="shared" si="23"/>
        <v>0</v>
      </c>
    </row>
    <row r="163" spans="1:27">
      <c r="A163" s="165">
        <f>A47</f>
        <v>2013</v>
      </c>
      <c r="B163" s="291">
        <v>1827</v>
      </c>
      <c r="C163" s="291">
        <v>721</v>
      </c>
      <c r="D163" s="291">
        <v>711</v>
      </c>
      <c r="E163" s="291">
        <v>1646</v>
      </c>
      <c r="F163" s="291">
        <v>1719</v>
      </c>
      <c r="G163" s="291">
        <v>1639</v>
      </c>
      <c r="H163" s="291">
        <v>1652</v>
      </c>
      <c r="I163" s="225">
        <v>1640</v>
      </c>
      <c r="J163" s="291">
        <v>1557</v>
      </c>
      <c r="K163" s="291">
        <v>1652</v>
      </c>
      <c r="L163" s="291">
        <v>1617</v>
      </c>
      <c r="M163" s="291">
        <v>1818</v>
      </c>
      <c r="O163" s="254">
        <f t="shared" si="21"/>
        <v>2013</v>
      </c>
      <c r="P163" s="225">
        <f t="shared" si="24"/>
        <v>0</v>
      </c>
      <c r="Q163" s="225">
        <f t="shared" si="24"/>
        <v>1</v>
      </c>
      <c r="R163" s="225">
        <f t="shared" si="24"/>
        <v>1</v>
      </c>
      <c r="S163" s="225">
        <f t="shared" si="23"/>
        <v>0</v>
      </c>
      <c r="T163" s="225">
        <f t="shared" si="23"/>
        <v>0</v>
      </c>
      <c r="U163" s="225">
        <f t="shared" si="23"/>
        <v>0</v>
      </c>
      <c r="V163" s="225">
        <f t="shared" si="23"/>
        <v>0</v>
      </c>
      <c r="W163" s="225">
        <f t="shared" si="23"/>
        <v>0</v>
      </c>
      <c r="X163" s="225">
        <f t="shared" si="23"/>
        <v>0</v>
      </c>
      <c r="Y163" s="225">
        <f t="shared" si="23"/>
        <v>0</v>
      </c>
      <c r="Z163" s="225">
        <f t="shared" si="23"/>
        <v>0</v>
      </c>
      <c r="AA163" s="225">
        <f t="shared" si="23"/>
        <v>0</v>
      </c>
    </row>
    <row r="164" spans="1:27">
      <c r="A164" s="165">
        <f>A48</f>
        <v>2014</v>
      </c>
      <c r="B164" s="291">
        <v>712</v>
      </c>
      <c r="C164" s="291">
        <v>1837</v>
      </c>
      <c r="D164" s="291">
        <v>1744</v>
      </c>
      <c r="E164" s="291">
        <v>1531</v>
      </c>
      <c r="F164" s="291">
        <v>1623</v>
      </c>
      <c r="G164" s="291">
        <v>1547</v>
      </c>
      <c r="H164" s="291">
        <v>1649</v>
      </c>
      <c r="I164" s="291">
        <v>1625</v>
      </c>
      <c r="J164" s="291">
        <v>1650</v>
      </c>
      <c r="K164" s="291">
        <v>17</v>
      </c>
      <c r="L164" s="291">
        <v>647</v>
      </c>
      <c r="M164" s="291">
        <v>709</v>
      </c>
      <c r="O164" s="254">
        <f t="shared" si="21"/>
        <v>2014</v>
      </c>
      <c r="P164" s="225">
        <f t="shared" si="24"/>
        <v>1</v>
      </c>
      <c r="Q164" s="225">
        <f t="shared" si="24"/>
        <v>0</v>
      </c>
      <c r="R164" s="225">
        <f t="shared" si="24"/>
        <v>0</v>
      </c>
      <c r="S164" s="225">
        <f t="shared" si="23"/>
        <v>0</v>
      </c>
      <c r="T164" s="225">
        <f t="shared" si="23"/>
        <v>0</v>
      </c>
      <c r="U164" s="225">
        <f t="shared" si="23"/>
        <v>0</v>
      </c>
      <c r="V164" s="225">
        <f t="shared" si="23"/>
        <v>0</v>
      </c>
      <c r="W164" s="225">
        <f t="shared" si="23"/>
        <v>0</v>
      </c>
      <c r="X164" s="225">
        <f t="shared" si="23"/>
        <v>0</v>
      </c>
      <c r="Y164" s="225">
        <f t="shared" si="23"/>
        <v>0</v>
      </c>
      <c r="Z164" s="225">
        <f t="shared" si="23"/>
        <v>0</v>
      </c>
      <c r="AA164" s="225">
        <f t="shared" si="23"/>
        <v>1</v>
      </c>
    </row>
    <row r="165" spans="1:27">
      <c r="A165" s="165">
        <f>A49</f>
        <v>2015</v>
      </c>
      <c r="B165" s="291">
        <v>816</v>
      </c>
      <c r="C165" s="291">
        <v>702</v>
      </c>
      <c r="D165" s="291">
        <v>1649</v>
      </c>
      <c r="E165" s="291">
        <v>1641</v>
      </c>
      <c r="F165" s="291">
        <v>1720</v>
      </c>
      <c r="G165" s="291">
        <v>1545</v>
      </c>
      <c r="H165" s="291">
        <v>1624</v>
      </c>
      <c r="I165" s="291">
        <v>1654</v>
      </c>
      <c r="J165" s="291">
        <v>1631</v>
      </c>
      <c r="K165" s="291">
        <v>1530</v>
      </c>
      <c r="L165" s="291">
        <v>1421</v>
      </c>
      <c r="M165" s="291">
        <v>1538</v>
      </c>
      <c r="O165" s="254">
        <f t="shared" si="21"/>
        <v>2015</v>
      </c>
      <c r="P165" s="225">
        <f t="shared" si="24"/>
        <v>1</v>
      </c>
      <c r="Q165" s="225">
        <f t="shared" si="24"/>
        <v>1</v>
      </c>
      <c r="R165" s="225">
        <f t="shared" si="24"/>
        <v>0</v>
      </c>
      <c r="S165" s="225">
        <f t="shared" si="23"/>
        <v>0</v>
      </c>
      <c r="T165" s="225">
        <f t="shared" si="23"/>
        <v>0</v>
      </c>
      <c r="U165" s="225">
        <f t="shared" si="23"/>
        <v>0</v>
      </c>
      <c r="V165" s="225">
        <f t="shared" si="23"/>
        <v>0</v>
      </c>
      <c r="W165" s="225">
        <f t="shared" si="23"/>
        <v>0</v>
      </c>
      <c r="X165" s="225">
        <f t="shared" si="23"/>
        <v>0</v>
      </c>
      <c r="Y165" s="225">
        <f t="shared" si="23"/>
        <v>0</v>
      </c>
      <c r="Z165" s="225">
        <f t="shared" si="23"/>
        <v>0</v>
      </c>
      <c r="AA165" s="225">
        <f t="shared" si="23"/>
        <v>0</v>
      </c>
    </row>
    <row r="166" spans="1:27">
      <c r="A166" s="165">
        <f>A50</f>
        <v>2016</v>
      </c>
      <c r="B166" s="291">
        <v>714</v>
      </c>
      <c r="C166" s="291">
        <v>710</v>
      </c>
      <c r="D166" s="291">
        <v>1727</v>
      </c>
      <c r="E166" s="291">
        <v>1656</v>
      </c>
      <c r="F166" s="291">
        <v>1657</v>
      </c>
      <c r="G166" s="291">
        <v>1634</v>
      </c>
      <c r="H166" s="291">
        <v>1715</v>
      </c>
      <c r="I166" s="291">
        <v>1630</v>
      </c>
      <c r="J166" s="291">
        <v>1626</v>
      </c>
      <c r="K166" s="291">
        <v>1629</v>
      </c>
      <c r="L166" s="291">
        <v>1557</v>
      </c>
      <c r="M166" s="291">
        <v>1512</v>
      </c>
      <c r="O166" s="254">
        <f t="shared" si="21"/>
        <v>2016</v>
      </c>
      <c r="P166" s="225">
        <f t="shared" si="24"/>
        <v>1</v>
      </c>
      <c r="Q166" s="225">
        <f t="shared" si="24"/>
        <v>1</v>
      </c>
      <c r="R166" s="225">
        <f t="shared" si="24"/>
        <v>0</v>
      </c>
      <c r="S166" s="225">
        <f t="shared" si="23"/>
        <v>0</v>
      </c>
      <c r="T166" s="225">
        <f t="shared" si="23"/>
        <v>0</v>
      </c>
      <c r="U166" s="225">
        <f t="shared" si="23"/>
        <v>0</v>
      </c>
      <c r="V166" s="225">
        <f t="shared" si="23"/>
        <v>0</v>
      </c>
      <c r="W166" s="225">
        <f t="shared" si="23"/>
        <v>0</v>
      </c>
      <c r="X166" s="225">
        <f t="shared" si="23"/>
        <v>0</v>
      </c>
      <c r="Y166" s="225">
        <f t="shared" si="23"/>
        <v>0</v>
      </c>
      <c r="Z166" s="225">
        <f t="shared" si="23"/>
        <v>0</v>
      </c>
      <c r="AA166" s="225">
        <f t="shared" si="23"/>
        <v>0</v>
      </c>
    </row>
    <row r="167" spans="1:27">
      <c r="A167" s="165">
        <f>A51</f>
        <v>2017</v>
      </c>
      <c r="B167" s="291">
        <v>713</v>
      </c>
      <c r="C167" s="291">
        <v>1545</v>
      </c>
      <c r="D167" s="291">
        <v>1629</v>
      </c>
      <c r="E167" s="291">
        <v>1618</v>
      </c>
      <c r="F167" s="291">
        <v>1603</v>
      </c>
      <c r="G167" s="291">
        <v>1655</v>
      </c>
      <c r="H167" s="291">
        <v>1729</v>
      </c>
      <c r="I167" s="291">
        <v>1452</v>
      </c>
      <c r="J167" s="291">
        <v>1422</v>
      </c>
      <c r="K167" s="291">
        <v>1629</v>
      </c>
      <c r="L167" s="291">
        <v>1609</v>
      </c>
      <c r="M167" s="291">
        <v>727</v>
      </c>
      <c r="O167" s="254">
        <f t="shared" si="21"/>
        <v>2017</v>
      </c>
      <c r="P167" s="225">
        <f t="shared" si="24"/>
        <v>1</v>
      </c>
      <c r="Q167" s="225">
        <f t="shared" si="24"/>
        <v>0</v>
      </c>
      <c r="R167" s="225">
        <f t="shared" si="24"/>
        <v>0</v>
      </c>
      <c r="S167" s="225">
        <f t="shared" si="23"/>
        <v>0</v>
      </c>
      <c r="T167" s="225">
        <f t="shared" si="23"/>
        <v>0</v>
      </c>
      <c r="U167" s="225">
        <f t="shared" si="23"/>
        <v>0</v>
      </c>
      <c r="V167" s="225">
        <f t="shared" si="23"/>
        <v>0</v>
      </c>
      <c r="W167" s="225">
        <f t="shared" si="23"/>
        <v>0</v>
      </c>
      <c r="X167" s="225">
        <f t="shared" si="23"/>
        <v>0</v>
      </c>
      <c r="Y167" s="225">
        <f t="shared" si="23"/>
        <v>0</v>
      </c>
      <c r="Z167" s="225">
        <f t="shared" si="23"/>
        <v>0</v>
      </c>
      <c r="AA167" s="225">
        <f t="shared" si="23"/>
        <v>1</v>
      </c>
    </row>
    <row r="168" spans="1:27">
      <c r="A168" s="165">
        <f>A52</f>
        <v>2018</v>
      </c>
      <c r="B168" s="291">
        <v>651</v>
      </c>
      <c r="C168" s="291">
        <v>1601</v>
      </c>
      <c r="D168" s="291">
        <v>1533</v>
      </c>
      <c r="E168" s="291">
        <v>1726</v>
      </c>
      <c r="F168" s="291">
        <v>1607</v>
      </c>
      <c r="G168" s="291">
        <v>1602</v>
      </c>
      <c r="H168" s="291">
        <v>1525</v>
      </c>
      <c r="I168" s="291">
        <v>1704</v>
      </c>
      <c r="J168" s="291">
        <v>1625</v>
      </c>
      <c r="K168" s="291">
        <v>1626</v>
      </c>
      <c r="L168" s="291">
        <v>1428</v>
      </c>
      <c r="M168" s="291">
        <v>1821</v>
      </c>
      <c r="O168" s="254">
        <f t="shared" si="21"/>
        <v>2018</v>
      </c>
      <c r="P168" s="225">
        <f t="shared" si="24"/>
        <v>0</v>
      </c>
      <c r="Q168" s="225">
        <f t="shared" si="24"/>
        <v>0</v>
      </c>
      <c r="R168" s="225">
        <f t="shared" si="24"/>
        <v>0</v>
      </c>
      <c r="S168" s="225">
        <f t="shared" si="23"/>
        <v>0</v>
      </c>
      <c r="T168" s="225">
        <f t="shared" si="23"/>
        <v>0</v>
      </c>
      <c r="U168" s="225">
        <f t="shared" si="23"/>
        <v>0</v>
      </c>
      <c r="V168" s="225">
        <f t="shared" si="23"/>
        <v>0</v>
      </c>
      <c r="W168" s="225">
        <f t="shared" si="23"/>
        <v>0</v>
      </c>
      <c r="X168" s="225">
        <f t="shared" si="23"/>
        <v>0</v>
      </c>
      <c r="Y168" s="225">
        <f t="shared" si="23"/>
        <v>0</v>
      </c>
      <c r="Z168" s="225">
        <f t="shared" si="23"/>
        <v>0</v>
      </c>
      <c r="AA168" s="225">
        <f t="shared" si="23"/>
        <v>0</v>
      </c>
    </row>
    <row r="169" spans="1:27">
      <c r="A169" s="165">
        <f>A53</f>
        <v>2019</v>
      </c>
      <c r="B169" s="291">
        <v>721</v>
      </c>
      <c r="C169" s="291">
        <v>1527</v>
      </c>
      <c r="D169" s="291">
        <v>1717</v>
      </c>
      <c r="E169" s="291">
        <v>1650</v>
      </c>
      <c r="F169" s="291">
        <v>1700</v>
      </c>
      <c r="G169" s="291">
        <v>1649</v>
      </c>
      <c r="H169" s="291">
        <v>1625</v>
      </c>
      <c r="I169" s="291">
        <v>1714</v>
      </c>
      <c r="J169" s="291">
        <v>1523</v>
      </c>
      <c r="K169" s="291">
        <v>1656</v>
      </c>
      <c r="L169" s="291">
        <v>1533</v>
      </c>
      <c r="M169" s="291">
        <v>1827</v>
      </c>
      <c r="O169" s="254">
        <f t="shared" si="21"/>
        <v>2019</v>
      </c>
      <c r="P169" s="225">
        <f t="shared" si="24"/>
        <v>1</v>
      </c>
      <c r="Q169" s="225">
        <f t="shared" si="24"/>
        <v>0</v>
      </c>
      <c r="R169" s="225">
        <f t="shared" si="24"/>
        <v>0</v>
      </c>
      <c r="S169" s="225">
        <f t="shared" si="23"/>
        <v>0</v>
      </c>
      <c r="T169" s="225">
        <f t="shared" si="23"/>
        <v>0</v>
      </c>
      <c r="U169" s="225">
        <f t="shared" si="23"/>
        <v>0</v>
      </c>
      <c r="V169" s="225">
        <f t="shared" si="23"/>
        <v>0</v>
      </c>
      <c r="W169" s="225">
        <f t="shared" si="23"/>
        <v>0</v>
      </c>
      <c r="X169" s="225">
        <f t="shared" si="23"/>
        <v>0</v>
      </c>
      <c r="Y169" s="225">
        <f t="shared" si="23"/>
        <v>0</v>
      </c>
      <c r="Z169" s="225">
        <f t="shared" si="23"/>
        <v>0</v>
      </c>
      <c r="AA169" s="225">
        <f t="shared" si="23"/>
        <v>0</v>
      </c>
    </row>
    <row r="170" spans="1:27">
      <c r="A170" s="165">
        <f>A54</f>
        <v>2020</v>
      </c>
      <c r="B170" s="291">
        <v>722</v>
      </c>
      <c r="C170" s="291">
        <v>1646</v>
      </c>
      <c r="D170" s="291">
        <v>1726</v>
      </c>
      <c r="E170" s="291">
        <v>1648</v>
      </c>
      <c r="F170" s="291">
        <v>1655</v>
      </c>
      <c r="G170" s="291">
        <v>1650</v>
      </c>
      <c r="H170" s="291">
        <v>1524</v>
      </c>
      <c r="I170" s="291">
        <v>1620</v>
      </c>
      <c r="J170" s="291">
        <v>1633</v>
      </c>
      <c r="K170" s="291">
        <v>1650</v>
      </c>
      <c r="L170" s="291">
        <v>1444</v>
      </c>
      <c r="M170" s="225">
        <v>930</v>
      </c>
      <c r="O170" s="254">
        <f t="shared" si="21"/>
        <v>2020</v>
      </c>
      <c r="P170" s="225">
        <f t="shared" si="24"/>
        <v>1</v>
      </c>
      <c r="Q170" s="225">
        <f t="shared" si="24"/>
        <v>0</v>
      </c>
      <c r="R170" s="225">
        <f t="shared" si="24"/>
        <v>0</v>
      </c>
      <c r="S170" s="225">
        <f t="shared" si="23"/>
        <v>0</v>
      </c>
      <c r="T170" s="225">
        <f t="shared" si="23"/>
        <v>0</v>
      </c>
      <c r="U170" s="225">
        <f t="shared" si="23"/>
        <v>0</v>
      </c>
      <c r="V170" s="225">
        <f t="shared" si="23"/>
        <v>0</v>
      </c>
      <c r="W170" s="225">
        <f t="shared" si="23"/>
        <v>0</v>
      </c>
      <c r="X170" s="225">
        <f t="shared" si="23"/>
        <v>0</v>
      </c>
      <c r="Y170" s="225">
        <f t="shared" si="23"/>
        <v>0</v>
      </c>
      <c r="Z170" s="225">
        <f t="shared" si="23"/>
        <v>0</v>
      </c>
      <c r="AA170" s="225">
        <f t="shared" si="23"/>
        <v>1</v>
      </c>
    </row>
    <row r="171" spans="1:27">
      <c r="A171" s="165">
        <f>A55</f>
        <v>2021</v>
      </c>
      <c r="B171" s="291" t="s">
        <v>327</v>
      </c>
      <c r="C171" s="291">
        <v>751</v>
      </c>
      <c r="D171" s="291">
        <v>1656</v>
      </c>
      <c r="E171" s="291">
        <v>1629</v>
      </c>
      <c r="F171" s="291">
        <v>1653</v>
      </c>
      <c r="G171" s="291">
        <v>1645</v>
      </c>
      <c r="H171" s="291">
        <v>1653</v>
      </c>
      <c r="I171" s="419">
        <v>1717</v>
      </c>
      <c r="J171" s="291">
        <v>1603</v>
      </c>
      <c r="K171" s="291">
        <v>1619</v>
      </c>
      <c r="L171" s="291" t="s">
        <v>328</v>
      </c>
      <c r="M171" s="291">
        <v>1541</v>
      </c>
      <c r="O171" s="254">
        <f t="shared" si="21"/>
        <v>2021</v>
      </c>
      <c r="P171" s="225">
        <f t="shared" si="24"/>
        <v>0</v>
      </c>
      <c r="Q171" s="225">
        <f t="shared" si="24"/>
        <v>1</v>
      </c>
      <c r="R171" s="225">
        <f t="shared" si="24"/>
        <v>0</v>
      </c>
      <c r="S171" s="225">
        <f t="shared" si="23"/>
        <v>0</v>
      </c>
      <c r="T171" s="225">
        <f t="shared" si="23"/>
        <v>0</v>
      </c>
      <c r="U171" s="225">
        <f t="shared" si="23"/>
        <v>0</v>
      </c>
      <c r="V171" s="225">
        <f t="shared" si="23"/>
        <v>0</v>
      </c>
      <c r="W171" s="225">
        <f t="shared" si="23"/>
        <v>0</v>
      </c>
      <c r="X171" s="225">
        <f t="shared" si="23"/>
        <v>0</v>
      </c>
      <c r="Y171" s="225">
        <f t="shared" si="23"/>
        <v>0</v>
      </c>
      <c r="Z171" s="225">
        <f t="shared" si="23"/>
        <v>0</v>
      </c>
      <c r="AA171" s="225">
        <f t="shared" si="23"/>
        <v>0</v>
      </c>
    </row>
    <row r="172" spans="1:27">
      <c r="A172" s="165">
        <f>A56</f>
        <v>2022</v>
      </c>
      <c r="B172" s="291">
        <v>726</v>
      </c>
      <c r="C172" s="291">
        <v>1612</v>
      </c>
      <c r="D172" s="225">
        <v>1447</v>
      </c>
      <c r="E172" s="225">
        <v>1658</v>
      </c>
      <c r="F172" s="225">
        <v>1642</v>
      </c>
      <c r="G172" s="291">
        <v>1652</v>
      </c>
      <c r="H172" s="225">
        <v>1657</v>
      </c>
      <c r="I172" s="225">
        <v>1649</v>
      </c>
      <c r="J172" s="291">
        <v>1530</v>
      </c>
      <c r="K172" s="291">
        <v>1648</v>
      </c>
      <c r="L172" s="291">
        <v>1652</v>
      </c>
      <c r="M172" s="291">
        <v>902</v>
      </c>
      <c r="O172" s="254">
        <f t="shared" si="21"/>
        <v>2022</v>
      </c>
      <c r="P172" s="225">
        <f t="shared" si="24"/>
        <v>1</v>
      </c>
      <c r="Q172" s="225">
        <f t="shared" si="24"/>
        <v>0</v>
      </c>
      <c r="R172" s="225">
        <f t="shared" si="24"/>
        <v>0</v>
      </c>
      <c r="S172" s="225">
        <f t="shared" si="23"/>
        <v>0</v>
      </c>
      <c r="T172" s="225">
        <f t="shared" si="23"/>
        <v>0</v>
      </c>
      <c r="U172" s="225">
        <f t="shared" si="23"/>
        <v>0</v>
      </c>
      <c r="V172" s="225">
        <f t="shared" ref="V172:AA173" si="25">IF(AND(H172&gt;700,H172&lt;1000),1,0)</f>
        <v>0</v>
      </c>
      <c r="W172" s="225">
        <f t="shared" si="25"/>
        <v>0</v>
      </c>
      <c r="X172" s="225">
        <f t="shared" si="25"/>
        <v>0</v>
      </c>
      <c r="Y172" s="225">
        <f t="shared" si="25"/>
        <v>0</v>
      </c>
      <c r="Z172" s="225">
        <f t="shared" si="25"/>
        <v>0</v>
      </c>
      <c r="AA172" s="225">
        <f t="shared" si="25"/>
        <v>1</v>
      </c>
    </row>
    <row r="173" spans="1:27">
      <c r="A173" s="165">
        <f>A57</f>
        <v>2023</v>
      </c>
      <c r="B173" s="291">
        <v>812</v>
      </c>
      <c r="C173" s="291">
        <v>1626</v>
      </c>
      <c r="D173" s="225">
        <v>1750</v>
      </c>
      <c r="E173" s="225">
        <v>1651</v>
      </c>
      <c r="F173" s="225">
        <v>1722</v>
      </c>
      <c r="G173" s="225">
        <v>1653</v>
      </c>
      <c r="H173" s="225">
        <v>1655</v>
      </c>
      <c r="I173" s="225">
        <v>1737</v>
      </c>
      <c r="J173" s="225">
        <v>1645</v>
      </c>
      <c r="K173" s="225">
        <v>1653</v>
      </c>
      <c r="L173" s="225">
        <v>1618</v>
      </c>
      <c r="M173" s="225">
        <v>1430</v>
      </c>
      <c r="O173" s="254">
        <f t="shared" si="21"/>
        <v>2023</v>
      </c>
      <c r="S173" s="225">
        <f t="shared" ref="S173" si="26">IF(AND(E173&gt;700,E173&lt;1000),1,0)</f>
        <v>0</v>
      </c>
      <c r="T173" s="225">
        <f t="shared" ref="T173" si="27">IF(AND(F173&gt;700,F173&lt;1000),1,0)</f>
        <v>0</v>
      </c>
      <c r="U173" s="225">
        <f t="shared" ref="U173" si="28">IF(AND(G173&gt;700,G173&lt;1000),1,0)</f>
        <v>0</v>
      </c>
      <c r="V173" s="225">
        <f t="shared" si="25"/>
        <v>0</v>
      </c>
    </row>
    <row r="174" spans="1:27">
      <c r="A174" s="165">
        <f>A58</f>
        <v>2024</v>
      </c>
      <c r="B174" s="291">
        <v>848</v>
      </c>
      <c r="C174" s="291">
        <v>1657</v>
      </c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O174" s="458"/>
    </row>
    <row r="175" spans="1:27" ht="15.75">
      <c r="A175" s="165"/>
      <c r="C175" s="232"/>
      <c r="I175" s="255"/>
      <c r="K175" s="68"/>
      <c r="L175" s="68"/>
      <c r="M175" s="68"/>
    </row>
    <row r="177" spans="1:28">
      <c r="A177" s="1" t="s">
        <v>63</v>
      </c>
      <c r="B177" s="1">
        <f t="shared" ref="B177:M177" si="29">MEDIAN(B123:B172)</f>
        <v>720</v>
      </c>
      <c r="C177" s="1">
        <f t="shared" si="29"/>
        <v>718.5</v>
      </c>
      <c r="D177" s="1">
        <f t="shared" si="29"/>
        <v>1625.5</v>
      </c>
      <c r="E177" s="1">
        <f t="shared" si="29"/>
        <v>1657</v>
      </c>
      <c r="F177" s="1">
        <f t="shared" si="29"/>
        <v>1654.5</v>
      </c>
      <c r="G177" s="1">
        <f t="shared" si="29"/>
        <v>1643.5</v>
      </c>
      <c r="H177" s="1">
        <f t="shared" si="29"/>
        <v>1649.5</v>
      </c>
      <c r="I177" s="1">
        <f t="shared" si="29"/>
        <v>1645</v>
      </c>
      <c r="J177" s="1">
        <f t="shared" si="29"/>
        <v>1634</v>
      </c>
      <c r="K177" s="1">
        <f t="shared" si="29"/>
        <v>1630.5</v>
      </c>
      <c r="L177" s="1">
        <f t="shared" si="29"/>
        <v>1651</v>
      </c>
      <c r="M177" s="1">
        <f t="shared" si="29"/>
        <v>827.5</v>
      </c>
      <c r="O177" s="165" t="s">
        <v>306</v>
      </c>
      <c r="P177" s="225">
        <f>COUNTA(P123:P172)</f>
        <v>50</v>
      </c>
      <c r="Q177" s="225">
        <f t="shared" ref="Q177:AA177" si="30">COUNTA(Q123:Q172)</f>
        <v>50</v>
      </c>
      <c r="R177" s="225">
        <f t="shared" si="30"/>
        <v>50</v>
      </c>
      <c r="S177" s="225">
        <f>COUNTA(S123:S173)</f>
        <v>51</v>
      </c>
      <c r="T177" s="225">
        <f>COUNTA(T123:T173)</f>
        <v>51</v>
      </c>
      <c r="U177" s="225">
        <f>COUNTA(U123:U173)</f>
        <v>51</v>
      </c>
      <c r="V177" s="225">
        <f>COUNTA(V123:V173)</f>
        <v>51</v>
      </c>
      <c r="W177" s="225">
        <f t="shared" si="30"/>
        <v>50</v>
      </c>
      <c r="X177" s="225">
        <f t="shared" si="30"/>
        <v>50</v>
      </c>
      <c r="Y177" s="225">
        <f t="shared" si="30"/>
        <v>50</v>
      </c>
      <c r="Z177" s="225">
        <f t="shared" si="30"/>
        <v>50</v>
      </c>
      <c r="AA177" s="225">
        <f t="shared" si="30"/>
        <v>50</v>
      </c>
    </row>
    <row r="178" spans="1:28">
      <c r="A178" s="1" t="s">
        <v>64</v>
      </c>
      <c r="B178" s="68">
        <f t="shared" ref="B178:M178" si="31">AVERAGE(B123:B172)</f>
        <v>777.9795918367347</v>
      </c>
      <c r="C178" s="68">
        <f t="shared" si="31"/>
        <v>899.04</v>
      </c>
      <c r="D178" s="68">
        <f t="shared" si="31"/>
        <v>1351.06</v>
      </c>
      <c r="E178" s="68">
        <f t="shared" si="31"/>
        <v>1682.68</v>
      </c>
      <c r="F178" s="68">
        <f t="shared" si="31"/>
        <v>1673.96</v>
      </c>
      <c r="G178" s="68">
        <f t="shared" si="31"/>
        <v>1648.5</v>
      </c>
      <c r="H178" s="68">
        <f t="shared" si="31"/>
        <v>1654.8</v>
      </c>
      <c r="I178" s="68">
        <f t="shared" si="31"/>
        <v>1633.84</v>
      </c>
      <c r="J178" s="68">
        <f t="shared" si="31"/>
        <v>1633.74</v>
      </c>
      <c r="K178" s="68">
        <f t="shared" si="31"/>
        <v>1623.08</v>
      </c>
      <c r="L178" s="68">
        <f t="shared" si="31"/>
        <v>1564.7551020408164</v>
      </c>
      <c r="M178" s="68">
        <f t="shared" si="31"/>
        <v>1177.56</v>
      </c>
      <c r="O178" s="165" t="s">
        <v>307</v>
      </c>
      <c r="P178" s="225">
        <f>SUM(P123:P172)</f>
        <v>44</v>
      </c>
      <c r="Q178" s="225">
        <f t="shared" ref="Q178:AA178" si="32">SUM(Q123:Q172)</f>
        <v>35</v>
      </c>
      <c r="R178" s="225">
        <f t="shared" si="32"/>
        <v>16</v>
      </c>
      <c r="S178" s="225">
        <f>SUM(S123:S173)</f>
        <v>1</v>
      </c>
      <c r="T178" s="225">
        <f>SUM(T123:T173)</f>
        <v>0</v>
      </c>
      <c r="U178" s="225">
        <f>SUM(U123:U173)</f>
        <v>0</v>
      </c>
      <c r="V178" s="225">
        <f>SUM(V123:V173)</f>
        <v>0</v>
      </c>
      <c r="W178" s="225">
        <f t="shared" si="32"/>
        <v>0</v>
      </c>
      <c r="X178" s="225">
        <f t="shared" si="32"/>
        <v>0</v>
      </c>
      <c r="Y178" s="225">
        <f t="shared" si="32"/>
        <v>0</v>
      </c>
      <c r="Z178" s="225">
        <f t="shared" si="32"/>
        <v>5</v>
      </c>
      <c r="AA178" s="225">
        <f t="shared" si="32"/>
        <v>27</v>
      </c>
    </row>
    <row r="179" spans="1:28" ht="15.75">
      <c r="A179" s="1" t="s">
        <v>65</v>
      </c>
      <c r="B179" s="32">
        <f>P179</f>
        <v>0.88</v>
      </c>
      <c r="C179" s="32">
        <f t="shared" ref="C179:M179" si="33">Q179</f>
        <v>0.7</v>
      </c>
      <c r="D179" s="32">
        <f t="shared" si="33"/>
        <v>0.32</v>
      </c>
      <c r="E179" s="321">
        <f t="shared" si="33"/>
        <v>1.9607843137254902E-2</v>
      </c>
      <c r="F179" s="321">
        <f t="shared" si="33"/>
        <v>0</v>
      </c>
      <c r="G179" s="321">
        <f t="shared" si="33"/>
        <v>0</v>
      </c>
      <c r="H179" s="321">
        <f t="shared" si="33"/>
        <v>0</v>
      </c>
      <c r="I179" s="321">
        <f t="shared" si="33"/>
        <v>0</v>
      </c>
      <c r="J179" s="321">
        <f t="shared" si="33"/>
        <v>0</v>
      </c>
      <c r="K179" s="321">
        <f t="shared" si="33"/>
        <v>0</v>
      </c>
      <c r="L179" s="32">
        <f t="shared" si="33"/>
        <v>0.1</v>
      </c>
      <c r="M179" s="32">
        <f t="shared" si="33"/>
        <v>0.54</v>
      </c>
      <c r="O179" s="165" t="s">
        <v>65</v>
      </c>
      <c r="P179" s="324">
        <f>P178/P177</f>
        <v>0.88</v>
      </c>
      <c r="Q179" s="324">
        <f>Q178/Q177</f>
        <v>0.7</v>
      </c>
      <c r="R179" s="324">
        <f t="shared" ref="R179:AA179" si="34">R178/R177</f>
        <v>0.32</v>
      </c>
      <c r="S179" s="324">
        <f t="shared" si="34"/>
        <v>1.9607843137254902E-2</v>
      </c>
      <c r="T179" s="324">
        <f t="shared" si="34"/>
        <v>0</v>
      </c>
      <c r="U179" s="324">
        <f t="shared" si="34"/>
        <v>0</v>
      </c>
      <c r="V179" s="324">
        <f t="shared" si="34"/>
        <v>0</v>
      </c>
      <c r="W179" s="324">
        <f t="shared" si="34"/>
        <v>0</v>
      </c>
      <c r="X179" s="324">
        <f t="shared" si="34"/>
        <v>0</v>
      </c>
      <c r="Y179" s="324">
        <f t="shared" si="34"/>
        <v>0</v>
      </c>
      <c r="Z179" s="324">
        <f t="shared" si="34"/>
        <v>0.1</v>
      </c>
      <c r="AA179" s="324">
        <f t="shared" si="34"/>
        <v>0.54</v>
      </c>
      <c r="AB179" s="321"/>
    </row>
    <row r="180" spans="1:28" ht="16.5" thickBot="1">
      <c r="A180" s="1" t="s">
        <v>66</v>
      </c>
      <c r="B180" s="321">
        <f>1-B179</f>
        <v>0.12</v>
      </c>
      <c r="C180" s="321">
        <f t="shared" ref="C180:M180" si="35">1-C179</f>
        <v>0.30000000000000004</v>
      </c>
      <c r="D180" s="32">
        <f t="shared" si="35"/>
        <v>0.67999999999999994</v>
      </c>
      <c r="E180" s="32">
        <f t="shared" si="35"/>
        <v>0.98039215686274506</v>
      </c>
      <c r="F180" s="32">
        <f t="shared" si="35"/>
        <v>1</v>
      </c>
      <c r="G180" s="32">
        <f t="shared" si="35"/>
        <v>1</v>
      </c>
      <c r="H180" s="32">
        <f t="shared" si="35"/>
        <v>1</v>
      </c>
      <c r="I180" s="32">
        <f t="shared" si="35"/>
        <v>1</v>
      </c>
      <c r="J180" s="32">
        <f t="shared" si="35"/>
        <v>1</v>
      </c>
      <c r="K180" s="32">
        <f t="shared" si="35"/>
        <v>1</v>
      </c>
      <c r="L180" s="32">
        <f t="shared" si="35"/>
        <v>0.9</v>
      </c>
      <c r="M180" s="321">
        <f t="shared" si="35"/>
        <v>0.45999999999999996</v>
      </c>
    </row>
    <row r="181" spans="1:28">
      <c r="O181" s="277" t="s">
        <v>295</v>
      </c>
      <c r="P181" s="294">
        <f>COUNTA(P151:P160)</f>
        <v>10</v>
      </c>
      <c r="Q181" s="294">
        <f>COUNTA(Q151:Q160)</f>
        <v>10</v>
      </c>
      <c r="R181" s="294">
        <f>COUNTA(R151:R160)</f>
        <v>10</v>
      </c>
      <c r="S181" s="294">
        <f t="shared" ref="S181:AA181" si="36">COUNTA(S151:S160)</f>
        <v>10</v>
      </c>
      <c r="T181" s="294">
        <f>COUNTA(T151:T160)</f>
        <v>10</v>
      </c>
      <c r="U181" s="294">
        <f t="shared" si="36"/>
        <v>10</v>
      </c>
      <c r="V181" s="294">
        <f>COUNTA(V151:V160)</f>
        <v>10</v>
      </c>
      <c r="W181" s="294">
        <f t="shared" si="36"/>
        <v>10</v>
      </c>
      <c r="X181" s="294">
        <f t="shared" si="36"/>
        <v>10</v>
      </c>
      <c r="Y181" s="294">
        <f t="shared" si="36"/>
        <v>10</v>
      </c>
      <c r="Z181" s="294">
        <f t="shared" si="36"/>
        <v>10</v>
      </c>
      <c r="AA181" s="295">
        <f t="shared" si="36"/>
        <v>10</v>
      </c>
    </row>
    <row r="182" spans="1:28" ht="15.75">
      <c r="B182" s="5" t="s">
        <v>73</v>
      </c>
      <c r="O182" s="278"/>
      <c r="P182" s="225">
        <f>SUM(P151:P160)</f>
        <v>8</v>
      </c>
      <c r="Q182" s="225">
        <f t="shared" ref="Q182:AA182" si="37">SUM(Q151:Q160)</f>
        <v>8</v>
      </c>
      <c r="R182" s="225">
        <f t="shared" si="37"/>
        <v>3</v>
      </c>
      <c r="S182" s="225">
        <f t="shared" si="37"/>
        <v>0</v>
      </c>
      <c r="T182" s="225">
        <f t="shared" si="37"/>
        <v>0</v>
      </c>
      <c r="U182" s="225">
        <f t="shared" si="37"/>
        <v>0</v>
      </c>
      <c r="V182" s="225">
        <f t="shared" si="37"/>
        <v>0</v>
      </c>
      <c r="W182" s="225">
        <f t="shared" si="37"/>
        <v>0</v>
      </c>
      <c r="X182" s="225">
        <f t="shared" si="37"/>
        <v>0</v>
      </c>
      <c r="Y182" s="225">
        <f t="shared" si="37"/>
        <v>0</v>
      </c>
      <c r="Z182" s="225">
        <f t="shared" si="37"/>
        <v>0</v>
      </c>
      <c r="AA182" s="296">
        <f t="shared" si="37"/>
        <v>5</v>
      </c>
    </row>
    <row r="183" spans="1:28">
      <c r="O183" s="278"/>
      <c r="P183" s="297">
        <f>+P182/P181</f>
        <v>0.8</v>
      </c>
      <c r="Q183" s="297">
        <f t="shared" ref="Q183:AA183" si="38">+Q182/Q181</f>
        <v>0.8</v>
      </c>
      <c r="R183" s="297">
        <f t="shared" si="38"/>
        <v>0.3</v>
      </c>
      <c r="S183" s="297">
        <f t="shared" si="38"/>
        <v>0</v>
      </c>
      <c r="T183" s="297">
        <f t="shared" si="38"/>
        <v>0</v>
      </c>
      <c r="U183" s="297">
        <f t="shared" si="38"/>
        <v>0</v>
      </c>
      <c r="V183" s="297">
        <f t="shared" si="38"/>
        <v>0</v>
      </c>
      <c r="W183" s="297">
        <f t="shared" si="38"/>
        <v>0</v>
      </c>
      <c r="X183" s="297">
        <f t="shared" si="38"/>
        <v>0</v>
      </c>
      <c r="Y183" s="297">
        <f t="shared" si="38"/>
        <v>0</v>
      </c>
      <c r="Z183" s="297">
        <f t="shared" si="38"/>
        <v>0</v>
      </c>
      <c r="AA183" s="298">
        <f t="shared" si="38"/>
        <v>0.5</v>
      </c>
    </row>
    <row r="184" spans="1:28" ht="15.75" thickBot="1">
      <c r="O184" s="279"/>
      <c r="P184" s="299">
        <f>1-P183</f>
        <v>0.19999999999999996</v>
      </c>
      <c r="Q184" s="299">
        <f t="shared" ref="Q184:AA184" si="39">1-Q183</f>
        <v>0.19999999999999996</v>
      </c>
      <c r="R184" s="299">
        <f t="shared" si="39"/>
        <v>0.7</v>
      </c>
      <c r="S184" s="299">
        <f t="shared" si="39"/>
        <v>1</v>
      </c>
      <c r="T184" s="299">
        <f t="shared" si="39"/>
        <v>1</v>
      </c>
      <c r="U184" s="299">
        <f t="shared" si="39"/>
        <v>1</v>
      </c>
      <c r="V184" s="299">
        <f t="shared" si="39"/>
        <v>1</v>
      </c>
      <c r="W184" s="299">
        <f t="shared" si="39"/>
        <v>1</v>
      </c>
      <c r="X184" s="299">
        <f t="shared" si="39"/>
        <v>1</v>
      </c>
      <c r="Y184" s="299">
        <f t="shared" si="39"/>
        <v>1</v>
      </c>
      <c r="Z184" s="299">
        <f t="shared" si="39"/>
        <v>1</v>
      </c>
      <c r="AA184" s="300">
        <f t="shared" si="39"/>
        <v>0.5</v>
      </c>
    </row>
    <row r="185" spans="1:28">
      <c r="O185" s="277" t="s">
        <v>294</v>
      </c>
      <c r="P185" s="294">
        <f>COUNTA(P161:P170)</f>
        <v>10</v>
      </c>
      <c r="Q185" s="294">
        <f t="shared" ref="Q185:AA185" si="40">COUNTA(Q161:Q170)</f>
        <v>10</v>
      </c>
      <c r="R185" s="294">
        <f t="shared" si="40"/>
        <v>10</v>
      </c>
      <c r="S185" s="294">
        <f t="shared" si="40"/>
        <v>10</v>
      </c>
      <c r="T185" s="294">
        <f t="shared" si="40"/>
        <v>10</v>
      </c>
      <c r="U185" s="294">
        <f t="shared" si="40"/>
        <v>10</v>
      </c>
      <c r="V185" s="294">
        <f t="shared" si="40"/>
        <v>10</v>
      </c>
      <c r="W185" s="294">
        <f t="shared" si="40"/>
        <v>10</v>
      </c>
      <c r="X185" s="294">
        <f t="shared" si="40"/>
        <v>10</v>
      </c>
      <c r="Y185" s="294">
        <f t="shared" si="40"/>
        <v>10</v>
      </c>
      <c r="Z185" s="294">
        <f t="shared" si="40"/>
        <v>10</v>
      </c>
      <c r="AA185" s="295">
        <f t="shared" si="40"/>
        <v>10</v>
      </c>
    </row>
    <row r="186" spans="1:28">
      <c r="O186" s="278"/>
      <c r="P186" s="225">
        <f>SUM(P161:P170)</f>
        <v>8</v>
      </c>
      <c r="Q186" s="225">
        <f t="shared" ref="Q186:AA186" si="41">SUM(Q161:Q170)</f>
        <v>4</v>
      </c>
      <c r="R186" s="225">
        <f t="shared" si="41"/>
        <v>1</v>
      </c>
      <c r="S186" s="225">
        <f t="shared" si="41"/>
        <v>0</v>
      </c>
      <c r="T186" s="225">
        <f t="shared" si="41"/>
        <v>0</v>
      </c>
      <c r="U186" s="225">
        <f t="shared" si="41"/>
        <v>0</v>
      </c>
      <c r="V186" s="225">
        <f t="shared" si="41"/>
        <v>0</v>
      </c>
      <c r="W186" s="225">
        <f t="shared" si="41"/>
        <v>0</v>
      </c>
      <c r="X186" s="225">
        <f t="shared" si="41"/>
        <v>0</v>
      </c>
      <c r="Y186" s="225">
        <f t="shared" si="41"/>
        <v>0</v>
      </c>
      <c r="Z186" s="225">
        <f t="shared" si="41"/>
        <v>0</v>
      </c>
      <c r="AA186" s="296">
        <f t="shared" si="41"/>
        <v>3</v>
      </c>
    </row>
    <row r="187" spans="1:28">
      <c r="O187" s="278"/>
      <c r="P187" s="297">
        <f>+P186/P185</f>
        <v>0.8</v>
      </c>
      <c r="Q187" s="297">
        <f t="shared" ref="Q187:AA187" si="42">+Q186/Q185</f>
        <v>0.4</v>
      </c>
      <c r="R187" s="297">
        <f t="shared" si="42"/>
        <v>0.1</v>
      </c>
      <c r="S187" s="297">
        <f t="shared" si="42"/>
        <v>0</v>
      </c>
      <c r="T187" s="297">
        <f t="shared" si="42"/>
        <v>0</v>
      </c>
      <c r="U187" s="297">
        <f t="shared" si="42"/>
        <v>0</v>
      </c>
      <c r="V187" s="297">
        <f t="shared" si="42"/>
        <v>0</v>
      </c>
      <c r="W187" s="297">
        <f>+W186/W185</f>
        <v>0</v>
      </c>
      <c r="X187" s="297">
        <f t="shared" si="42"/>
        <v>0</v>
      </c>
      <c r="Y187" s="297">
        <f t="shared" si="42"/>
        <v>0</v>
      </c>
      <c r="Z187" s="297">
        <f t="shared" si="42"/>
        <v>0</v>
      </c>
      <c r="AA187" s="298">
        <f t="shared" si="42"/>
        <v>0.3</v>
      </c>
    </row>
    <row r="188" spans="1:28" ht="15.75" thickBot="1">
      <c r="O188" s="279"/>
      <c r="P188" s="299">
        <f t="shared" ref="P188:AA188" si="43">1-P187</f>
        <v>0.19999999999999996</v>
      </c>
      <c r="Q188" s="299">
        <f t="shared" si="43"/>
        <v>0.6</v>
      </c>
      <c r="R188" s="299">
        <f t="shared" si="43"/>
        <v>0.9</v>
      </c>
      <c r="S188" s="299">
        <f t="shared" si="43"/>
        <v>1</v>
      </c>
      <c r="T188" s="299">
        <f t="shared" si="43"/>
        <v>1</v>
      </c>
      <c r="U188" s="299">
        <f t="shared" si="43"/>
        <v>1</v>
      </c>
      <c r="V188" s="299">
        <f t="shared" si="43"/>
        <v>1</v>
      </c>
      <c r="W188" s="299">
        <f t="shared" si="43"/>
        <v>1</v>
      </c>
      <c r="X188" s="299">
        <f t="shared" si="43"/>
        <v>1</v>
      </c>
      <c r="Y188" s="299">
        <f t="shared" si="43"/>
        <v>1</v>
      </c>
      <c r="Z188" s="299">
        <f t="shared" si="43"/>
        <v>1</v>
      </c>
      <c r="AA188" s="300">
        <f t="shared" si="43"/>
        <v>0.7</v>
      </c>
    </row>
    <row r="189" spans="1:28">
      <c r="B189" s="33">
        <v>65</v>
      </c>
      <c r="C189" s="1" t="s">
        <v>78</v>
      </c>
    </row>
    <row r="190" spans="1:28">
      <c r="B190" s="89">
        <v>65</v>
      </c>
      <c r="C190" s="1" t="s">
        <v>79</v>
      </c>
    </row>
    <row r="191" spans="1:28">
      <c r="B191" s="326"/>
      <c r="C191" s="1" t="s">
        <v>80</v>
      </c>
    </row>
    <row r="192" spans="1:28">
      <c r="B192" s="34">
        <v>65</v>
      </c>
      <c r="C192" s="1" t="s">
        <v>81</v>
      </c>
    </row>
    <row r="195" spans="1:39" ht="15.75">
      <c r="B195" s="5" t="s">
        <v>74</v>
      </c>
      <c r="P195" s="1"/>
      <c r="Q195" s="1"/>
      <c r="R195" s="1"/>
      <c r="S195" s="1"/>
      <c r="T195" s="1"/>
      <c r="U195" s="1"/>
      <c r="V195" s="1"/>
      <c r="W195" s="1"/>
    </row>
    <row r="196" spans="1:39" ht="15.75">
      <c r="B196" s="5">
        <v>1</v>
      </c>
      <c r="C196" s="1">
        <v>2</v>
      </c>
      <c r="D196" s="1">
        <v>3</v>
      </c>
      <c r="E196" s="1">
        <v>4</v>
      </c>
      <c r="F196" s="1">
        <v>5</v>
      </c>
      <c r="G196" s="1">
        <v>6</v>
      </c>
      <c r="H196" s="1">
        <v>7</v>
      </c>
      <c r="I196" s="1">
        <v>8</v>
      </c>
      <c r="J196" s="1">
        <v>9</v>
      </c>
      <c r="K196" s="1">
        <v>10</v>
      </c>
      <c r="L196" s="1">
        <v>11</v>
      </c>
      <c r="M196" s="1">
        <v>12</v>
      </c>
      <c r="P196" s="225" t="s">
        <v>264</v>
      </c>
      <c r="Q196" s="225" t="s">
        <v>265</v>
      </c>
      <c r="S196" s="225" t="s">
        <v>264</v>
      </c>
      <c r="T196" s="225" t="s">
        <v>265</v>
      </c>
      <c r="V196" s="225" t="s">
        <v>264</v>
      </c>
      <c r="W196" s="225" t="s">
        <v>265</v>
      </c>
      <c r="Y196" s="225" t="s">
        <v>264</v>
      </c>
      <c r="Z196" s="225" t="s">
        <v>265</v>
      </c>
    </row>
    <row r="197" spans="1:39">
      <c r="B197" s="165" t="s">
        <v>4</v>
      </c>
      <c r="C197" s="165" t="s">
        <v>8</v>
      </c>
      <c r="D197" s="165" t="s">
        <v>9</v>
      </c>
      <c r="E197" s="165" t="s">
        <v>10</v>
      </c>
      <c r="F197" s="165" t="s">
        <v>11</v>
      </c>
      <c r="G197" s="165" t="s">
        <v>12</v>
      </c>
      <c r="H197" s="165" t="s">
        <v>13</v>
      </c>
      <c r="I197" s="165" t="s">
        <v>15</v>
      </c>
      <c r="J197" s="165" t="s">
        <v>16</v>
      </c>
      <c r="K197" s="165" t="s">
        <v>17</v>
      </c>
      <c r="L197" s="165" t="s">
        <v>18</v>
      </c>
      <c r="M197" s="165" t="s">
        <v>19</v>
      </c>
      <c r="N197" s="165" t="s">
        <v>297</v>
      </c>
      <c r="P197" s="225" t="s">
        <v>91</v>
      </c>
      <c r="Q197" s="225" t="s">
        <v>93</v>
      </c>
      <c r="S197" s="225" t="s">
        <v>95</v>
      </c>
      <c r="T197" s="225" t="s">
        <v>97</v>
      </c>
      <c r="V197" s="225" t="s">
        <v>98</v>
      </c>
      <c r="W197" s="225" t="s">
        <v>99</v>
      </c>
      <c r="Y197" s="225" t="s">
        <v>315</v>
      </c>
      <c r="Z197" s="225" t="s">
        <v>316</v>
      </c>
      <c r="AD197" s="313"/>
      <c r="AE197" s="313" t="s">
        <v>4</v>
      </c>
      <c r="AG197" s="239"/>
      <c r="AH197" s="239" t="s">
        <v>15</v>
      </c>
      <c r="AJ197" s="239"/>
      <c r="AK197" s="313" t="s">
        <v>320</v>
      </c>
    </row>
    <row r="198" spans="1:39">
      <c r="A198" s="1">
        <f>A7</f>
        <v>1973</v>
      </c>
      <c r="B198" s="327">
        <v>33</v>
      </c>
      <c r="C198" s="328">
        <v>58</v>
      </c>
      <c r="D198" s="221">
        <v>63</v>
      </c>
      <c r="E198" s="221">
        <v>76</v>
      </c>
      <c r="F198" s="221">
        <v>89</v>
      </c>
      <c r="G198" s="221">
        <v>88</v>
      </c>
      <c r="H198" s="221">
        <v>89</v>
      </c>
      <c r="I198" s="221">
        <v>88</v>
      </c>
      <c r="J198" s="221">
        <v>88</v>
      </c>
      <c r="K198" s="221">
        <v>88</v>
      </c>
      <c r="L198" s="221">
        <v>78</v>
      </c>
      <c r="M198" s="328">
        <v>42</v>
      </c>
      <c r="N198" s="68">
        <f t="shared" ref="N198:N229" si="44">MIN(B198:M198)</f>
        <v>33</v>
      </c>
      <c r="Q198" s="304">
        <f>IF(L123&lt;1200,0,L198)</f>
        <v>78</v>
      </c>
      <c r="T198" s="304">
        <f>IF(D123&gt;1200,D198,0)</f>
        <v>63</v>
      </c>
      <c r="V198" s="291">
        <f t="shared" ref="V198:V210" si="45">+M198</f>
        <v>42</v>
      </c>
      <c r="W198" s="329"/>
      <c r="Y198" s="291">
        <f t="shared" ref="Y198:Y206" si="46">+C198</f>
        <v>58</v>
      </c>
      <c r="Z198" s="304"/>
      <c r="AA198" s="225">
        <v>1981</v>
      </c>
      <c r="AB198" s="1">
        <v>23</v>
      </c>
      <c r="AC198" s="225">
        <f>IF(B198&lt;32,1,0)</f>
        <v>0</v>
      </c>
      <c r="AD198" s="225">
        <v>1981</v>
      </c>
      <c r="AE198" s="291">
        <v>23</v>
      </c>
      <c r="AG198" s="1">
        <v>1998</v>
      </c>
      <c r="AH198" s="68">
        <v>97</v>
      </c>
      <c r="AJ198" s="1">
        <v>1983</v>
      </c>
      <c r="AK198" s="68">
        <v>23</v>
      </c>
    </row>
    <row r="199" spans="1:39">
      <c r="A199" s="1">
        <f>A8</f>
        <v>1974</v>
      </c>
      <c r="B199" s="223">
        <v>74</v>
      </c>
      <c r="C199" s="166">
        <v>35</v>
      </c>
      <c r="D199" s="222">
        <v>81</v>
      </c>
      <c r="E199" s="222">
        <v>87</v>
      </c>
      <c r="F199" s="222">
        <v>75</v>
      </c>
      <c r="G199" s="222">
        <v>89</v>
      </c>
      <c r="H199" s="222">
        <v>87</v>
      </c>
      <c r="I199" s="222">
        <v>89</v>
      </c>
      <c r="J199" s="222">
        <v>91</v>
      </c>
      <c r="K199" s="222">
        <v>81</v>
      </c>
      <c r="L199" s="222">
        <v>71</v>
      </c>
      <c r="M199" s="166">
        <v>38</v>
      </c>
      <c r="N199" s="68">
        <f t="shared" si="44"/>
        <v>35</v>
      </c>
      <c r="Q199" s="304">
        <f>IF(L124&lt;1200,0,L199)</f>
        <v>71</v>
      </c>
      <c r="T199" s="304">
        <f>IF(D124&gt;1200,D199,0)</f>
        <v>81</v>
      </c>
      <c r="V199" s="291">
        <f t="shared" si="45"/>
        <v>38</v>
      </c>
      <c r="W199" s="330"/>
      <c r="Y199" s="291">
        <f t="shared" si="46"/>
        <v>35</v>
      </c>
      <c r="Z199" s="304"/>
      <c r="AA199" s="225">
        <v>1982</v>
      </c>
      <c r="AB199" s="1">
        <v>24</v>
      </c>
      <c r="AC199" s="225">
        <f t="shared" ref="AC199:AC229" si="47">IF(B199&lt;32,1,0)</f>
        <v>0</v>
      </c>
      <c r="AD199" s="225">
        <v>1982</v>
      </c>
      <c r="AE199" s="291">
        <v>24</v>
      </c>
      <c r="AG199" s="1">
        <v>1995</v>
      </c>
      <c r="AH199" s="68">
        <v>96</v>
      </c>
      <c r="AJ199" s="1">
        <v>2010</v>
      </c>
      <c r="AK199" s="68">
        <v>27</v>
      </c>
    </row>
    <row r="200" spans="1:39">
      <c r="A200" s="1">
        <f>A9</f>
        <v>1975</v>
      </c>
      <c r="B200" s="331">
        <v>34</v>
      </c>
      <c r="C200" s="166">
        <v>45</v>
      </c>
      <c r="D200" s="166">
        <v>39</v>
      </c>
      <c r="E200" s="222">
        <v>90</v>
      </c>
      <c r="F200" s="222">
        <v>92</v>
      </c>
      <c r="G200" s="222">
        <v>92</v>
      </c>
      <c r="H200" s="222">
        <v>90</v>
      </c>
      <c r="I200" s="222">
        <v>93</v>
      </c>
      <c r="J200" s="222">
        <v>89</v>
      </c>
      <c r="K200" s="222">
        <v>88</v>
      </c>
      <c r="L200" s="166">
        <v>44</v>
      </c>
      <c r="M200" s="332">
        <v>44</v>
      </c>
      <c r="N200" s="68">
        <f t="shared" si="44"/>
        <v>34</v>
      </c>
      <c r="O200" s="1">
        <f>+O201+1</f>
        <v>47</v>
      </c>
      <c r="P200" s="291">
        <f>+L200</f>
        <v>44</v>
      </c>
      <c r="Q200" s="330"/>
      <c r="S200" s="225">
        <f>IF(D125&lt;1200,D200,0)</f>
        <v>39</v>
      </c>
      <c r="T200" s="330"/>
      <c r="V200" s="291">
        <f t="shared" si="45"/>
        <v>44</v>
      </c>
      <c r="W200" s="329"/>
      <c r="Y200" s="291">
        <f t="shared" si="46"/>
        <v>45</v>
      </c>
      <c r="Z200" s="304"/>
      <c r="AA200" s="225">
        <v>1985</v>
      </c>
      <c r="AB200" s="1">
        <v>26</v>
      </c>
      <c r="AC200" s="225">
        <f t="shared" si="47"/>
        <v>0</v>
      </c>
      <c r="AD200" s="225">
        <v>1985</v>
      </c>
      <c r="AE200" s="291">
        <v>26</v>
      </c>
      <c r="AG200" s="1">
        <v>1993</v>
      </c>
      <c r="AH200" s="68">
        <v>95</v>
      </c>
      <c r="AJ200" s="1">
        <v>1989</v>
      </c>
      <c r="AK200" s="68">
        <v>29</v>
      </c>
    </row>
    <row r="201" spans="1:39">
      <c r="A201" s="1">
        <f>A10</f>
        <v>1976</v>
      </c>
      <c r="B201" s="331">
        <v>30</v>
      </c>
      <c r="C201" s="166">
        <v>41</v>
      </c>
      <c r="D201" s="222">
        <v>76</v>
      </c>
      <c r="E201" s="222">
        <v>86</v>
      </c>
      <c r="F201" s="222">
        <v>85</v>
      </c>
      <c r="G201" s="222">
        <v>89</v>
      </c>
      <c r="H201" s="222">
        <v>89</v>
      </c>
      <c r="I201" s="222">
        <v>87</v>
      </c>
      <c r="J201" s="222">
        <v>79</v>
      </c>
      <c r="K201" s="222">
        <v>80</v>
      </c>
      <c r="L201" s="332">
        <v>40</v>
      </c>
      <c r="M201" s="166">
        <v>40</v>
      </c>
      <c r="N201" s="68">
        <f t="shared" si="44"/>
        <v>30</v>
      </c>
      <c r="O201" s="1">
        <f>+O202+1</f>
        <v>46</v>
      </c>
      <c r="P201" s="291">
        <f>+L201</f>
        <v>40</v>
      </c>
      <c r="Q201" s="329"/>
      <c r="T201" s="304">
        <f>IF(D126&gt;1200,D201,0)</f>
        <v>76</v>
      </c>
      <c r="V201" s="291">
        <f t="shared" si="45"/>
        <v>40</v>
      </c>
      <c r="W201" s="330"/>
      <c r="Y201" s="291">
        <f t="shared" si="46"/>
        <v>41</v>
      </c>
      <c r="Z201" s="304"/>
      <c r="AA201" s="225">
        <v>1986</v>
      </c>
      <c r="AB201" s="1">
        <v>26</v>
      </c>
      <c r="AC201" s="225">
        <f t="shared" si="47"/>
        <v>1</v>
      </c>
      <c r="AD201" s="225">
        <v>1986</v>
      </c>
      <c r="AE201" s="291">
        <v>26</v>
      </c>
      <c r="AG201" s="1">
        <v>2006</v>
      </c>
      <c r="AH201" s="68">
        <v>95</v>
      </c>
      <c r="AJ201" s="1">
        <v>1981</v>
      </c>
      <c r="AK201" s="68">
        <v>32</v>
      </c>
    </row>
    <row r="202" spans="1:39">
      <c r="A202" s="1">
        <f>A11</f>
        <v>1977</v>
      </c>
      <c r="B202" s="331">
        <v>29</v>
      </c>
      <c r="C202" s="166">
        <v>35</v>
      </c>
      <c r="D202" s="222">
        <v>77</v>
      </c>
      <c r="E202" s="222">
        <v>78</v>
      </c>
      <c r="F202" s="222">
        <v>82</v>
      </c>
      <c r="G202" s="222">
        <v>93</v>
      </c>
      <c r="H202" s="222">
        <v>91</v>
      </c>
      <c r="I202" s="222">
        <v>88</v>
      </c>
      <c r="J202" s="222">
        <v>91</v>
      </c>
      <c r="K202" s="222">
        <v>84</v>
      </c>
      <c r="L202" s="222">
        <v>77</v>
      </c>
      <c r="M202" s="166">
        <v>35</v>
      </c>
      <c r="N202" s="68">
        <f t="shared" si="44"/>
        <v>29</v>
      </c>
      <c r="O202" s="1">
        <f t="shared" ref="O202:O245" si="48">+O203+1</f>
        <v>45</v>
      </c>
      <c r="Q202" s="304">
        <f>IF(L127&lt;1200,0,L202)</f>
        <v>77</v>
      </c>
      <c r="T202" s="304">
        <f>IF(D127&gt;1200,D202,0)</f>
        <v>77</v>
      </c>
      <c r="V202" s="291">
        <f t="shared" si="45"/>
        <v>35</v>
      </c>
      <c r="W202" s="330"/>
      <c r="Y202" s="291">
        <f t="shared" si="46"/>
        <v>35</v>
      </c>
      <c r="Z202" s="304"/>
      <c r="AA202" s="225">
        <v>2010</v>
      </c>
      <c r="AB202" s="1">
        <v>27</v>
      </c>
      <c r="AC202" s="225">
        <f t="shared" si="47"/>
        <v>1</v>
      </c>
      <c r="AD202" s="225">
        <v>2010</v>
      </c>
      <c r="AE202" s="291">
        <v>27</v>
      </c>
      <c r="AG202" s="1">
        <v>2007</v>
      </c>
      <c r="AH202" s="68">
        <v>95</v>
      </c>
      <c r="AJ202" s="1">
        <v>1985</v>
      </c>
      <c r="AK202" s="68">
        <v>32</v>
      </c>
      <c r="AM202" s="166"/>
    </row>
    <row r="203" spans="1:39">
      <c r="A203" s="1">
        <f>A12</f>
        <v>1978</v>
      </c>
      <c r="B203" s="331">
        <v>29</v>
      </c>
      <c r="C203" s="166">
        <v>31</v>
      </c>
      <c r="D203" s="166">
        <v>40</v>
      </c>
      <c r="E203" s="222">
        <v>79</v>
      </c>
      <c r="F203" s="222">
        <v>90</v>
      </c>
      <c r="G203" s="222">
        <v>92</v>
      </c>
      <c r="H203" s="222">
        <v>92</v>
      </c>
      <c r="I203" s="222">
        <v>91</v>
      </c>
      <c r="J203" s="222">
        <v>91</v>
      </c>
      <c r="K203" s="222">
        <v>87</v>
      </c>
      <c r="L203" s="222">
        <v>78</v>
      </c>
      <c r="M203" s="332">
        <v>51</v>
      </c>
      <c r="N203" s="68">
        <f t="shared" si="44"/>
        <v>29</v>
      </c>
      <c r="O203" s="1">
        <f t="shared" si="48"/>
        <v>44</v>
      </c>
      <c r="Q203" s="304">
        <f>IF(L128&lt;1200,0,L203)</f>
        <v>78</v>
      </c>
      <c r="S203" s="225">
        <f>IF(D128&lt;1200,D203,0)</f>
        <v>40</v>
      </c>
      <c r="T203" s="330"/>
      <c r="V203" s="291">
        <f t="shared" si="45"/>
        <v>51</v>
      </c>
      <c r="W203" s="329"/>
      <c r="Y203" s="291">
        <f t="shared" si="46"/>
        <v>31</v>
      </c>
      <c r="Z203" s="304"/>
      <c r="AA203" s="225">
        <v>2003</v>
      </c>
      <c r="AB203" s="1">
        <v>28</v>
      </c>
      <c r="AC203" s="225">
        <f t="shared" si="47"/>
        <v>1</v>
      </c>
      <c r="AD203" s="225">
        <v>2003</v>
      </c>
      <c r="AE203" s="291">
        <v>28</v>
      </c>
      <c r="AG203" s="1">
        <v>1997</v>
      </c>
      <c r="AH203" s="68">
        <v>94</v>
      </c>
      <c r="AJ203" s="1">
        <v>2022</v>
      </c>
      <c r="AK203" s="68">
        <v>32</v>
      </c>
    </row>
    <row r="204" spans="1:39">
      <c r="A204" s="1">
        <f>A13</f>
        <v>1979</v>
      </c>
      <c r="B204" s="331">
        <v>32</v>
      </c>
      <c r="C204" s="166">
        <v>37</v>
      </c>
      <c r="D204" s="166">
        <v>49</v>
      </c>
      <c r="E204" s="222">
        <v>80</v>
      </c>
      <c r="F204" s="222">
        <v>87</v>
      </c>
      <c r="G204" s="222">
        <v>90</v>
      </c>
      <c r="H204" s="222">
        <v>91</v>
      </c>
      <c r="I204" s="222">
        <v>90</v>
      </c>
      <c r="J204" s="222">
        <v>89</v>
      </c>
      <c r="K204" s="222">
        <v>86</v>
      </c>
      <c r="L204" s="332">
        <v>44</v>
      </c>
      <c r="M204" s="166">
        <v>40</v>
      </c>
      <c r="N204" s="68">
        <f t="shared" si="44"/>
        <v>32</v>
      </c>
      <c r="O204" s="1">
        <f t="shared" si="48"/>
        <v>43</v>
      </c>
      <c r="P204" s="291">
        <f>+L204</f>
        <v>44</v>
      </c>
      <c r="Q204" s="329"/>
      <c r="S204" s="225">
        <f>IF(D129&lt;1200,D204,0)</f>
        <v>49</v>
      </c>
      <c r="T204" s="330"/>
      <c r="V204" s="291">
        <f t="shared" si="45"/>
        <v>40</v>
      </c>
      <c r="W204" s="330" t="s">
        <v>86</v>
      </c>
      <c r="Y204" s="291">
        <f t="shared" si="46"/>
        <v>37</v>
      </c>
      <c r="Z204" s="304"/>
      <c r="AA204" s="225">
        <v>2018</v>
      </c>
      <c r="AB204" s="1">
        <v>28</v>
      </c>
      <c r="AC204" s="225">
        <f t="shared" si="47"/>
        <v>0</v>
      </c>
      <c r="AD204" s="225">
        <v>2018</v>
      </c>
      <c r="AE204" s="291">
        <v>28</v>
      </c>
      <c r="AG204" s="1">
        <v>2011</v>
      </c>
      <c r="AH204" s="68">
        <v>94</v>
      </c>
      <c r="AJ204" s="1">
        <v>1995</v>
      </c>
      <c r="AK204" s="68">
        <v>34</v>
      </c>
    </row>
    <row r="205" spans="1:39">
      <c r="A205" s="1">
        <f>A14</f>
        <v>1980</v>
      </c>
      <c r="B205" s="331">
        <v>37</v>
      </c>
      <c r="C205" s="166">
        <v>37</v>
      </c>
      <c r="D205" s="332">
        <v>40</v>
      </c>
      <c r="E205" s="222">
        <v>71</v>
      </c>
      <c r="F205" s="222">
        <v>89</v>
      </c>
      <c r="G205" s="222">
        <v>88</v>
      </c>
      <c r="H205" s="222">
        <v>88</v>
      </c>
      <c r="I205" s="222">
        <v>90</v>
      </c>
      <c r="J205" s="222">
        <v>89</v>
      </c>
      <c r="K205" s="222">
        <v>79</v>
      </c>
      <c r="L205" s="222">
        <v>76</v>
      </c>
      <c r="M205" s="166">
        <v>46</v>
      </c>
      <c r="N205" s="68">
        <f t="shared" si="44"/>
        <v>37</v>
      </c>
      <c r="O205" s="1">
        <f t="shared" si="48"/>
        <v>42</v>
      </c>
      <c r="Q205" s="304">
        <f>IF(L130&lt;1200,0,L205)</f>
        <v>76</v>
      </c>
      <c r="T205" s="329"/>
      <c r="V205" s="291">
        <f t="shared" si="45"/>
        <v>46</v>
      </c>
      <c r="W205" s="330" t="s">
        <v>86</v>
      </c>
      <c r="Y205" s="291">
        <f t="shared" si="46"/>
        <v>37</v>
      </c>
      <c r="Z205" s="304"/>
      <c r="AA205" s="225">
        <v>1977</v>
      </c>
      <c r="AB205" s="1">
        <v>29</v>
      </c>
      <c r="AC205" s="225">
        <f t="shared" si="47"/>
        <v>0</v>
      </c>
      <c r="AD205" s="225">
        <v>1977</v>
      </c>
      <c r="AE205" s="291">
        <v>29</v>
      </c>
      <c r="AG205" s="1">
        <v>2014</v>
      </c>
      <c r="AH205" s="68">
        <v>94</v>
      </c>
      <c r="AJ205" s="1">
        <v>1977</v>
      </c>
      <c r="AK205" s="68">
        <v>35</v>
      </c>
    </row>
    <row r="206" spans="1:39">
      <c r="A206" s="1">
        <f>A15</f>
        <v>1981</v>
      </c>
      <c r="B206" s="331">
        <v>23</v>
      </c>
      <c r="C206" s="332">
        <v>42</v>
      </c>
      <c r="D206" s="332">
        <v>55</v>
      </c>
      <c r="E206" s="222">
        <v>76</v>
      </c>
      <c r="F206" s="222">
        <v>85</v>
      </c>
      <c r="G206" s="222">
        <v>88</v>
      </c>
      <c r="H206" s="222">
        <v>91</v>
      </c>
      <c r="I206" s="222">
        <v>91</v>
      </c>
      <c r="J206" s="222">
        <v>87</v>
      </c>
      <c r="K206" s="222">
        <v>86</v>
      </c>
      <c r="L206" s="166">
        <v>39</v>
      </c>
      <c r="M206" s="166">
        <v>32</v>
      </c>
      <c r="N206" s="68">
        <f t="shared" si="44"/>
        <v>23</v>
      </c>
      <c r="O206" s="1">
        <f t="shared" si="48"/>
        <v>41</v>
      </c>
      <c r="P206" s="291">
        <f>+L206</f>
        <v>39</v>
      </c>
      <c r="Q206" s="330"/>
      <c r="T206" s="329"/>
      <c r="V206" s="291">
        <f t="shared" si="45"/>
        <v>32</v>
      </c>
      <c r="W206" s="330" t="s">
        <v>86</v>
      </c>
      <c r="Y206" s="291">
        <f t="shared" si="46"/>
        <v>42</v>
      </c>
      <c r="Z206" s="304"/>
      <c r="AA206" s="225">
        <v>1978</v>
      </c>
      <c r="AB206" s="1">
        <v>29</v>
      </c>
      <c r="AC206" s="225">
        <f t="shared" si="47"/>
        <v>1</v>
      </c>
      <c r="AD206" s="225">
        <v>1978</v>
      </c>
      <c r="AE206" s="291">
        <v>29</v>
      </c>
      <c r="AG206" s="1">
        <v>2021</v>
      </c>
      <c r="AH206" s="68">
        <v>94</v>
      </c>
      <c r="AJ206" s="1">
        <v>2004</v>
      </c>
      <c r="AK206" s="68">
        <v>35</v>
      </c>
      <c r="AM206" s="166"/>
    </row>
    <row r="207" spans="1:39">
      <c r="A207" s="1">
        <f>A16</f>
        <v>1982</v>
      </c>
      <c r="B207" s="331">
        <v>24</v>
      </c>
      <c r="C207" s="222">
        <v>73</v>
      </c>
      <c r="D207" s="166">
        <v>40</v>
      </c>
      <c r="E207" s="222">
        <v>77</v>
      </c>
      <c r="F207" s="222">
        <v>88</v>
      </c>
      <c r="G207" s="222">
        <v>89</v>
      </c>
      <c r="H207" s="222">
        <v>85</v>
      </c>
      <c r="I207" s="222">
        <v>90</v>
      </c>
      <c r="J207" s="222">
        <v>91</v>
      </c>
      <c r="K207" s="222">
        <v>88</v>
      </c>
      <c r="L207" s="222">
        <v>80</v>
      </c>
      <c r="M207" s="166">
        <v>37</v>
      </c>
      <c r="N207" s="68">
        <f t="shared" si="44"/>
        <v>24</v>
      </c>
      <c r="O207" s="1">
        <f t="shared" si="48"/>
        <v>40</v>
      </c>
      <c r="Q207" s="304">
        <f>IF(L132&lt;1200,0,L207)</f>
        <v>80</v>
      </c>
      <c r="S207" s="225">
        <f>IF(D132&lt;1200,D207,0)</f>
        <v>40</v>
      </c>
      <c r="T207" s="330"/>
      <c r="V207" s="291">
        <f t="shared" si="45"/>
        <v>37</v>
      </c>
      <c r="W207" s="330" t="s">
        <v>86</v>
      </c>
      <c r="Z207" s="304">
        <f>IF(C132&gt;=1200,C207,0)</f>
        <v>73</v>
      </c>
      <c r="AA207" s="225">
        <v>2008</v>
      </c>
      <c r="AB207" s="1">
        <v>29</v>
      </c>
      <c r="AC207" s="225">
        <f t="shared" si="47"/>
        <v>1</v>
      </c>
      <c r="AD207" s="225">
        <v>2008</v>
      </c>
      <c r="AE207" s="291">
        <v>29</v>
      </c>
      <c r="AG207" s="1">
        <v>1975</v>
      </c>
      <c r="AH207" s="68">
        <v>93</v>
      </c>
      <c r="AJ207" s="1">
        <v>1996</v>
      </c>
      <c r="AK207" s="68">
        <v>36</v>
      </c>
      <c r="AM207" s="166"/>
    </row>
    <row r="208" spans="1:39">
      <c r="A208" s="1">
        <f>A17</f>
        <v>1983</v>
      </c>
      <c r="B208" s="331">
        <v>36</v>
      </c>
      <c r="C208" s="166">
        <v>39</v>
      </c>
      <c r="D208" s="332">
        <v>49</v>
      </c>
      <c r="E208" s="222">
        <v>79</v>
      </c>
      <c r="F208" s="222">
        <v>87</v>
      </c>
      <c r="G208" s="222">
        <v>88</v>
      </c>
      <c r="H208" s="222">
        <v>90</v>
      </c>
      <c r="I208" s="222">
        <v>91</v>
      </c>
      <c r="J208" s="222">
        <v>89</v>
      </c>
      <c r="K208" s="222">
        <v>86</v>
      </c>
      <c r="L208" s="166">
        <v>43</v>
      </c>
      <c r="M208" s="166">
        <v>23</v>
      </c>
      <c r="N208" s="68">
        <f t="shared" si="44"/>
        <v>23</v>
      </c>
      <c r="O208" s="1">
        <f t="shared" si="48"/>
        <v>39</v>
      </c>
      <c r="P208" s="291">
        <f>+L208</f>
        <v>43</v>
      </c>
      <c r="Q208" s="330"/>
      <c r="T208" s="329"/>
      <c r="V208" s="291">
        <f t="shared" si="45"/>
        <v>23</v>
      </c>
      <c r="W208" s="330" t="s">
        <v>86</v>
      </c>
      <c r="Y208" s="291">
        <f t="shared" ref="Y208:Y241" si="49">+C208</f>
        <v>39</v>
      </c>
      <c r="Z208" s="304"/>
      <c r="AA208" s="225">
        <v>1976</v>
      </c>
      <c r="AB208" s="1">
        <v>30</v>
      </c>
      <c r="AC208" s="225">
        <f t="shared" si="47"/>
        <v>0</v>
      </c>
      <c r="AD208" s="225">
        <v>1976</v>
      </c>
      <c r="AE208" s="291">
        <v>30</v>
      </c>
      <c r="AG208" s="1">
        <v>2000</v>
      </c>
      <c r="AH208" s="68">
        <v>93</v>
      </c>
      <c r="AJ208" s="1">
        <v>2000</v>
      </c>
      <c r="AK208" s="68">
        <v>36</v>
      </c>
    </row>
    <row r="209" spans="1:39">
      <c r="A209" s="1">
        <f>A18</f>
        <v>1984</v>
      </c>
      <c r="B209" s="331">
        <v>41</v>
      </c>
      <c r="C209" s="166">
        <v>37</v>
      </c>
      <c r="D209" s="166">
        <v>40</v>
      </c>
      <c r="E209" s="222">
        <v>85</v>
      </c>
      <c r="F209" s="222">
        <v>93</v>
      </c>
      <c r="G209" s="222">
        <v>88</v>
      </c>
      <c r="H209" s="222">
        <v>92</v>
      </c>
      <c r="I209" s="222">
        <v>90</v>
      </c>
      <c r="J209" s="222">
        <v>92</v>
      </c>
      <c r="K209" s="222">
        <v>81</v>
      </c>
      <c r="L209" s="166">
        <v>42</v>
      </c>
      <c r="M209" s="166">
        <v>37</v>
      </c>
      <c r="N209" s="68">
        <f t="shared" si="44"/>
        <v>37</v>
      </c>
      <c r="O209" s="1">
        <f t="shared" si="48"/>
        <v>38</v>
      </c>
      <c r="P209" s="291">
        <f>+L209</f>
        <v>42</v>
      </c>
      <c r="Q209" s="330"/>
      <c r="S209" s="225">
        <f>IF(D134&lt;1200,D209,0)</f>
        <v>40</v>
      </c>
      <c r="T209" s="330"/>
      <c r="V209" s="291">
        <f t="shared" si="45"/>
        <v>37</v>
      </c>
      <c r="W209" s="330" t="s">
        <v>86</v>
      </c>
      <c r="Y209" s="291">
        <f t="shared" si="49"/>
        <v>37</v>
      </c>
      <c r="Z209" s="304"/>
      <c r="AA209" s="225">
        <v>1996</v>
      </c>
      <c r="AB209" s="1">
        <v>31</v>
      </c>
      <c r="AC209" s="225">
        <f t="shared" si="47"/>
        <v>0</v>
      </c>
      <c r="AD209" s="225">
        <v>1996</v>
      </c>
      <c r="AE209" s="291">
        <v>31</v>
      </c>
      <c r="AG209" s="1">
        <v>2001</v>
      </c>
      <c r="AH209" s="68">
        <v>93</v>
      </c>
      <c r="AJ209" s="1">
        <v>1982</v>
      </c>
      <c r="AK209" s="68">
        <v>37</v>
      </c>
    </row>
    <row r="210" spans="1:39">
      <c r="A210" s="1">
        <f>A19</f>
        <v>1985</v>
      </c>
      <c r="B210" s="331">
        <v>26</v>
      </c>
      <c r="C210" s="166">
        <v>39</v>
      </c>
      <c r="D210" s="166">
        <v>39</v>
      </c>
      <c r="E210" s="222">
        <v>85</v>
      </c>
      <c r="F210" s="222">
        <v>90</v>
      </c>
      <c r="G210" s="222">
        <v>95</v>
      </c>
      <c r="H210" s="222">
        <v>91</v>
      </c>
      <c r="I210" s="222">
        <v>83</v>
      </c>
      <c r="J210" s="222">
        <v>90</v>
      </c>
      <c r="K210" s="222">
        <v>89</v>
      </c>
      <c r="L210" s="222">
        <v>81</v>
      </c>
      <c r="M210" s="166">
        <v>32</v>
      </c>
      <c r="N210" s="68">
        <f t="shared" si="44"/>
        <v>26</v>
      </c>
      <c r="O210" s="1">
        <f t="shared" si="48"/>
        <v>37</v>
      </c>
      <c r="Q210" s="304">
        <f>IF(L135&lt;1200,0,L210)</f>
        <v>81</v>
      </c>
      <c r="S210" s="225">
        <f>IF(D135&lt;1200,D210,0)</f>
        <v>39</v>
      </c>
      <c r="T210" s="330"/>
      <c r="V210" s="291">
        <f t="shared" si="45"/>
        <v>32</v>
      </c>
      <c r="W210" s="330" t="s">
        <v>86</v>
      </c>
      <c r="Y210" s="291">
        <f t="shared" si="49"/>
        <v>39</v>
      </c>
      <c r="Z210" s="304"/>
      <c r="AA210" s="225">
        <v>2011</v>
      </c>
      <c r="AB210" s="1">
        <v>31</v>
      </c>
      <c r="AC210" s="225">
        <f t="shared" si="47"/>
        <v>1</v>
      </c>
      <c r="AD210" s="225">
        <v>2011</v>
      </c>
      <c r="AE210" s="291">
        <v>31</v>
      </c>
      <c r="AG210" s="1">
        <v>2005</v>
      </c>
      <c r="AH210" s="68">
        <v>93</v>
      </c>
      <c r="AJ210" s="1">
        <v>1984</v>
      </c>
      <c r="AK210" s="68">
        <v>37</v>
      </c>
    </row>
    <row r="211" spans="1:39">
      <c r="A211" s="1">
        <f>A20</f>
        <v>1986</v>
      </c>
      <c r="B211" s="331">
        <v>26</v>
      </c>
      <c r="C211" s="166">
        <v>40</v>
      </c>
      <c r="D211" s="166">
        <v>47</v>
      </c>
      <c r="E211" s="222">
        <v>89</v>
      </c>
      <c r="F211" s="222">
        <v>93</v>
      </c>
      <c r="G211" s="222">
        <v>89</v>
      </c>
      <c r="H211" s="222">
        <v>91</v>
      </c>
      <c r="I211" s="222">
        <v>92</v>
      </c>
      <c r="J211" s="222">
        <v>92</v>
      </c>
      <c r="K211" s="222">
        <v>90</v>
      </c>
      <c r="L211" s="222">
        <v>79</v>
      </c>
      <c r="M211" s="222">
        <v>75</v>
      </c>
      <c r="N211" s="68">
        <f t="shared" si="44"/>
        <v>26</v>
      </c>
      <c r="O211" s="1">
        <f t="shared" si="48"/>
        <v>36</v>
      </c>
      <c r="Q211" s="304">
        <f>IF(L136&lt;1200,0,L211)</f>
        <v>79</v>
      </c>
      <c r="S211" s="225">
        <f>IF(D136&lt;1200,D211,0)</f>
        <v>47</v>
      </c>
      <c r="T211" s="330"/>
      <c r="V211" s="225" t="s">
        <v>86</v>
      </c>
      <c r="W211" s="304">
        <f>IF(M136&gt;=1200,M211,0)</f>
        <v>75</v>
      </c>
      <c r="Y211" s="291">
        <f t="shared" si="49"/>
        <v>40</v>
      </c>
      <c r="Z211" s="304"/>
      <c r="AA211" s="225">
        <v>1979</v>
      </c>
      <c r="AB211" s="1">
        <v>32</v>
      </c>
      <c r="AC211" s="225">
        <f t="shared" si="47"/>
        <v>1</v>
      </c>
      <c r="AD211" s="225">
        <v>1979</v>
      </c>
      <c r="AE211" s="291">
        <v>32</v>
      </c>
      <c r="AG211" s="1">
        <v>2009</v>
      </c>
      <c r="AH211" s="68">
        <v>93</v>
      </c>
      <c r="AJ211" s="1">
        <v>1988</v>
      </c>
      <c r="AK211" s="68">
        <v>37</v>
      </c>
    </row>
    <row r="212" spans="1:39">
      <c r="A212" s="1">
        <f>A21</f>
        <v>1987</v>
      </c>
      <c r="B212" s="331">
        <v>36</v>
      </c>
      <c r="C212" s="166">
        <v>35</v>
      </c>
      <c r="D212" s="332">
        <v>51</v>
      </c>
      <c r="E212" s="166">
        <v>42</v>
      </c>
      <c r="F212" s="222">
        <v>85</v>
      </c>
      <c r="G212" s="222">
        <v>94</v>
      </c>
      <c r="H212" s="222">
        <v>92</v>
      </c>
      <c r="I212" s="222">
        <v>92</v>
      </c>
      <c r="J212" s="222">
        <v>91</v>
      </c>
      <c r="K212" s="222">
        <v>82</v>
      </c>
      <c r="L212" s="222">
        <v>80</v>
      </c>
      <c r="M212" s="166">
        <v>39</v>
      </c>
      <c r="N212" s="68">
        <f t="shared" si="44"/>
        <v>35</v>
      </c>
      <c r="O212" s="1">
        <f t="shared" si="48"/>
        <v>35</v>
      </c>
      <c r="Q212" s="304">
        <f>IF(L137&lt;1200,0,L212)</f>
        <v>80</v>
      </c>
      <c r="T212" s="329"/>
      <c r="V212" s="225">
        <f>IF(M137&lt;1200,M212,0)</f>
        <v>39</v>
      </c>
      <c r="W212" s="330" t="s">
        <v>86</v>
      </c>
      <c r="Y212" s="291">
        <f t="shared" si="49"/>
        <v>35</v>
      </c>
      <c r="Z212" s="304"/>
      <c r="AA212" s="225">
        <v>1999</v>
      </c>
      <c r="AB212" s="1">
        <v>32</v>
      </c>
      <c r="AC212" s="225">
        <f t="shared" si="47"/>
        <v>0</v>
      </c>
      <c r="AD212" s="225">
        <v>1999</v>
      </c>
      <c r="AE212" s="291">
        <v>32</v>
      </c>
      <c r="AG212" s="1">
        <v>2012</v>
      </c>
      <c r="AH212" s="68">
        <v>93</v>
      </c>
      <c r="AJ212" s="1">
        <v>1974</v>
      </c>
      <c r="AK212" s="68">
        <v>38</v>
      </c>
    </row>
    <row r="213" spans="1:39">
      <c r="A213" s="1">
        <f>A22</f>
        <v>1988</v>
      </c>
      <c r="B213" s="331">
        <v>34</v>
      </c>
      <c r="C213" s="166">
        <v>38</v>
      </c>
      <c r="D213" s="166">
        <v>38</v>
      </c>
      <c r="E213" s="222">
        <v>81</v>
      </c>
      <c r="F213" s="222">
        <v>90</v>
      </c>
      <c r="G213" s="222">
        <v>88</v>
      </c>
      <c r="H213" s="222">
        <v>94</v>
      </c>
      <c r="I213" s="222">
        <v>92</v>
      </c>
      <c r="J213" s="222">
        <v>91</v>
      </c>
      <c r="K213" s="222">
        <v>83</v>
      </c>
      <c r="L213" s="222">
        <v>78</v>
      </c>
      <c r="M213" s="166">
        <v>37</v>
      </c>
      <c r="N213" s="68">
        <f t="shared" si="44"/>
        <v>34</v>
      </c>
      <c r="O213" s="1">
        <f t="shared" si="48"/>
        <v>34</v>
      </c>
      <c r="Q213" s="304">
        <f>IF(L138&lt;1200,0,L213)</f>
        <v>78</v>
      </c>
      <c r="S213" s="225">
        <f>IF(D138&lt;1200,D213,0)</f>
        <v>38</v>
      </c>
      <c r="T213" s="330"/>
      <c r="V213" s="225">
        <f>IF(M138&lt;1200,M213,0)</f>
        <v>37</v>
      </c>
      <c r="W213" s="330" t="s">
        <v>86</v>
      </c>
      <c r="Y213" s="291">
        <f t="shared" si="49"/>
        <v>38</v>
      </c>
      <c r="Z213" s="304"/>
      <c r="AA213" s="225">
        <v>2000</v>
      </c>
      <c r="AB213" s="1">
        <v>32</v>
      </c>
      <c r="AC213" s="225">
        <f t="shared" si="47"/>
        <v>0</v>
      </c>
      <c r="AD213" s="225">
        <v>2000</v>
      </c>
      <c r="AE213" s="291">
        <v>32</v>
      </c>
      <c r="AG213" s="1">
        <v>2015</v>
      </c>
      <c r="AH213" s="68">
        <v>93</v>
      </c>
      <c r="AJ213" s="1">
        <v>1987</v>
      </c>
      <c r="AK213" s="68">
        <v>39</v>
      </c>
    </row>
    <row r="214" spans="1:39">
      <c r="A214" s="1">
        <f>A23</f>
        <v>1989</v>
      </c>
      <c r="B214" s="331">
        <v>44</v>
      </c>
      <c r="C214" s="166">
        <v>35</v>
      </c>
      <c r="D214" s="166">
        <v>44</v>
      </c>
      <c r="E214" s="222">
        <v>85</v>
      </c>
      <c r="F214" s="222">
        <v>93</v>
      </c>
      <c r="G214" s="222">
        <v>92</v>
      </c>
      <c r="H214" s="222">
        <v>92</v>
      </c>
      <c r="I214" s="222">
        <v>92</v>
      </c>
      <c r="J214" s="222">
        <v>90</v>
      </c>
      <c r="K214" s="222">
        <v>88</v>
      </c>
      <c r="L214" s="222">
        <v>77</v>
      </c>
      <c r="M214" s="332">
        <v>29</v>
      </c>
      <c r="N214" s="68">
        <f t="shared" si="44"/>
        <v>29</v>
      </c>
      <c r="O214" s="1">
        <f t="shared" si="48"/>
        <v>33</v>
      </c>
      <c r="Q214" s="304">
        <f>IF(L139&lt;1200,0,L214)</f>
        <v>77</v>
      </c>
      <c r="S214" s="225">
        <f>IF(D139&lt;1200,D214,0)</f>
        <v>44</v>
      </c>
      <c r="T214" s="330"/>
      <c r="V214" s="291">
        <f>+M214</f>
        <v>29</v>
      </c>
      <c r="W214" s="329"/>
      <c r="Y214" s="291">
        <f t="shared" si="49"/>
        <v>35</v>
      </c>
      <c r="Z214" s="304"/>
      <c r="AA214" s="225">
        <v>1973</v>
      </c>
      <c r="AB214" s="1">
        <v>33</v>
      </c>
      <c r="AC214" s="225">
        <f t="shared" si="47"/>
        <v>0</v>
      </c>
      <c r="AD214" s="225">
        <v>1973</v>
      </c>
      <c r="AE214" s="291">
        <v>33</v>
      </c>
      <c r="AG214" s="1">
        <v>2016</v>
      </c>
      <c r="AH214" s="68">
        <v>93</v>
      </c>
      <c r="AJ214" s="1">
        <v>1993</v>
      </c>
      <c r="AK214" s="68">
        <v>39</v>
      </c>
    </row>
    <row r="215" spans="1:39">
      <c r="A215" s="1">
        <f>A24</f>
        <v>1990</v>
      </c>
      <c r="B215" s="331">
        <v>44</v>
      </c>
      <c r="C215" s="166">
        <v>50</v>
      </c>
      <c r="D215" s="222">
        <v>84</v>
      </c>
      <c r="E215" s="222">
        <v>85</v>
      </c>
      <c r="F215" s="222">
        <v>88</v>
      </c>
      <c r="G215" s="222">
        <v>90</v>
      </c>
      <c r="H215" s="222">
        <v>93</v>
      </c>
      <c r="I215" s="222">
        <v>90</v>
      </c>
      <c r="J215" s="222">
        <v>91</v>
      </c>
      <c r="K215" s="222">
        <v>90</v>
      </c>
      <c r="L215" s="222">
        <v>78</v>
      </c>
      <c r="M215" s="166">
        <v>41</v>
      </c>
      <c r="N215" s="68">
        <f t="shared" si="44"/>
        <v>41</v>
      </c>
      <c r="O215" s="1">
        <f t="shared" si="48"/>
        <v>32</v>
      </c>
      <c r="Q215" s="304">
        <f>IF(L140&lt;1200,0,L215)</f>
        <v>78</v>
      </c>
      <c r="T215" s="304">
        <f>IF(D140&gt;1200,D215,0)</f>
        <v>84</v>
      </c>
      <c r="V215" s="225">
        <f>IF(M140&lt;1200,M215,0)</f>
        <v>41</v>
      </c>
      <c r="W215" s="330" t="s">
        <v>86</v>
      </c>
      <c r="Y215" s="291">
        <f t="shared" si="49"/>
        <v>50</v>
      </c>
      <c r="Z215" s="304"/>
      <c r="AA215" s="225">
        <v>2005</v>
      </c>
      <c r="AB215" s="1">
        <v>33</v>
      </c>
      <c r="AC215" s="225">
        <f t="shared" si="47"/>
        <v>0</v>
      </c>
      <c r="AD215" s="225">
        <v>2005</v>
      </c>
      <c r="AE215" s="291">
        <v>33</v>
      </c>
      <c r="AG215" s="1">
        <v>2019</v>
      </c>
      <c r="AH215" s="68">
        <v>93</v>
      </c>
      <c r="AJ215" s="1">
        <v>1976</v>
      </c>
      <c r="AK215" s="68">
        <v>40</v>
      </c>
    </row>
    <row r="216" spans="1:39">
      <c r="A216" s="1">
        <f>A25</f>
        <v>1991</v>
      </c>
      <c r="B216" s="331">
        <v>42</v>
      </c>
      <c r="C216" s="166">
        <v>38</v>
      </c>
      <c r="D216" s="166">
        <v>43</v>
      </c>
      <c r="E216" s="222">
        <v>91</v>
      </c>
      <c r="F216" s="222">
        <v>93</v>
      </c>
      <c r="G216" s="222">
        <v>83</v>
      </c>
      <c r="H216" s="222">
        <v>89</v>
      </c>
      <c r="I216" s="222">
        <v>92</v>
      </c>
      <c r="J216" s="222">
        <v>89</v>
      </c>
      <c r="K216" s="222">
        <v>86</v>
      </c>
      <c r="L216" s="166">
        <v>42</v>
      </c>
      <c r="M216" s="166">
        <v>46</v>
      </c>
      <c r="N216" s="68">
        <f t="shared" si="44"/>
        <v>38</v>
      </c>
      <c r="O216" s="1">
        <f t="shared" si="48"/>
        <v>31</v>
      </c>
      <c r="P216" s="291">
        <f>+L216</f>
        <v>42</v>
      </c>
      <c r="Q216" s="330"/>
      <c r="S216" s="225">
        <f>IF(D141&lt;1200,D216,0)</f>
        <v>43</v>
      </c>
      <c r="T216" s="330"/>
      <c r="V216" s="225">
        <f>IF(M141&lt;1200,M216,0)</f>
        <v>46</v>
      </c>
      <c r="W216" s="330" t="s">
        <v>86</v>
      </c>
      <c r="Y216" s="291">
        <f t="shared" si="49"/>
        <v>38</v>
      </c>
      <c r="Z216" s="304"/>
      <c r="AA216" s="225">
        <v>2009</v>
      </c>
      <c r="AB216" s="1">
        <v>33</v>
      </c>
      <c r="AC216" s="225">
        <f t="shared" si="47"/>
        <v>0</v>
      </c>
      <c r="AD216" s="225">
        <v>2009</v>
      </c>
      <c r="AE216" s="291">
        <v>33</v>
      </c>
      <c r="AG216" s="1">
        <v>2020</v>
      </c>
      <c r="AH216" s="68">
        <v>93</v>
      </c>
      <c r="AJ216" s="1">
        <v>1979</v>
      </c>
      <c r="AK216" s="68">
        <v>40</v>
      </c>
      <c r="AM216" s="166"/>
    </row>
    <row r="217" spans="1:39">
      <c r="A217" s="1">
        <f>A26</f>
        <v>1992</v>
      </c>
      <c r="B217" s="331">
        <v>37</v>
      </c>
      <c r="C217" s="166">
        <v>47</v>
      </c>
      <c r="D217" s="332">
        <v>52</v>
      </c>
      <c r="E217" s="222">
        <v>84</v>
      </c>
      <c r="F217" s="222">
        <v>86</v>
      </c>
      <c r="G217" s="222">
        <v>90</v>
      </c>
      <c r="H217" s="222">
        <v>93</v>
      </c>
      <c r="I217" s="222">
        <v>92</v>
      </c>
      <c r="J217" s="222">
        <v>90</v>
      </c>
      <c r="K217" s="222">
        <v>85</v>
      </c>
      <c r="L217" s="222">
        <v>79</v>
      </c>
      <c r="M217" s="166">
        <v>44</v>
      </c>
      <c r="N217" s="68">
        <f t="shared" si="44"/>
        <v>37</v>
      </c>
      <c r="O217" s="1">
        <f t="shared" si="48"/>
        <v>30</v>
      </c>
      <c r="Q217" s="304">
        <f>IF(L142&lt;1200,0,L217)</f>
        <v>79</v>
      </c>
      <c r="T217" s="329"/>
      <c r="V217" s="225">
        <f>IF(M142&lt;1200,M217,0)</f>
        <v>44</v>
      </c>
      <c r="W217" s="330" t="s">
        <v>86</v>
      </c>
      <c r="Y217" s="291">
        <f t="shared" si="49"/>
        <v>47</v>
      </c>
      <c r="Z217" s="304"/>
      <c r="AA217" s="225">
        <v>1975</v>
      </c>
      <c r="AB217" s="1">
        <v>34</v>
      </c>
      <c r="AC217" s="225">
        <f t="shared" si="47"/>
        <v>0</v>
      </c>
      <c r="AD217" s="225">
        <v>1975</v>
      </c>
      <c r="AE217" s="291">
        <v>34</v>
      </c>
      <c r="AG217" s="1">
        <v>2022</v>
      </c>
      <c r="AH217" s="68">
        <v>93</v>
      </c>
      <c r="AJ217" s="1">
        <v>2005</v>
      </c>
      <c r="AK217" s="68">
        <v>40</v>
      </c>
    </row>
    <row r="218" spans="1:39">
      <c r="A218" s="1">
        <f>A27</f>
        <v>1993</v>
      </c>
      <c r="B218" s="331">
        <v>41</v>
      </c>
      <c r="C218" s="166">
        <v>36</v>
      </c>
      <c r="D218" s="166">
        <v>36</v>
      </c>
      <c r="E218" s="222">
        <v>82</v>
      </c>
      <c r="F218" s="222">
        <v>82</v>
      </c>
      <c r="G218" s="222">
        <v>95</v>
      </c>
      <c r="H218" s="222">
        <v>90</v>
      </c>
      <c r="I218" s="222">
        <v>95</v>
      </c>
      <c r="J218" s="222">
        <v>89</v>
      </c>
      <c r="K218" s="222">
        <v>89</v>
      </c>
      <c r="L218" s="222">
        <v>86</v>
      </c>
      <c r="M218" s="166">
        <v>39</v>
      </c>
      <c r="N218" s="68">
        <f t="shared" si="44"/>
        <v>36</v>
      </c>
      <c r="O218" s="1">
        <f t="shared" si="48"/>
        <v>29</v>
      </c>
      <c r="Q218" s="304">
        <f>IF(L143&lt;1200,0,L218)</f>
        <v>86</v>
      </c>
      <c r="S218" s="225">
        <f>IF(D143&lt;1200,D218,0)</f>
        <v>36</v>
      </c>
      <c r="T218" s="330"/>
      <c r="V218" s="225">
        <f>IF(M143&lt;1200,M218,0)</f>
        <v>39</v>
      </c>
      <c r="W218" s="330" t="s">
        <v>86</v>
      </c>
      <c r="Y218" s="291">
        <f t="shared" si="49"/>
        <v>36</v>
      </c>
      <c r="Z218" s="304"/>
      <c r="AA218" s="225">
        <v>1988</v>
      </c>
      <c r="AB218" s="1">
        <v>34</v>
      </c>
      <c r="AC218" s="225">
        <f t="shared" si="47"/>
        <v>0</v>
      </c>
      <c r="AD218" s="225">
        <v>1988</v>
      </c>
      <c r="AE218" s="291">
        <v>34</v>
      </c>
      <c r="AG218" s="1">
        <v>1986</v>
      </c>
      <c r="AH218" s="68">
        <v>92</v>
      </c>
      <c r="AJ218" s="1">
        <v>2008</v>
      </c>
      <c r="AK218" s="68">
        <v>40</v>
      </c>
    </row>
    <row r="219" spans="1:39">
      <c r="A219" s="1">
        <f>A28</f>
        <v>1994</v>
      </c>
      <c r="B219" s="331">
        <v>42</v>
      </c>
      <c r="C219" s="166">
        <v>37</v>
      </c>
      <c r="D219" s="222">
        <v>85</v>
      </c>
      <c r="E219" s="222">
        <v>85</v>
      </c>
      <c r="F219" s="222">
        <v>88</v>
      </c>
      <c r="G219" s="222">
        <v>92</v>
      </c>
      <c r="H219" s="222">
        <v>92</v>
      </c>
      <c r="I219" s="222">
        <v>88</v>
      </c>
      <c r="J219" s="222">
        <v>90</v>
      </c>
      <c r="K219" s="222">
        <v>85</v>
      </c>
      <c r="L219" s="222">
        <v>79</v>
      </c>
      <c r="M219" s="222">
        <v>73</v>
      </c>
      <c r="N219" s="68">
        <f t="shared" si="44"/>
        <v>37</v>
      </c>
      <c r="O219" s="1">
        <f t="shared" si="48"/>
        <v>28</v>
      </c>
      <c r="Q219" s="304">
        <f>IF(L144&lt;1200,0,L219)</f>
        <v>79</v>
      </c>
      <c r="T219" s="304">
        <f>IF(D144&gt;1200,D219,0)</f>
        <v>85</v>
      </c>
      <c r="W219" s="304">
        <f>IF(M144&gt;=1200,M219,0)</f>
        <v>73</v>
      </c>
      <c r="Y219" s="291">
        <f t="shared" si="49"/>
        <v>37</v>
      </c>
      <c r="Z219" s="304"/>
      <c r="AA219" s="1">
        <v>2020</v>
      </c>
      <c r="AB219" s="1">
        <v>34</v>
      </c>
      <c r="AC219" s="225">
        <f t="shared" si="47"/>
        <v>0</v>
      </c>
      <c r="AD219" s="225">
        <v>2020</v>
      </c>
      <c r="AE219" s="291">
        <v>34</v>
      </c>
      <c r="AG219" s="1">
        <v>1987</v>
      </c>
      <c r="AH219" s="68">
        <v>92</v>
      </c>
      <c r="AJ219" s="1">
        <v>1990</v>
      </c>
      <c r="AK219" s="68">
        <v>41</v>
      </c>
    </row>
    <row r="220" spans="1:39">
      <c r="A220" s="1">
        <f>A29</f>
        <v>1995</v>
      </c>
      <c r="B220" s="331">
        <v>36</v>
      </c>
      <c r="C220" s="166">
        <v>28</v>
      </c>
      <c r="D220" s="166">
        <v>48</v>
      </c>
      <c r="E220" s="222">
        <v>86</v>
      </c>
      <c r="F220" s="222">
        <v>90</v>
      </c>
      <c r="G220" s="222">
        <v>89</v>
      </c>
      <c r="H220" s="222">
        <v>90</v>
      </c>
      <c r="I220" s="222">
        <v>96</v>
      </c>
      <c r="J220" s="222">
        <v>91</v>
      </c>
      <c r="K220" s="222">
        <v>86</v>
      </c>
      <c r="L220" s="222">
        <v>84</v>
      </c>
      <c r="M220" s="166">
        <v>34</v>
      </c>
      <c r="N220" s="68">
        <f t="shared" si="44"/>
        <v>28</v>
      </c>
      <c r="O220" s="1">
        <f t="shared" si="48"/>
        <v>27</v>
      </c>
      <c r="Q220" s="304">
        <f>IF(L145&lt;1200,0,L220)</f>
        <v>84</v>
      </c>
      <c r="S220" s="225">
        <f>IF(D145&lt;1200,D220,0)</f>
        <v>48</v>
      </c>
      <c r="T220" s="330"/>
      <c r="V220" s="225">
        <f>IF(M145&lt;1200,M220,0)</f>
        <v>34</v>
      </c>
      <c r="W220" s="330" t="s">
        <v>86</v>
      </c>
      <c r="Y220" s="291">
        <f t="shared" si="49"/>
        <v>28</v>
      </c>
      <c r="Z220" s="304"/>
      <c r="AA220" s="225">
        <v>2001</v>
      </c>
      <c r="AB220" s="1">
        <v>35</v>
      </c>
      <c r="AC220" s="225">
        <f t="shared" si="47"/>
        <v>0</v>
      </c>
      <c r="AD220" s="225">
        <v>2001</v>
      </c>
      <c r="AE220" s="291">
        <v>35</v>
      </c>
      <c r="AG220" s="1">
        <v>1988</v>
      </c>
      <c r="AH220" s="68">
        <v>92</v>
      </c>
      <c r="AJ220" s="1">
        <v>1999</v>
      </c>
      <c r="AK220" s="68">
        <v>41</v>
      </c>
    </row>
    <row r="221" spans="1:39">
      <c r="A221" s="1">
        <f>A30</f>
        <v>1996</v>
      </c>
      <c r="B221" s="331">
        <v>31</v>
      </c>
      <c r="C221" s="166">
        <v>26</v>
      </c>
      <c r="D221" s="166">
        <v>36</v>
      </c>
      <c r="E221" s="222">
        <v>87</v>
      </c>
      <c r="F221" s="222">
        <v>90</v>
      </c>
      <c r="G221" s="222">
        <v>92</v>
      </c>
      <c r="H221" s="222">
        <v>92</v>
      </c>
      <c r="I221" s="222">
        <v>91</v>
      </c>
      <c r="J221" s="222">
        <v>90</v>
      </c>
      <c r="K221" s="222">
        <v>88</v>
      </c>
      <c r="L221" s="222">
        <v>87</v>
      </c>
      <c r="M221" s="166">
        <v>36</v>
      </c>
      <c r="N221" s="68">
        <f t="shared" si="44"/>
        <v>26</v>
      </c>
      <c r="O221" s="1">
        <f t="shared" si="48"/>
        <v>26</v>
      </c>
      <c r="Q221" s="304">
        <f>IF(L146&lt;1200,0,L221)</f>
        <v>87</v>
      </c>
      <c r="S221" s="225">
        <f>IF(D146&lt;1200,D221,0)</f>
        <v>36</v>
      </c>
      <c r="T221" s="330"/>
      <c r="V221" s="225">
        <f>IF(M146&lt;1200,M221,0)</f>
        <v>36</v>
      </c>
      <c r="W221" s="330" t="s">
        <v>86</v>
      </c>
      <c r="Y221" s="291">
        <f t="shared" si="49"/>
        <v>26</v>
      </c>
      <c r="Z221" s="304"/>
      <c r="AA221" s="225">
        <v>2012</v>
      </c>
      <c r="AB221" s="1">
        <v>35</v>
      </c>
      <c r="AC221" s="225">
        <f t="shared" si="47"/>
        <v>1</v>
      </c>
      <c r="AD221" s="225">
        <v>2012</v>
      </c>
      <c r="AE221" s="291">
        <v>35</v>
      </c>
      <c r="AG221" s="1">
        <v>1989</v>
      </c>
      <c r="AH221" s="68">
        <v>92</v>
      </c>
      <c r="AJ221" s="1">
        <v>2003</v>
      </c>
      <c r="AK221" s="68">
        <v>41</v>
      </c>
    </row>
    <row r="222" spans="1:39" ht="15.75">
      <c r="A222" s="1">
        <f>A31</f>
        <v>1997</v>
      </c>
      <c r="B222" s="331">
        <v>37</v>
      </c>
      <c r="C222" s="166">
        <v>47</v>
      </c>
      <c r="D222" s="222">
        <v>79</v>
      </c>
      <c r="E222" s="222">
        <v>82</v>
      </c>
      <c r="F222" s="222">
        <v>86</v>
      </c>
      <c r="G222" s="222">
        <v>90</v>
      </c>
      <c r="H222" s="222">
        <v>86</v>
      </c>
      <c r="I222" s="222">
        <v>94</v>
      </c>
      <c r="J222" s="222">
        <v>93</v>
      </c>
      <c r="K222" s="222">
        <v>88</v>
      </c>
      <c r="L222" s="38">
        <v>83</v>
      </c>
      <c r="M222" s="332">
        <v>54</v>
      </c>
      <c r="N222" s="68">
        <f t="shared" si="44"/>
        <v>37</v>
      </c>
      <c r="O222" s="1">
        <f t="shared" si="48"/>
        <v>25</v>
      </c>
      <c r="Q222" s="301">
        <f>+L222</f>
        <v>83</v>
      </c>
      <c r="T222" s="304">
        <f>IF(D147&gt;1200,D222,0)</f>
        <v>79</v>
      </c>
      <c r="V222" s="291">
        <f>+M222</f>
        <v>54</v>
      </c>
      <c r="W222" s="329"/>
      <c r="Y222" s="291">
        <f t="shared" si="49"/>
        <v>47</v>
      </c>
      <c r="Z222" s="304"/>
      <c r="AA222" s="225">
        <v>1983</v>
      </c>
      <c r="AB222" s="1">
        <v>36</v>
      </c>
      <c r="AC222" s="225">
        <f t="shared" si="47"/>
        <v>0</v>
      </c>
      <c r="AD222" s="225">
        <v>1983</v>
      </c>
      <c r="AE222" s="291">
        <v>36</v>
      </c>
      <c r="AG222" s="1">
        <v>1991</v>
      </c>
      <c r="AH222" s="68">
        <v>92</v>
      </c>
      <c r="AJ222" s="1">
        <v>2020</v>
      </c>
      <c r="AK222" s="68">
        <v>41</v>
      </c>
    </row>
    <row r="223" spans="1:39">
      <c r="A223" s="1">
        <f>A32</f>
        <v>1998</v>
      </c>
      <c r="B223" s="331">
        <v>46</v>
      </c>
      <c r="C223" s="166">
        <v>47</v>
      </c>
      <c r="D223" s="166">
        <v>41</v>
      </c>
      <c r="E223" s="222">
        <v>83</v>
      </c>
      <c r="F223" s="222">
        <v>87</v>
      </c>
      <c r="G223" s="222">
        <v>93</v>
      </c>
      <c r="H223" s="222">
        <v>97</v>
      </c>
      <c r="I223" s="222">
        <v>97</v>
      </c>
      <c r="J223" s="222">
        <v>90</v>
      </c>
      <c r="K223" s="222">
        <v>91</v>
      </c>
      <c r="L223" s="222">
        <v>76</v>
      </c>
      <c r="M223" s="166">
        <v>76</v>
      </c>
      <c r="N223" s="68">
        <f t="shared" si="44"/>
        <v>41</v>
      </c>
      <c r="O223" s="1">
        <f t="shared" si="48"/>
        <v>24</v>
      </c>
      <c r="Q223" s="304">
        <f>IF(L148&lt;1200,0,L223)</f>
        <v>76</v>
      </c>
      <c r="S223" s="225">
        <f>IF(D148&lt;1200,D223,0)</f>
        <v>41</v>
      </c>
      <c r="T223" s="330"/>
      <c r="V223" s="225">
        <f>IF(M148&lt;1200,M223,0)</f>
        <v>0</v>
      </c>
      <c r="W223" s="330" t="s">
        <v>86</v>
      </c>
      <c r="Y223" s="291">
        <f t="shared" si="49"/>
        <v>47</v>
      </c>
      <c r="Z223" s="304"/>
      <c r="AA223" s="225">
        <v>1987</v>
      </c>
      <c r="AB223" s="1">
        <v>36</v>
      </c>
      <c r="AC223" s="225">
        <f t="shared" si="47"/>
        <v>0</v>
      </c>
      <c r="AD223" s="225">
        <v>1987</v>
      </c>
      <c r="AE223" s="291">
        <v>36</v>
      </c>
      <c r="AG223" s="1">
        <v>1992</v>
      </c>
      <c r="AH223" s="68">
        <v>92</v>
      </c>
      <c r="AJ223" s="1">
        <v>1973</v>
      </c>
      <c r="AK223" s="68">
        <v>42</v>
      </c>
    </row>
    <row r="224" spans="1:39" ht="15.75">
      <c r="A224" s="1">
        <f>A33</f>
        <v>1999</v>
      </c>
      <c r="B224" s="331">
        <v>32</v>
      </c>
      <c r="C224" s="166">
        <v>42</v>
      </c>
      <c r="D224" s="166">
        <v>45</v>
      </c>
      <c r="E224" s="222">
        <v>84</v>
      </c>
      <c r="F224" s="222">
        <v>84</v>
      </c>
      <c r="G224" s="222">
        <v>92</v>
      </c>
      <c r="H224" s="222">
        <v>91</v>
      </c>
      <c r="I224" s="222">
        <v>91</v>
      </c>
      <c r="J224" s="222">
        <v>91</v>
      </c>
      <c r="K224" s="222">
        <v>89</v>
      </c>
      <c r="L224" s="222">
        <v>75</v>
      </c>
      <c r="M224" s="38">
        <v>41</v>
      </c>
      <c r="N224" s="68">
        <f t="shared" si="44"/>
        <v>32</v>
      </c>
      <c r="O224" s="1">
        <f t="shared" si="48"/>
        <v>23</v>
      </c>
      <c r="Q224" s="304">
        <f>IF(L149&lt;1200,0,L224)</f>
        <v>75</v>
      </c>
      <c r="S224" s="225">
        <f>IF(D149&lt;1200,D224,0)</f>
        <v>45</v>
      </c>
      <c r="T224" s="330"/>
      <c r="V224" s="225">
        <f>IF(M149&lt;1200,M224,0)</f>
        <v>41</v>
      </c>
      <c r="W224" s="301" t="s">
        <v>86</v>
      </c>
      <c r="Y224" s="291">
        <f t="shared" si="49"/>
        <v>42</v>
      </c>
      <c r="Z224" s="304"/>
      <c r="AA224" s="225">
        <v>1995</v>
      </c>
      <c r="AB224" s="1">
        <v>36</v>
      </c>
      <c r="AC224" s="225">
        <f t="shared" si="47"/>
        <v>0</v>
      </c>
      <c r="AD224" s="225">
        <v>1995</v>
      </c>
      <c r="AE224" s="291">
        <v>36</v>
      </c>
      <c r="AG224" s="1">
        <v>2004</v>
      </c>
      <c r="AH224" s="68">
        <v>92</v>
      </c>
      <c r="AI224" s="1" t="s">
        <v>86</v>
      </c>
      <c r="AJ224" s="1">
        <v>2017</v>
      </c>
      <c r="AK224" s="68">
        <v>43</v>
      </c>
    </row>
    <row r="225" spans="1:42">
      <c r="A225" s="165">
        <f>A34</f>
        <v>2000</v>
      </c>
      <c r="B225" s="331">
        <v>32</v>
      </c>
      <c r="C225" s="166">
        <v>41</v>
      </c>
      <c r="D225" s="222">
        <v>82</v>
      </c>
      <c r="E225" s="222">
        <v>80</v>
      </c>
      <c r="F225" s="222">
        <v>88</v>
      </c>
      <c r="G225" s="222">
        <v>88</v>
      </c>
      <c r="H225" s="222">
        <v>90</v>
      </c>
      <c r="I225" s="222">
        <v>93</v>
      </c>
      <c r="J225" s="222">
        <v>89</v>
      </c>
      <c r="K225" s="222">
        <v>88</v>
      </c>
      <c r="L225" s="166">
        <v>77</v>
      </c>
      <c r="M225" s="166">
        <v>36</v>
      </c>
      <c r="N225" s="68">
        <f t="shared" si="44"/>
        <v>32</v>
      </c>
      <c r="O225" s="1">
        <f t="shared" si="48"/>
        <v>22</v>
      </c>
      <c r="P225" s="291">
        <f>+L225</f>
        <v>77</v>
      </c>
      <c r="Q225" s="330"/>
      <c r="S225" s="225" t="s">
        <v>86</v>
      </c>
      <c r="T225" s="304">
        <f>IF(D150&gt;1200,D225,0)</f>
        <v>82</v>
      </c>
      <c r="V225" s="225">
        <f>IF(M150&lt;1200,M225,0)</f>
        <v>36</v>
      </c>
      <c r="W225" s="330" t="s">
        <v>86</v>
      </c>
      <c r="Y225" s="291">
        <f t="shared" si="49"/>
        <v>41</v>
      </c>
      <c r="Z225" s="304"/>
      <c r="AA225" s="225">
        <v>1980</v>
      </c>
      <c r="AB225" s="1">
        <v>37</v>
      </c>
      <c r="AC225" s="225">
        <f t="shared" si="47"/>
        <v>0</v>
      </c>
      <c r="AD225" s="225">
        <v>1980</v>
      </c>
      <c r="AE225" s="291">
        <v>37</v>
      </c>
      <c r="AG225" s="1">
        <v>2008</v>
      </c>
      <c r="AH225" s="68">
        <v>92</v>
      </c>
      <c r="AI225" s="1" t="s">
        <v>86</v>
      </c>
      <c r="AJ225" s="1">
        <v>1975</v>
      </c>
      <c r="AK225" s="68">
        <v>44</v>
      </c>
      <c r="AO225" s="1" t="s">
        <v>322</v>
      </c>
    </row>
    <row r="226" spans="1:42">
      <c r="A226" s="165">
        <f>A35</f>
        <v>2001</v>
      </c>
      <c r="B226" s="331">
        <v>35</v>
      </c>
      <c r="C226" s="166">
        <v>46</v>
      </c>
      <c r="D226" s="222">
        <v>76</v>
      </c>
      <c r="E226" s="222">
        <v>86</v>
      </c>
      <c r="F226" s="222">
        <v>87</v>
      </c>
      <c r="G226" s="222">
        <v>92</v>
      </c>
      <c r="H226" s="222">
        <v>91</v>
      </c>
      <c r="I226" s="222">
        <v>93</v>
      </c>
      <c r="J226" s="222">
        <v>91</v>
      </c>
      <c r="K226" s="222">
        <v>82</v>
      </c>
      <c r="L226" s="222">
        <v>78</v>
      </c>
      <c r="M226" s="222">
        <v>44</v>
      </c>
      <c r="N226" s="68">
        <f t="shared" si="44"/>
        <v>35</v>
      </c>
      <c r="O226" s="1">
        <f t="shared" si="48"/>
        <v>21</v>
      </c>
      <c r="Q226" s="304">
        <f>IF(L151&lt;1200,0,L226)</f>
        <v>78</v>
      </c>
      <c r="S226" s="225" t="s">
        <v>86</v>
      </c>
      <c r="T226" s="304">
        <f>IF(D151&gt;1200,D226,0)</f>
        <v>76</v>
      </c>
      <c r="V226" s="225">
        <f>IF(M151&lt;1200,M226,0)</f>
        <v>44</v>
      </c>
      <c r="W226" s="304"/>
      <c r="Y226" s="291">
        <f t="shared" si="49"/>
        <v>46</v>
      </c>
      <c r="Z226" s="304"/>
      <c r="AA226" s="225">
        <v>1992</v>
      </c>
      <c r="AB226" s="1">
        <v>37</v>
      </c>
      <c r="AC226" s="225">
        <f t="shared" si="47"/>
        <v>0</v>
      </c>
      <c r="AD226" s="225">
        <v>1992</v>
      </c>
      <c r="AE226" s="291">
        <v>37</v>
      </c>
      <c r="AG226" s="1">
        <v>2010</v>
      </c>
      <c r="AH226" s="68">
        <v>92</v>
      </c>
      <c r="AI226" s="1" t="s">
        <v>86</v>
      </c>
      <c r="AJ226" s="1">
        <v>1992</v>
      </c>
      <c r="AK226" s="68">
        <v>44</v>
      </c>
      <c r="AO226" s="1" t="s">
        <v>321</v>
      </c>
    </row>
    <row r="227" spans="1:42">
      <c r="A227" s="165">
        <f>A36</f>
        <v>2002</v>
      </c>
      <c r="B227" s="331">
        <v>40</v>
      </c>
      <c r="C227" s="166">
        <v>35</v>
      </c>
      <c r="D227" s="166">
        <v>37</v>
      </c>
      <c r="E227" s="222">
        <v>85</v>
      </c>
      <c r="F227" s="222">
        <v>87</v>
      </c>
      <c r="G227" s="222">
        <v>93</v>
      </c>
      <c r="H227" s="222">
        <v>96</v>
      </c>
      <c r="I227" s="222">
        <v>91</v>
      </c>
      <c r="J227" s="222">
        <v>88</v>
      </c>
      <c r="K227" s="222">
        <v>90</v>
      </c>
      <c r="L227" s="222">
        <v>83</v>
      </c>
      <c r="M227" s="166">
        <v>48</v>
      </c>
      <c r="N227" s="68">
        <f t="shared" si="44"/>
        <v>35</v>
      </c>
      <c r="O227" s="1">
        <f t="shared" si="48"/>
        <v>20</v>
      </c>
      <c r="Q227" s="304">
        <f>IF(L152&lt;1200,0,L227)</f>
        <v>83</v>
      </c>
      <c r="S227" s="225">
        <f>IF(D152&lt;1200,D227,0)</f>
        <v>37</v>
      </c>
      <c r="T227" s="225" t="s">
        <v>86</v>
      </c>
      <c r="V227" s="225">
        <f>IF(M152&lt;1200,M227,0)</f>
        <v>48</v>
      </c>
      <c r="W227" s="330" t="s">
        <v>86</v>
      </c>
      <c r="Y227" s="291">
        <f t="shared" si="49"/>
        <v>35</v>
      </c>
      <c r="Z227" s="304"/>
      <c r="AA227" s="225">
        <v>1997</v>
      </c>
      <c r="AB227" s="1">
        <v>37</v>
      </c>
      <c r="AC227" s="225">
        <f t="shared" si="47"/>
        <v>0</v>
      </c>
      <c r="AD227" s="225">
        <v>1997</v>
      </c>
      <c r="AE227" s="291">
        <v>37</v>
      </c>
      <c r="AG227" s="1">
        <v>2013</v>
      </c>
      <c r="AH227" s="68">
        <v>92</v>
      </c>
      <c r="AI227" s="1" t="s">
        <v>86</v>
      </c>
      <c r="AJ227" s="1">
        <v>2001</v>
      </c>
      <c r="AK227" s="68">
        <v>44</v>
      </c>
      <c r="AO227" s="1">
        <v>2003</v>
      </c>
      <c r="AP227" s="1">
        <v>28</v>
      </c>
    </row>
    <row r="228" spans="1:42">
      <c r="A228" s="220">
        <f>A37</f>
        <v>2003</v>
      </c>
      <c r="B228" s="40">
        <v>28</v>
      </c>
      <c r="C228" s="40">
        <v>48</v>
      </c>
      <c r="D228" s="222">
        <v>83</v>
      </c>
      <c r="E228" s="222">
        <v>85</v>
      </c>
      <c r="F228" s="222">
        <v>86</v>
      </c>
      <c r="G228" s="222">
        <v>92</v>
      </c>
      <c r="H228" s="222">
        <v>94</v>
      </c>
      <c r="I228" s="222">
        <v>91</v>
      </c>
      <c r="J228" s="222">
        <v>93</v>
      </c>
      <c r="K228" s="222">
        <v>88</v>
      </c>
      <c r="L228" s="222">
        <v>87</v>
      </c>
      <c r="M228" s="166">
        <v>41</v>
      </c>
      <c r="N228" s="68">
        <f t="shared" si="44"/>
        <v>28</v>
      </c>
      <c r="O228" s="1">
        <f t="shared" si="48"/>
        <v>19</v>
      </c>
      <c r="Q228" s="304">
        <f>IF(L153&lt;1200,0,L228)</f>
        <v>87</v>
      </c>
      <c r="T228" s="304">
        <f>IF(D153&gt;1200,D228,0)</f>
        <v>83</v>
      </c>
      <c r="V228" s="225">
        <f>IF(M153&lt;1200,M228,0)</f>
        <v>41</v>
      </c>
      <c r="Y228" s="291">
        <f t="shared" si="49"/>
        <v>48</v>
      </c>
      <c r="Z228" s="304"/>
      <c r="AA228" s="225">
        <v>2015</v>
      </c>
      <c r="AB228" s="1">
        <v>37</v>
      </c>
      <c r="AC228" s="225">
        <f t="shared" si="47"/>
        <v>1</v>
      </c>
      <c r="AD228" s="225">
        <v>2015</v>
      </c>
      <c r="AE228" s="291">
        <v>37</v>
      </c>
      <c r="AG228" s="1">
        <v>2017</v>
      </c>
      <c r="AH228" s="68">
        <v>92</v>
      </c>
      <c r="AJ228" s="1">
        <v>2014</v>
      </c>
      <c r="AK228" s="68">
        <v>44</v>
      </c>
      <c r="AO228" s="1">
        <v>2018</v>
      </c>
      <c r="AP228" s="1">
        <v>29</v>
      </c>
    </row>
    <row r="229" spans="1:42">
      <c r="A229" s="220">
        <f>A38</f>
        <v>2004</v>
      </c>
      <c r="B229" s="40">
        <v>39</v>
      </c>
      <c r="C229" s="40">
        <v>43</v>
      </c>
      <c r="D229" s="222">
        <v>80</v>
      </c>
      <c r="E229" s="222">
        <v>88</v>
      </c>
      <c r="F229" s="222">
        <v>88</v>
      </c>
      <c r="G229" s="222">
        <v>94</v>
      </c>
      <c r="H229" s="222">
        <v>94</v>
      </c>
      <c r="I229" s="222">
        <v>92</v>
      </c>
      <c r="J229" s="222">
        <v>94</v>
      </c>
      <c r="K229" s="222">
        <v>88</v>
      </c>
      <c r="L229" s="222">
        <v>85</v>
      </c>
      <c r="M229" s="166">
        <v>35</v>
      </c>
      <c r="N229" s="68">
        <f t="shared" si="44"/>
        <v>35</v>
      </c>
      <c r="O229" s="1">
        <f t="shared" si="48"/>
        <v>18</v>
      </c>
      <c r="Q229" s="304">
        <f>IF(L154&lt;1200,0,L229)</f>
        <v>85</v>
      </c>
      <c r="T229" s="304">
        <f>IF(D154&gt;1200,D229,0)</f>
        <v>80</v>
      </c>
      <c r="V229" s="225">
        <f>IF(M154&lt;1200,M229,0)</f>
        <v>35</v>
      </c>
      <c r="Y229" s="291">
        <f t="shared" si="49"/>
        <v>43</v>
      </c>
      <c r="Z229" s="304"/>
      <c r="AA229" s="225">
        <v>2004</v>
      </c>
      <c r="AB229" s="1">
        <v>39</v>
      </c>
      <c r="AC229" s="225">
        <f t="shared" si="47"/>
        <v>0</v>
      </c>
      <c r="AD229" s="225">
        <v>2004</v>
      </c>
      <c r="AE229" s="291">
        <v>39</v>
      </c>
      <c r="AG229" s="1">
        <v>2018</v>
      </c>
      <c r="AH229" s="68">
        <v>92</v>
      </c>
      <c r="AJ229" s="1">
        <v>1980</v>
      </c>
      <c r="AK229" s="68">
        <v>46</v>
      </c>
      <c r="AO229" s="1">
        <v>2008</v>
      </c>
      <c r="AP229" s="1">
        <v>30</v>
      </c>
    </row>
    <row r="230" spans="1:42">
      <c r="A230" s="220">
        <f>A39</f>
        <v>2005</v>
      </c>
      <c r="B230" s="40">
        <v>33</v>
      </c>
      <c r="C230" s="40">
        <v>43</v>
      </c>
      <c r="D230" s="40">
        <v>83</v>
      </c>
      <c r="E230" s="222">
        <v>84</v>
      </c>
      <c r="F230" s="222">
        <v>93</v>
      </c>
      <c r="G230" s="222">
        <v>90</v>
      </c>
      <c r="H230" s="222">
        <v>93</v>
      </c>
      <c r="I230" s="222">
        <v>93</v>
      </c>
      <c r="J230" s="222">
        <v>93</v>
      </c>
      <c r="K230" s="222">
        <v>91</v>
      </c>
      <c r="L230" s="222">
        <v>80</v>
      </c>
      <c r="M230" s="166">
        <v>40</v>
      </c>
      <c r="N230" s="68">
        <f t="shared" ref="N230:N247" si="50">MIN(B230:M230)</f>
        <v>33</v>
      </c>
      <c r="O230" s="1">
        <f t="shared" si="48"/>
        <v>17</v>
      </c>
      <c r="Q230" s="304">
        <f>IF(L155&lt;1200,0,L230)</f>
        <v>80</v>
      </c>
      <c r="T230" s="304"/>
      <c r="V230" s="225">
        <f>IF(M155&lt;1200,M230,0)</f>
        <v>40</v>
      </c>
      <c r="Y230" s="291">
        <f t="shared" si="49"/>
        <v>43</v>
      </c>
      <c r="Z230" s="304"/>
      <c r="AA230" s="225">
        <v>2014</v>
      </c>
      <c r="AB230" s="1">
        <v>39</v>
      </c>
      <c r="AC230" s="225">
        <f t="shared" ref="AC230:AC247" si="51">IF(B230&lt;32,1,0)</f>
        <v>0</v>
      </c>
      <c r="AD230" s="225">
        <v>2014</v>
      </c>
      <c r="AE230" s="291">
        <v>39</v>
      </c>
      <c r="AG230" s="1">
        <v>1978</v>
      </c>
      <c r="AH230" s="68">
        <v>91</v>
      </c>
      <c r="AJ230" s="1">
        <v>1991</v>
      </c>
      <c r="AK230" s="68">
        <v>46</v>
      </c>
      <c r="AO230" s="1">
        <v>2010</v>
      </c>
      <c r="AP230" s="1">
        <v>32</v>
      </c>
    </row>
    <row r="231" spans="1:42">
      <c r="A231" s="220">
        <f>A40</f>
        <v>2006</v>
      </c>
      <c r="B231" s="40">
        <v>44</v>
      </c>
      <c r="C231" s="40">
        <v>37</v>
      </c>
      <c r="D231" s="222">
        <v>80</v>
      </c>
      <c r="E231" s="222">
        <v>88</v>
      </c>
      <c r="F231" s="222">
        <v>92</v>
      </c>
      <c r="G231" s="222">
        <v>91</v>
      </c>
      <c r="H231" s="222">
        <v>96</v>
      </c>
      <c r="I231" s="222">
        <v>95</v>
      </c>
      <c r="J231" s="222">
        <v>90</v>
      </c>
      <c r="K231" s="222">
        <v>87</v>
      </c>
      <c r="L231" s="222">
        <v>87</v>
      </c>
      <c r="M231" s="222">
        <v>77</v>
      </c>
      <c r="N231" s="68">
        <f t="shared" si="50"/>
        <v>37</v>
      </c>
      <c r="O231" s="1">
        <f t="shared" si="48"/>
        <v>16</v>
      </c>
      <c r="Q231" s="304">
        <f>IF(L156&lt;1200,0,L231)</f>
        <v>87</v>
      </c>
      <c r="T231" s="304">
        <f>IF(D156&gt;1200,D231,0)</f>
        <v>80</v>
      </c>
      <c r="W231" s="304">
        <f>IF(M156&gt;=1200,M231,0)</f>
        <v>77</v>
      </c>
      <c r="Y231" s="291">
        <f t="shared" si="49"/>
        <v>37</v>
      </c>
      <c r="Z231" s="304"/>
      <c r="AA231" s="225">
        <v>2002</v>
      </c>
      <c r="AB231" s="1">
        <v>40</v>
      </c>
      <c r="AC231" s="225">
        <f t="shared" si="51"/>
        <v>0</v>
      </c>
      <c r="AD231" s="225">
        <v>2002</v>
      </c>
      <c r="AE231" s="291">
        <v>40</v>
      </c>
      <c r="AG231" s="1">
        <v>1981</v>
      </c>
      <c r="AH231" s="68">
        <v>91</v>
      </c>
      <c r="AJ231" s="1">
        <v>2007</v>
      </c>
      <c r="AK231" s="68">
        <v>46</v>
      </c>
      <c r="AO231" s="1">
        <v>2011</v>
      </c>
      <c r="AP231" s="1">
        <v>32</v>
      </c>
    </row>
    <row r="232" spans="1:42">
      <c r="A232" s="220">
        <f>A41</f>
        <v>2007</v>
      </c>
      <c r="B232" s="40">
        <v>40</v>
      </c>
      <c r="C232" s="40">
        <v>40</v>
      </c>
      <c r="D232" s="222">
        <v>82</v>
      </c>
      <c r="E232" s="222">
        <v>82</v>
      </c>
      <c r="F232" s="222">
        <v>86</v>
      </c>
      <c r="G232" s="222">
        <v>95</v>
      </c>
      <c r="H232" s="222">
        <v>90</v>
      </c>
      <c r="I232" s="222">
        <v>95</v>
      </c>
      <c r="J232" s="222">
        <v>91</v>
      </c>
      <c r="K232" s="222">
        <v>91</v>
      </c>
      <c r="L232" s="222">
        <v>82</v>
      </c>
      <c r="M232" s="222">
        <v>46</v>
      </c>
      <c r="N232" s="68">
        <f t="shared" si="50"/>
        <v>40</v>
      </c>
      <c r="O232" s="1">
        <f t="shared" si="48"/>
        <v>15</v>
      </c>
      <c r="Q232" s="304">
        <f>IF(L157&lt;1200,0,L232)</f>
        <v>82</v>
      </c>
      <c r="T232" s="304">
        <f>IF(D157&gt;1200,D232,0)</f>
        <v>82</v>
      </c>
      <c r="V232" s="291">
        <f>+M232</f>
        <v>46</v>
      </c>
      <c r="Y232" s="291">
        <f t="shared" si="49"/>
        <v>40</v>
      </c>
      <c r="Z232" s="304"/>
      <c r="AA232" s="225">
        <v>2007</v>
      </c>
      <c r="AB232" s="1">
        <v>40</v>
      </c>
      <c r="AC232" s="225">
        <f t="shared" si="51"/>
        <v>0</v>
      </c>
      <c r="AD232" s="225">
        <v>2007</v>
      </c>
      <c r="AE232" s="291">
        <v>40</v>
      </c>
      <c r="AG232" s="1">
        <v>1983</v>
      </c>
      <c r="AH232" s="68">
        <v>91</v>
      </c>
      <c r="AJ232" s="1">
        <v>2002</v>
      </c>
      <c r="AK232" s="68">
        <v>48</v>
      </c>
      <c r="AO232" s="1">
        <v>2005</v>
      </c>
      <c r="AP232" s="1">
        <v>33</v>
      </c>
    </row>
    <row r="233" spans="1:42">
      <c r="A233" s="220">
        <f>A42</f>
        <v>2008</v>
      </c>
      <c r="B233" s="40">
        <v>29</v>
      </c>
      <c r="C233" s="40">
        <v>40</v>
      </c>
      <c r="D233" s="222">
        <v>78</v>
      </c>
      <c r="E233" s="222">
        <v>82</v>
      </c>
      <c r="F233" s="222">
        <v>84</v>
      </c>
      <c r="G233" s="222">
        <v>96</v>
      </c>
      <c r="H233" s="222">
        <v>93</v>
      </c>
      <c r="I233" s="222">
        <v>92</v>
      </c>
      <c r="J233" s="222">
        <v>91</v>
      </c>
      <c r="K233" s="222">
        <v>86</v>
      </c>
      <c r="L233" s="222">
        <v>85</v>
      </c>
      <c r="M233" s="40">
        <v>40</v>
      </c>
      <c r="N233" s="68">
        <f t="shared" si="50"/>
        <v>29</v>
      </c>
      <c r="O233" s="1">
        <f t="shared" si="48"/>
        <v>14</v>
      </c>
      <c r="Q233" s="304">
        <f>IF(L158&lt;1200,0,L233)</f>
        <v>85</v>
      </c>
      <c r="T233" s="304">
        <f>IF(D158&gt;1200,D233,0)</f>
        <v>78</v>
      </c>
      <c r="V233" s="291">
        <f>+M233</f>
        <v>40</v>
      </c>
      <c r="Y233" s="291">
        <f t="shared" si="49"/>
        <v>40</v>
      </c>
      <c r="Z233" s="304"/>
      <c r="AA233" s="225">
        <v>2016</v>
      </c>
      <c r="AB233" s="1">
        <v>40</v>
      </c>
      <c r="AC233" s="225">
        <f t="shared" si="51"/>
        <v>1</v>
      </c>
      <c r="AD233" s="225">
        <v>2016</v>
      </c>
      <c r="AE233" s="291">
        <v>40</v>
      </c>
      <c r="AG233" s="1">
        <v>1996</v>
      </c>
      <c r="AH233" s="68">
        <v>91</v>
      </c>
      <c r="AJ233" s="1">
        <v>1978</v>
      </c>
      <c r="AK233" s="68">
        <v>51</v>
      </c>
      <c r="AO233" s="1">
        <v>2009</v>
      </c>
      <c r="AP233" s="1">
        <v>35</v>
      </c>
    </row>
    <row r="234" spans="1:42">
      <c r="A234" s="220">
        <f>A43</f>
        <v>2009</v>
      </c>
      <c r="B234" s="40">
        <v>33</v>
      </c>
      <c r="C234" s="40">
        <v>36</v>
      </c>
      <c r="D234" s="40">
        <v>40</v>
      </c>
      <c r="E234" s="222">
        <v>82</v>
      </c>
      <c r="F234" s="222">
        <v>89</v>
      </c>
      <c r="G234" s="222">
        <v>96</v>
      </c>
      <c r="H234" s="222">
        <v>91</v>
      </c>
      <c r="I234" s="222">
        <v>93</v>
      </c>
      <c r="J234" s="222">
        <v>94</v>
      </c>
      <c r="K234" s="222">
        <v>91</v>
      </c>
      <c r="L234" s="222">
        <v>82</v>
      </c>
      <c r="M234" s="222">
        <v>76</v>
      </c>
      <c r="N234" s="68">
        <f t="shared" si="50"/>
        <v>33</v>
      </c>
      <c r="O234" s="1">
        <f t="shared" si="48"/>
        <v>13</v>
      </c>
      <c r="Q234" s="304">
        <f>IF(L159&lt;1200,0,L234)</f>
        <v>82</v>
      </c>
      <c r="S234" s="225">
        <f>IF(D159&lt;1200,D234,0)</f>
        <v>40</v>
      </c>
      <c r="T234" s="304"/>
      <c r="W234" s="304">
        <f>IF(M159&gt;=1200,M234,0)</f>
        <v>76</v>
      </c>
      <c r="Y234" s="291">
        <f t="shared" si="49"/>
        <v>36</v>
      </c>
      <c r="Z234" s="304"/>
      <c r="AA234" s="225">
        <v>1984</v>
      </c>
      <c r="AB234" s="1">
        <v>41</v>
      </c>
      <c r="AC234" s="225">
        <f t="shared" si="51"/>
        <v>0</v>
      </c>
      <c r="AD234" s="225">
        <v>1984</v>
      </c>
      <c r="AE234" s="291">
        <v>41</v>
      </c>
      <c r="AG234" s="1">
        <v>1999</v>
      </c>
      <c r="AH234" s="68">
        <v>91</v>
      </c>
      <c r="AJ234" s="1">
        <v>1997</v>
      </c>
      <c r="AK234" s="68">
        <v>54</v>
      </c>
      <c r="AO234" s="1">
        <v>2012</v>
      </c>
      <c r="AP234" s="1">
        <v>36</v>
      </c>
    </row>
    <row r="235" spans="1:42">
      <c r="A235" s="220">
        <f>A44</f>
        <v>2010</v>
      </c>
      <c r="B235" s="40">
        <v>27</v>
      </c>
      <c r="C235" s="40">
        <v>37</v>
      </c>
      <c r="D235" s="40">
        <v>40</v>
      </c>
      <c r="E235" s="222">
        <v>83</v>
      </c>
      <c r="F235" s="222">
        <v>87</v>
      </c>
      <c r="G235" s="222">
        <v>93</v>
      </c>
      <c r="H235" s="222">
        <v>95</v>
      </c>
      <c r="I235" s="222">
        <v>92</v>
      </c>
      <c r="J235" s="222">
        <v>93</v>
      </c>
      <c r="K235" s="222">
        <v>89</v>
      </c>
      <c r="L235" s="222">
        <v>86</v>
      </c>
      <c r="M235" s="40">
        <v>27</v>
      </c>
      <c r="N235" s="68">
        <f t="shared" si="50"/>
        <v>27</v>
      </c>
      <c r="O235" s="1">
        <f t="shared" si="48"/>
        <v>12</v>
      </c>
      <c r="Q235" s="304">
        <f>IF(L160&lt;1200,0,L235)</f>
        <v>86</v>
      </c>
      <c r="S235" s="225">
        <f>IF(D160&lt;1200,D235,0)</f>
        <v>40</v>
      </c>
      <c r="T235" s="304"/>
      <c r="V235" s="225">
        <f>IF(M160&lt;1200,M235,0)</f>
        <v>27</v>
      </c>
      <c r="Y235" s="291">
        <f t="shared" si="49"/>
        <v>37</v>
      </c>
      <c r="Z235" s="304"/>
      <c r="AA235" s="225">
        <v>1993</v>
      </c>
      <c r="AB235" s="1">
        <v>41</v>
      </c>
      <c r="AC235" s="225">
        <f t="shared" si="51"/>
        <v>1</v>
      </c>
      <c r="AD235" s="225">
        <v>1993</v>
      </c>
      <c r="AE235" s="291">
        <v>41</v>
      </c>
      <c r="AG235" s="1">
        <v>2002</v>
      </c>
      <c r="AH235" s="68">
        <v>91</v>
      </c>
      <c r="AJ235" s="1">
        <v>2011</v>
      </c>
      <c r="AK235" s="68">
        <v>72</v>
      </c>
      <c r="AO235" s="1">
        <v>2020</v>
      </c>
      <c r="AP235" s="1">
        <v>37</v>
      </c>
    </row>
    <row r="236" spans="1:42">
      <c r="A236" s="220">
        <f>A45</f>
        <v>2011</v>
      </c>
      <c r="B236" s="40">
        <v>31</v>
      </c>
      <c r="C236" s="40">
        <v>43</v>
      </c>
      <c r="D236" s="222">
        <v>81</v>
      </c>
      <c r="E236" s="222">
        <v>86</v>
      </c>
      <c r="F236" s="222">
        <v>91</v>
      </c>
      <c r="G236" s="222">
        <v>92</v>
      </c>
      <c r="H236" s="222">
        <v>94</v>
      </c>
      <c r="I236" s="222">
        <v>94</v>
      </c>
      <c r="J236" s="222">
        <v>91</v>
      </c>
      <c r="K236" s="222">
        <v>83</v>
      </c>
      <c r="L236" s="222">
        <v>80</v>
      </c>
      <c r="M236" s="222">
        <v>72</v>
      </c>
      <c r="N236" s="68">
        <f t="shared" si="50"/>
        <v>31</v>
      </c>
      <c r="O236" s="1">
        <f t="shared" si="48"/>
        <v>11</v>
      </c>
      <c r="Q236" s="304">
        <f>IF(L161&lt;1200,0,L236)</f>
        <v>80</v>
      </c>
      <c r="T236" s="304">
        <f>IF(D161&gt;1200,D236,0)</f>
        <v>81</v>
      </c>
      <c r="W236" s="304">
        <f>IF(M161&gt;=1200,M236,0)</f>
        <v>72</v>
      </c>
      <c r="Y236" s="291">
        <f t="shared" si="49"/>
        <v>43</v>
      </c>
      <c r="Z236" s="304"/>
      <c r="AA236" s="225">
        <v>2017</v>
      </c>
      <c r="AB236" s="1">
        <v>41</v>
      </c>
      <c r="AC236" s="225">
        <f t="shared" si="51"/>
        <v>1</v>
      </c>
      <c r="AD236" s="225">
        <v>2017</v>
      </c>
      <c r="AE236" s="291">
        <v>41</v>
      </c>
      <c r="AG236" s="1">
        <v>2003</v>
      </c>
      <c r="AH236" s="68">
        <v>91</v>
      </c>
      <c r="AJ236" s="1">
        <v>1994</v>
      </c>
      <c r="AK236" s="68">
        <v>73</v>
      </c>
      <c r="AO236" s="1">
        <v>2002</v>
      </c>
      <c r="AP236" s="1">
        <v>39</v>
      </c>
    </row>
    <row r="237" spans="1:42">
      <c r="A237" s="220">
        <f>A46</f>
        <v>2012</v>
      </c>
      <c r="B237" s="40">
        <v>35</v>
      </c>
      <c r="C237" s="40">
        <v>37</v>
      </c>
      <c r="D237" s="222">
        <v>82</v>
      </c>
      <c r="E237" s="222">
        <v>84</v>
      </c>
      <c r="F237" s="222">
        <v>94</v>
      </c>
      <c r="G237" s="222">
        <v>92</v>
      </c>
      <c r="H237" s="222">
        <v>91</v>
      </c>
      <c r="I237" s="222">
        <v>93</v>
      </c>
      <c r="J237" s="222">
        <v>88</v>
      </c>
      <c r="K237" s="222">
        <v>90</v>
      </c>
      <c r="L237" s="222">
        <v>75</v>
      </c>
      <c r="M237" s="222">
        <v>77</v>
      </c>
      <c r="N237" s="68">
        <f t="shared" si="50"/>
        <v>35</v>
      </c>
      <c r="O237" s="1">
        <f t="shared" si="48"/>
        <v>10</v>
      </c>
      <c r="Q237" s="304">
        <f>IF(L162&lt;1200,0,L237)</f>
        <v>75</v>
      </c>
      <c r="T237" s="304">
        <f>IF(D162&gt;1200,D237,0)</f>
        <v>82</v>
      </c>
      <c r="W237" s="304">
        <f>IF(M162&gt;=1200,M237,0)</f>
        <v>77</v>
      </c>
      <c r="Y237" s="291">
        <f t="shared" si="49"/>
        <v>37</v>
      </c>
      <c r="Z237" s="304"/>
      <c r="AA237" s="225">
        <v>1991</v>
      </c>
      <c r="AB237" s="1">
        <v>42</v>
      </c>
      <c r="AC237" s="225">
        <f t="shared" si="51"/>
        <v>0</v>
      </c>
      <c r="AD237" s="225">
        <v>1991</v>
      </c>
      <c r="AE237" s="291">
        <v>42</v>
      </c>
      <c r="AG237" s="1">
        <v>1979</v>
      </c>
      <c r="AH237" s="68">
        <v>90</v>
      </c>
      <c r="AJ237" s="1">
        <v>1986</v>
      </c>
      <c r="AK237" s="68">
        <v>75</v>
      </c>
      <c r="AO237" s="1">
        <v>2014</v>
      </c>
      <c r="AP237" s="1">
        <v>40</v>
      </c>
    </row>
    <row r="238" spans="1:42">
      <c r="A238" s="220">
        <f>A47</f>
        <v>2013</v>
      </c>
      <c r="B238" s="222">
        <v>81</v>
      </c>
      <c r="C238" s="40">
        <v>37</v>
      </c>
      <c r="D238" s="40">
        <v>45</v>
      </c>
      <c r="E238" s="222">
        <v>90</v>
      </c>
      <c r="F238" s="222">
        <v>90</v>
      </c>
      <c r="G238" s="222">
        <v>92</v>
      </c>
      <c r="H238" s="222">
        <v>91</v>
      </c>
      <c r="I238" s="222">
        <v>92</v>
      </c>
      <c r="J238" s="222">
        <v>91</v>
      </c>
      <c r="K238" s="222">
        <v>89</v>
      </c>
      <c r="L238" s="222">
        <v>80</v>
      </c>
      <c r="M238" s="222">
        <v>75</v>
      </c>
      <c r="N238" s="68">
        <f t="shared" si="50"/>
        <v>37</v>
      </c>
      <c r="O238" s="1">
        <f t="shared" si="48"/>
        <v>9</v>
      </c>
      <c r="Q238" s="304">
        <f>IF(L163&lt;1200,0,L238)</f>
        <v>80</v>
      </c>
      <c r="S238" s="225">
        <f>IF(D163&lt;1200,D238,0)</f>
        <v>45</v>
      </c>
      <c r="T238" s="304"/>
      <c r="W238" s="304">
        <f>IF(M163&gt;=1200,M238,0)</f>
        <v>75</v>
      </c>
      <c r="Y238" s="291">
        <f t="shared" si="49"/>
        <v>37</v>
      </c>
      <c r="Z238" s="304"/>
      <c r="AA238" s="225">
        <v>1994</v>
      </c>
      <c r="AB238" s="1">
        <v>42</v>
      </c>
      <c r="AC238" s="225">
        <f t="shared" si="51"/>
        <v>0</v>
      </c>
      <c r="AD238" s="225">
        <v>1994</v>
      </c>
      <c r="AE238" s="291">
        <v>42</v>
      </c>
      <c r="AG238" s="1">
        <v>1980</v>
      </c>
      <c r="AH238" s="68">
        <v>90</v>
      </c>
      <c r="AJ238" s="1">
        <v>2013</v>
      </c>
      <c r="AK238" s="68">
        <v>75</v>
      </c>
      <c r="AO238" s="1">
        <v>2004</v>
      </c>
      <c r="AP238" s="1">
        <v>41</v>
      </c>
    </row>
    <row r="239" spans="1:42">
      <c r="A239" s="220">
        <f>A48</f>
        <v>2014</v>
      </c>
      <c r="B239" s="40">
        <v>39</v>
      </c>
      <c r="C239" s="40">
        <v>74</v>
      </c>
      <c r="D239" s="222">
        <v>83</v>
      </c>
      <c r="E239" s="222">
        <v>88</v>
      </c>
      <c r="F239" s="222">
        <v>89</v>
      </c>
      <c r="G239" s="222">
        <v>93</v>
      </c>
      <c r="H239" s="222">
        <v>93</v>
      </c>
      <c r="I239" s="222">
        <v>94</v>
      </c>
      <c r="J239" s="222">
        <v>91</v>
      </c>
      <c r="K239" s="222">
        <v>89</v>
      </c>
      <c r="L239" s="40">
        <v>40</v>
      </c>
      <c r="M239" s="40">
        <v>44</v>
      </c>
      <c r="N239" s="68">
        <f t="shared" si="50"/>
        <v>39</v>
      </c>
      <c r="O239" s="1">
        <f t="shared" si="48"/>
        <v>8</v>
      </c>
      <c r="P239" s="225">
        <f>+L239</f>
        <v>40</v>
      </c>
      <c r="Q239" s="304"/>
      <c r="T239" s="304">
        <f>IF(D164&gt;1200,D239,0)</f>
        <v>83</v>
      </c>
      <c r="V239" s="225">
        <f>IF(M164&lt;1200,M239,0)</f>
        <v>44</v>
      </c>
      <c r="W239" s="304"/>
      <c r="Y239" s="291">
        <f t="shared" si="49"/>
        <v>74</v>
      </c>
      <c r="Z239" s="304"/>
      <c r="AA239" s="225">
        <v>1989</v>
      </c>
      <c r="AB239" s="1">
        <v>44</v>
      </c>
      <c r="AC239" s="225">
        <f t="shared" si="51"/>
        <v>0</v>
      </c>
      <c r="AD239" s="225">
        <v>1989</v>
      </c>
      <c r="AE239" s="291">
        <v>44</v>
      </c>
      <c r="AG239" s="1">
        <v>1982</v>
      </c>
      <c r="AH239" s="68">
        <v>90</v>
      </c>
      <c r="AJ239" s="1">
        <v>2018</v>
      </c>
      <c r="AK239" s="68">
        <v>75</v>
      </c>
      <c r="AO239" s="1">
        <v>2016</v>
      </c>
      <c r="AP239" s="1">
        <v>42</v>
      </c>
    </row>
    <row r="240" spans="1:42">
      <c r="A240" s="220">
        <f>A49</f>
        <v>2015</v>
      </c>
      <c r="B240" s="40">
        <v>37</v>
      </c>
      <c r="C240" s="40">
        <v>34</v>
      </c>
      <c r="D240" s="222">
        <v>84</v>
      </c>
      <c r="E240" s="222">
        <v>84</v>
      </c>
      <c r="F240" s="222">
        <v>90</v>
      </c>
      <c r="G240" s="222">
        <v>90</v>
      </c>
      <c r="H240" s="222">
        <v>93</v>
      </c>
      <c r="I240" s="222">
        <v>93</v>
      </c>
      <c r="J240" s="222">
        <v>91</v>
      </c>
      <c r="K240" s="222">
        <v>86</v>
      </c>
      <c r="L240" s="222">
        <v>87</v>
      </c>
      <c r="M240" s="222">
        <v>84</v>
      </c>
      <c r="N240" s="68">
        <f t="shared" si="50"/>
        <v>34</v>
      </c>
      <c r="O240" s="1">
        <f t="shared" si="48"/>
        <v>7</v>
      </c>
      <c r="Q240" s="304">
        <f>IF(L165&lt;1200,0,L240)</f>
        <v>87</v>
      </c>
      <c r="T240" s="304">
        <f>IF(D165&gt;1200,D240,0)</f>
        <v>84</v>
      </c>
      <c r="W240" s="304">
        <f>IF(M165&gt;=1200,M240,0)</f>
        <v>84</v>
      </c>
      <c r="Y240" s="291">
        <f t="shared" si="49"/>
        <v>34</v>
      </c>
      <c r="Z240" s="304"/>
      <c r="AA240" s="225">
        <v>1990</v>
      </c>
      <c r="AB240" s="1">
        <v>44</v>
      </c>
      <c r="AC240" s="225">
        <f t="shared" si="51"/>
        <v>0</v>
      </c>
      <c r="AD240" s="225">
        <v>1990</v>
      </c>
      <c r="AE240" s="291">
        <v>44</v>
      </c>
      <c r="AG240" s="1">
        <v>1984</v>
      </c>
      <c r="AH240" s="68">
        <v>90</v>
      </c>
      <c r="AJ240" s="1">
        <v>2019</v>
      </c>
      <c r="AK240" s="68">
        <v>75</v>
      </c>
      <c r="AO240" s="1">
        <v>2007</v>
      </c>
      <c r="AP240" s="1">
        <v>43</v>
      </c>
    </row>
    <row r="241" spans="1:43">
      <c r="A241" s="220">
        <f>A50</f>
        <v>2016</v>
      </c>
      <c r="B241" s="40">
        <v>40</v>
      </c>
      <c r="C241" s="40">
        <v>45</v>
      </c>
      <c r="D241" s="222">
        <v>82</v>
      </c>
      <c r="E241" s="222">
        <v>87</v>
      </c>
      <c r="F241" s="222">
        <v>87</v>
      </c>
      <c r="G241" s="222">
        <v>91</v>
      </c>
      <c r="H241" s="222">
        <v>93</v>
      </c>
      <c r="I241" s="222">
        <v>93</v>
      </c>
      <c r="J241" s="222">
        <v>92</v>
      </c>
      <c r="K241" s="222">
        <v>89</v>
      </c>
      <c r="L241" s="222">
        <v>85</v>
      </c>
      <c r="M241" s="222">
        <v>84</v>
      </c>
      <c r="N241" s="68">
        <f t="shared" si="50"/>
        <v>40</v>
      </c>
      <c r="O241" s="1">
        <f t="shared" si="48"/>
        <v>6</v>
      </c>
      <c r="Q241" s="304">
        <f>IF(L166&lt;1200,0,L241)</f>
        <v>85</v>
      </c>
      <c r="T241" s="304">
        <f>IF(D166&gt;1200,D241,0)</f>
        <v>82</v>
      </c>
      <c r="W241" s="304">
        <f>IF(M166&gt;=1200,M241,0)</f>
        <v>84</v>
      </c>
      <c r="Y241" s="291">
        <f t="shared" si="49"/>
        <v>45</v>
      </c>
      <c r="Z241" s="304"/>
      <c r="AA241" s="225">
        <v>2006</v>
      </c>
      <c r="AB241" s="1">
        <v>44</v>
      </c>
      <c r="AC241" s="225">
        <f t="shared" si="51"/>
        <v>0</v>
      </c>
      <c r="AD241" s="225">
        <v>2006</v>
      </c>
      <c r="AE241" s="291">
        <v>44</v>
      </c>
      <c r="AG241" s="1">
        <v>1990</v>
      </c>
      <c r="AH241" s="68">
        <v>90</v>
      </c>
      <c r="AJ241" s="1">
        <v>1998</v>
      </c>
      <c r="AK241" s="68">
        <v>76</v>
      </c>
      <c r="AO241" s="1">
        <v>2017</v>
      </c>
      <c r="AP241" s="1">
        <v>43</v>
      </c>
    </row>
    <row r="242" spans="1:43">
      <c r="A242" s="220">
        <f>A51</f>
        <v>2017</v>
      </c>
      <c r="B242" s="40">
        <v>41</v>
      </c>
      <c r="C242" s="222">
        <v>85</v>
      </c>
      <c r="D242" s="222">
        <v>84</v>
      </c>
      <c r="E242" s="222">
        <v>92</v>
      </c>
      <c r="F242" s="222">
        <v>91</v>
      </c>
      <c r="G242" s="222">
        <v>92</v>
      </c>
      <c r="H242" s="222">
        <v>91</v>
      </c>
      <c r="I242" s="222">
        <v>92</v>
      </c>
      <c r="J242" s="222">
        <v>92</v>
      </c>
      <c r="K242" s="222">
        <v>91</v>
      </c>
      <c r="L242" s="222">
        <v>82</v>
      </c>
      <c r="M242" s="40">
        <v>43</v>
      </c>
      <c r="N242" s="68">
        <f t="shared" si="50"/>
        <v>41</v>
      </c>
      <c r="O242" s="1">
        <f t="shared" si="48"/>
        <v>5</v>
      </c>
      <c r="Q242" s="304">
        <f>IF(L167&lt;1200,0,L242)</f>
        <v>82</v>
      </c>
      <c r="T242" s="304">
        <f>IF(D167&gt;1200,D242,0)</f>
        <v>84</v>
      </c>
      <c r="V242" s="225">
        <f>+M242</f>
        <v>43</v>
      </c>
      <c r="W242" s="304"/>
      <c r="Z242" s="304">
        <f>IF(C167&gt;=1200,C242,0)</f>
        <v>85</v>
      </c>
      <c r="AA242" s="225">
        <v>2019</v>
      </c>
      <c r="AB242" s="1">
        <v>45</v>
      </c>
      <c r="AC242" s="225">
        <f t="shared" si="51"/>
        <v>0</v>
      </c>
      <c r="AD242" s="225">
        <v>2019</v>
      </c>
      <c r="AE242" s="291">
        <v>45</v>
      </c>
      <c r="AG242" s="1">
        <v>1974</v>
      </c>
      <c r="AH242" s="68">
        <v>89</v>
      </c>
      <c r="AJ242" s="1">
        <v>2009</v>
      </c>
      <c r="AK242" s="68">
        <v>76</v>
      </c>
      <c r="AO242" s="1">
        <v>2006</v>
      </c>
      <c r="AP242" s="1">
        <v>44</v>
      </c>
    </row>
    <row r="243" spans="1:43">
      <c r="A243" s="220">
        <f>A52</f>
        <v>2018</v>
      </c>
      <c r="B243" s="40">
        <v>28</v>
      </c>
      <c r="C243" s="222">
        <v>85</v>
      </c>
      <c r="D243" s="222">
        <v>81</v>
      </c>
      <c r="E243" s="222">
        <v>83</v>
      </c>
      <c r="F243" s="222">
        <v>90</v>
      </c>
      <c r="G243" s="222">
        <v>92</v>
      </c>
      <c r="H243" s="222">
        <v>93</v>
      </c>
      <c r="I243" s="222">
        <v>92</v>
      </c>
      <c r="J243" s="222">
        <v>92</v>
      </c>
      <c r="K243" s="222">
        <v>92</v>
      </c>
      <c r="L243" s="222">
        <v>84</v>
      </c>
      <c r="M243" s="222">
        <v>75</v>
      </c>
      <c r="N243" s="68">
        <f t="shared" si="50"/>
        <v>28</v>
      </c>
      <c r="O243" s="1">
        <f t="shared" si="48"/>
        <v>4</v>
      </c>
      <c r="Q243" s="304">
        <f>IF(L168&lt;1200,0,L243)</f>
        <v>84</v>
      </c>
      <c r="T243" s="304">
        <f>IF(D168&gt;1200,D243,0)</f>
        <v>81</v>
      </c>
      <c r="W243" s="304">
        <f>IF(M168&gt;=1200,M243,0)</f>
        <v>75</v>
      </c>
      <c r="Z243" s="304">
        <f>IF(C168&gt;=1200,C243,0)</f>
        <v>85</v>
      </c>
      <c r="AA243" s="1">
        <v>2022</v>
      </c>
      <c r="AB243" s="1">
        <v>45</v>
      </c>
      <c r="AC243" s="225">
        <f t="shared" si="51"/>
        <v>1</v>
      </c>
      <c r="AD243" s="225">
        <v>2022</v>
      </c>
      <c r="AE243" s="291">
        <v>45</v>
      </c>
      <c r="AG243" s="1">
        <v>1973</v>
      </c>
      <c r="AH243" s="68">
        <v>88</v>
      </c>
      <c r="AJ243" s="1">
        <v>2006</v>
      </c>
      <c r="AK243" s="68">
        <v>77</v>
      </c>
      <c r="AO243" s="1">
        <v>2015</v>
      </c>
      <c r="AP243" s="1">
        <v>46</v>
      </c>
    </row>
    <row r="244" spans="1:43">
      <c r="A244" s="220">
        <f>A53</f>
        <v>2019</v>
      </c>
      <c r="B244" s="40">
        <v>45</v>
      </c>
      <c r="C244" s="222">
        <v>85</v>
      </c>
      <c r="D244" s="222">
        <v>84</v>
      </c>
      <c r="E244" s="222">
        <v>89</v>
      </c>
      <c r="F244" s="222">
        <v>94</v>
      </c>
      <c r="G244" s="222">
        <v>94</v>
      </c>
      <c r="H244" s="222">
        <v>85</v>
      </c>
      <c r="I244" s="222">
        <v>93</v>
      </c>
      <c r="J244" s="222">
        <v>92</v>
      </c>
      <c r="K244" s="222">
        <v>89</v>
      </c>
      <c r="L244" s="222">
        <v>86</v>
      </c>
      <c r="M244" s="222">
        <v>75</v>
      </c>
      <c r="N244" s="68">
        <f t="shared" si="50"/>
        <v>45</v>
      </c>
      <c r="O244" s="1">
        <f t="shared" si="48"/>
        <v>3</v>
      </c>
      <c r="Q244" s="304">
        <f>IF(L169&lt;1200,0,L244)</f>
        <v>86</v>
      </c>
      <c r="T244" s="304">
        <f>IF(D169&gt;1200,D244,0)</f>
        <v>84</v>
      </c>
      <c r="W244" s="304">
        <f>IF(M169&gt;=1200,M244,0)</f>
        <v>75</v>
      </c>
      <c r="Z244" s="304">
        <f>IF(C169&gt;=1200,C244,0)</f>
        <v>85</v>
      </c>
      <c r="AA244" s="225">
        <v>1998</v>
      </c>
      <c r="AB244" s="1">
        <v>46</v>
      </c>
      <c r="AC244" s="225">
        <f t="shared" si="51"/>
        <v>0</v>
      </c>
      <c r="AD244" s="225">
        <v>1998</v>
      </c>
      <c r="AE244" s="291">
        <v>46</v>
      </c>
      <c r="AG244" s="1">
        <v>1977</v>
      </c>
      <c r="AH244" s="68">
        <v>88</v>
      </c>
      <c r="AJ244" s="1">
        <v>2012</v>
      </c>
      <c r="AK244" s="68">
        <v>77</v>
      </c>
      <c r="AO244" s="1">
        <v>2019</v>
      </c>
      <c r="AP244" s="1">
        <v>46</v>
      </c>
    </row>
    <row r="245" spans="1:43">
      <c r="A245" s="220">
        <f>A54</f>
        <v>2020</v>
      </c>
      <c r="B245" s="40">
        <v>34</v>
      </c>
      <c r="C245" s="276">
        <v>82</v>
      </c>
      <c r="D245" s="276">
        <v>85</v>
      </c>
      <c r="E245" s="276">
        <v>88</v>
      </c>
      <c r="F245" s="276">
        <v>91</v>
      </c>
      <c r="G245" s="276">
        <v>93</v>
      </c>
      <c r="H245" s="276">
        <v>92</v>
      </c>
      <c r="I245" s="276">
        <v>93</v>
      </c>
      <c r="J245" s="276">
        <v>93</v>
      </c>
      <c r="K245" s="276">
        <v>91</v>
      </c>
      <c r="L245" s="276">
        <v>85</v>
      </c>
      <c r="M245" s="40">
        <v>41</v>
      </c>
      <c r="N245" s="68">
        <f t="shared" si="50"/>
        <v>34</v>
      </c>
      <c r="O245" s="1">
        <f t="shared" si="48"/>
        <v>2</v>
      </c>
      <c r="Q245" s="304">
        <f>IF(L170&lt;1200,0,L245)</f>
        <v>85</v>
      </c>
      <c r="T245" s="304">
        <f>IF(D170&gt;1200,D245,0)</f>
        <v>85</v>
      </c>
      <c r="V245" s="225">
        <f>M245</f>
        <v>41</v>
      </c>
      <c r="W245" s="304"/>
      <c r="Z245" s="304">
        <f>IF(C170&gt;=1200,C245,0)</f>
        <v>82</v>
      </c>
      <c r="AA245" s="1">
        <v>2021</v>
      </c>
      <c r="AB245" s="1">
        <v>46</v>
      </c>
      <c r="AC245" s="225">
        <f t="shared" si="51"/>
        <v>0</v>
      </c>
      <c r="AD245" s="225">
        <v>2021</v>
      </c>
      <c r="AE245" s="291">
        <v>46</v>
      </c>
      <c r="AG245" s="1">
        <v>1994</v>
      </c>
      <c r="AH245" s="68">
        <v>88</v>
      </c>
      <c r="AJ245" s="1">
        <v>2021</v>
      </c>
      <c r="AK245" s="68">
        <v>79</v>
      </c>
      <c r="AO245" s="1">
        <v>2021</v>
      </c>
      <c r="AP245" s="1">
        <v>50</v>
      </c>
    </row>
    <row r="246" spans="1:43">
      <c r="A246" s="220">
        <f>A55</f>
        <v>2021</v>
      </c>
      <c r="B246" s="40">
        <v>46</v>
      </c>
      <c r="C246" s="40">
        <v>42</v>
      </c>
      <c r="D246" s="276">
        <v>84</v>
      </c>
      <c r="E246" s="276">
        <v>86</v>
      </c>
      <c r="F246" s="276">
        <v>89</v>
      </c>
      <c r="G246" s="276">
        <v>90</v>
      </c>
      <c r="H246" s="276">
        <v>91</v>
      </c>
      <c r="I246" s="276">
        <v>94</v>
      </c>
      <c r="J246" s="276">
        <v>92</v>
      </c>
      <c r="K246" s="276">
        <v>91</v>
      </c>
      <c r="L246" s="276">
        <v>82</v>
      </c>
      <c r="M246" s="276">
        <v>79</v>
      </c>
      <c r="N246" s="68">
        <f t="shared" si="50"/>
        <v>42</v>
      </c>
      <c r="O246" s="222">
        <v>1</v>
      </c>
      <c r="Q246" s="304">
        <f>IF(L171&lt;1200,0,L246)</f>
        <v>82</v>
      </c>
      <c r="T246" s="304">
        <f>IF(D171&gt;1200,D246,0)</f>
        <v>84</v>
      </c>
      <c r="W246" s="304">
        <f>IF(M171&gt;=1200,M246,0)</f>
        <v>79</v>
      </c>
      <c r="Y246" s="291">
        <f>+C246</f>
        <v>42</v>
      </c>
      <c r="Z246" s="304"/>
      <c r="AA246" s="225">
        <v>1974</v>
      </c>
      <c r="AB246" s="1">
        <v>74</v>
      </c>
      <c r="AC246" s="225">
        <f t="shared" si="51"/>
        <v>0</v>
      </c>
      <c r="AD246" s="225">
        <v>1974</v>
      </c>
      <c r="AE246" s="291">
        <v>74</v>
      </c>
      <c r="AG246" s="1">
        <v>1976</v>
      </c>
      <c r="AH246" s="68">
        <v>87</v>
      </c>
      <c r="AJ246" s="1">
        <v>2015</v>
      </c>
      <c r="AK246" s="68">
        <v>84</v>
      </c>
      <c r="AO246" s="1">
        <v>2013</v>
      </c>
      <c r="AP246" s="1">
        <v>81</v>
      </c>
    </row>
    <row r="247" spans="1:43">
      <c r="A247" s="220">
        <f>A56</f>
        <v>2022</v>
      </c>
      <c r="B247" s="375">
        <v>45</v>
      </c>
      <c r="C247" s="40">
        <v>84</v>
      </c>
      <c r="D247" s="40">
        <v>81</v>
      </c>
      <c r="E247" s="40">
        <v>86</v>
      </c>
      <c r="F247" s="40">
        <v>91</v>
      </c>
      <c r="G247" s="40">
        <v>93</v>
      </c>
      <c r="H247" s="40">
        <v>93</v>
      </c>
      <c r="I247" s="40">
        <v>93</v>
      </c>
      <c r="J247" s="40">
        <v>89</v>
      </c>
      <c r="K247" s="40">
        <v>88</v>
      </c>
      <c r="L247" s="40">
        <v>88</v>
      </c>
      <c r="M247" s="40">
        <v>32</v>
      </c>
      <c r="N247" s="40">
        <f t="shared" si="50"/>
        <v>32</v>
      </c>
      <c r="O247" s="40"/>
      <c r="P247" s="40"/>
      <c r="Q247" s="304">
        <f>IF(L172&lt;1200,0,L247)</f>
        <v>88</v>
      </c>
      <c r="R247" s="40"/>
      <c r="T247" s="304">
        <f>IF(D172&gt;1200,D247,0)</f>
        <v>81</v>
      </c>
      <c r="V247" s="225">
        <f>M247</f>
        <v>32</v>
      </c>
      <c r="W247" s="304"/>
      <c r="Z247" s="304">
        <f>IF(C172&gt;=1200,C247,0)</f>
        <v>84</v>
      </c>
      <c r="AA247" s="225">
        <v>2013</v>
      </c>
      <c r="AB247" s="1">
        <v>81</v>
      </c>
      <c r="AC247" s="225">
        <f t="shared" si="51"/>
        <v>0</v>
      </c>
      <c r="AD247" s="225">
        <v>2013</v>
      </c>
      <c r="AE247" s="291">
        <v>81</v>
      </c>
      <c r="AG247" s="1">
        <v>1985</v>
      </c>
      <c r="AH247" s="68">
        <v>83</v>
      </c>
      <c r="AJ247" s="1">
        <v>2016</v>
      </c>
      <c r="AK247" s="68">
        <v>84</v>
      </c>
    </row>
    <row r="248" spans="1:43">
      <c r="A248" s="220">
        <f>A57</f>
        <v>2023</v>
      </c>
      <c r="B248" s="375">
        <v>42</v>
      </c>
      <c r="C248" s="40">
        <v>84</v>
      </c>
      <c r="D248" s="40">
        <v>84</v>
      </c>
      <c r="E248" s="40">
        <v>88</v>
      </c>
      <c r="F248" s="40">
        <v>88</v>
      </c>
      <c r="G248" s="40">
        <v>87</v>
      </c>
      <c r="H248" s="40">
        <v>94</v>
      </c>
      <c r="I248" s="40">
        <v>94</v>
      </c>
      <c r="J248" s="40">
        <v>92</v>
      </c>
      <c r="K248" s="40">
        <v>90</v>
      </c>
      <c r="L248" s="40">
        <v>86</v>
      </c>
      <c r="M248" s="40">
        <v>80</v>
      </c>
      <c r="N248" s="40"/>
      <c r="O248" s="40"/>
      <c r="P248" s="40"/>
      <c r="Q248" s="40"/>
      <c r="R248" s="40"/>
      <c r="T248" s="333"/>
      <c r="W248" s="333"/>
      <c r="Z248" s="333"/>
      <c r="AA248" s="1"/>
      <c r="AC248" s="225"/>
      <c r="AD248" s="225"/>
      <c r="AE248" s="225"/>
      <c r="AH248" s="68"/>
    </row>
    <row r="249" spans="1:43">
      <c r="A249" s="220">
        <f>A58</f>
        <v>2024</v>
      </c>
      <c r="B249" s="375">
        <v>40</v>
      </c>
      <c r="C249" s="40">
        <v>75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T249" s="333"/>
      <c r="W249" s="333"/>
      <c r="Z249" s="333"/>
      <c r="AA249" s="1"/>
      <c r="AC249" s="225"/>
      <c r="AD249" s="225"/>
      <c r="AE249" s="225"/>
      <c r="AH249" s="68"/>
    </row>
    <row r="250" spans="1:43">
      <c r="A250" s="165"/>
      <c r="B250" s="375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T250" s="333"/>
      <c r="W250" s="333"/>
      <c r="Z250" s="333"/>
      <c r="AA250" s="1"/>
      <c r="AC250" s="225"/>
      <c r="AD250" s="225"/>
      <c r="AE250" s="225"/>
      <c r="AH250" s="68"/>
    </row>
    <row r="251" spans="1:43">
      <c r="A251" s="165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T251" s="333"/>
      <c r="W251" s="333"/>
      <c r="Z251" s="333"/>
      <c r="AA251" s="1"/>
      <c r="AC251" s="225"/>
      <c r="AD251" s="225"/>
      <c r="AE251" s="225"/>
      <c r="AH251" s="68"/>
    </row>
    <row r="252" spans="1:43">
      <c r="A252" s="165"/>
      <c r="B252" s="313" t="s">
        <v>4</v>
      </c>
      <c r="C252" s="313" t="s">
        <v>8</v>
      </c>
      <c r="D252" s="363" t="s">
        <v>9</v>
      </c>
      <c r="E252" s="363" t="s">
        <v>10</v>
      </c>
      <c r="F252" s="363" t="s">
        <v>11</v>
      </c>
      <c r="G252" s="363" t="s">
        <v>12</v>
      </c>
      <c r="H252" s="363" t="s">
        <v>13</v>
      </c>
      <c r="I252" s="363" t="s">
        <v>15</v>
      </c>
      <c r="J252" s="363" t="s">
        <v>16</v>
      </c>
      <c r="K252" s="363" t="s">
        <v>17</v>
      </c>
      <c r="L252" s="363" t="s">
        <v>18</v>
      </c>
      <c r="M252" s="363" t="s">
        <v>19</v>
      </c>
      <c r="P252" s="313" t="s">
        <v>91</v>
      </c>
      <c r="Q252" s="313" t="s">
        <v>93</v>
      </c>
      <c r="S252" s="313" t="s">
        <v>95</v>
      </c>
      <c r="T252" s="313" t="s">
        <v>97</v>
      </c>
      <c r="V252" s="313" t="s">
        <v>98</v>
      </c>
      <c r="W252" s="313" t="s">
        <v>99</v>
      </c>
      <c r="Y252" s="313" t="s">
        <v>315</v>
      </c>
      <c r="Z252" s="313" t="s">
        <v>316</v>
      </c>
      <c r="AC252" s="225"/>
      <c r="AD252" s="225"/>
      <c r="AE252" s="313" t="s">
        <v>4</v>
      </c>
      <c r="AH252" s="239" t="s">
        <v>15</v>
      </c>
      <c r="AK252" s="313" t="s">
        <v>320</v>
      </c>
    </row>
    <row r="253" spans="1:43" ht="15.75">
      <c r="A253" s="1" t="s">
        <v>262</v>
      </c>
      <c r="B253" s="43">
        <f>AVERAGE(B218:B247)</f>
        <v>38.233333333333334</v>
      </c>
      <c r="C253" s="43">
        <f t="shared" ref="C253:M253" si="52">AVERAGE(C218:C247)</f>
        <v>48.06666666666667</v>
      </c>
      <c r="D253" s="43">
        <f t="shared" si="52"/>
        <v>69.566666666666663</v>
      </c>
      <c r="E253" s="43">
        <f t="shared" si="52"/>
        <v>85.233333333333334</v>
      </c>
      <c r="F253" s="43">
        <f t="shared" si="52"/>
        <v>88.7</v>
      </c>
      <c r="G253" s="43">
        <f t="shared" si="52"/>
        <v>92.233333333333334</v>
      </c>
      <c r="H253" s="43">
        <f t="shared" si="52"/>
        <v>92.033333333333331</v>
      </c>
      <c r="I253" s="43">
        <f t="shared" si="52"/>
        <v>92.933333333333337</v>
      </c>
      <c r="J253" s="43">
        <f t="shared" si="52"/>
        <v>91.166666666666671</v>
      </c>
      <c r="K253" s="43">
        <f t="shared" si="52"/>
        <v>88.5</v>
      </c>
      <c r="L253" s="43">
        <f t="shared" si="52"/>
        <v>81.2</v>
      </c>
      <c r="M253" s="43">
        <f t="shared" si="52"/>
        <v>54.8</v>
      </c>
      <c r="O253" s="225" t="s">
        <v>67</v>
      </c>
      <c r="P253" s="43">
        <f t="shared" ref="P253:Q253" si="53">AVERAGE(P218:P247)</f>
        <v>58.5</v>
      </c>
      <c r="Q253" s="43">
        <f t="shared" si="53"/>
        <v>82.821428571428569</v>
      </c>
      <c r="S253" s="43">
        <f t="shared" ref="S253:T253" si="54">AVERAGE(S218:S247)</f>
        <v>40.888888888888886</v>
      </c>
      <c r="T253" s="43">
        <f t="shared" si="54"/>
        <v>81.8</v>
      </c>
      <c r="V253" s="43">
        <f t="shared" ref="V253:W253" si="55">AVERAGE(V218:V247)</f>
        <v>37.94736842105263</v>
      </c>
      <c r="W253" s="43">
        <f t="shared" si="55"/>
        <v>77</v>
      </c>
      <c r="Y253" s="43">
        <f t="shared" ref="Y253:Z253" si="56">AVERAGE(Y218:Y247)</f>
        <v>40.840000000000003</v>
      </c>
      <c r="Z253" s="43">
        <f t="shared" si="56"/>
        <v>84.2</v>
      </c>
      <c r="AC253" s="225">
        <f>SUM(AC198:AC252)</f>
        <v>13</v>
      </c>
      <c r="AD253" s="225"/>
      <c r="AE253" s="291">
        <f>MEDIAN(AE198:AE247)</f>
        <v>36</v>
      </c>
      <c r="AF253" s="1" t="s">
        <v>281</v>
      </c>
      <c r="AH253" s="225">
        <f>MEDIAN(AH198:AH247)</f>
        <v>92</v>
      </c>
      <c r="AI253" s="1" t="s">
        <v>281</v>
      </c>
      <c r="AK253" s="225">
        <f>MEDIAN(AK198:AK247)</f>
        <v>41.5</v>
      </c>
      <c r="AL253" s="1" t="s">
        <v>281</v>
      </c>
      <c r="AP253" s="1">
        <f>MEDIAN(AP198:AP246)</f>
        <v>39.5</v>
      </c>
      <c r="AQ253" s="1" t="s">
        <v>281</v>
      </c>
    </row>
    <row r="254" spans="1:43" ht="15.75">
      <c r="A254" s="412" t="s">
        <v>261</v>
      </c>
      <c r="B254" s="411">
        <f>AVERAGE(B228:B247)</f>
        <v>38.75</v>
      </c>
      <c r="C254" s="411">
        <f t="shared" ref="C254:M254" si="57">AVERAGE(C228:C247)</f>
        <v>52.85</v>
      </c>
      <c r="D254" s="411">
        <f t="shared" si="57"/>
        <v>76.099999999999994</v>
      </c>
      <c r="E254" s="411">
        <f t="shared" si="57"/>
        <v>85.85</v>
      </c>
      <c r="F254" s="411">
        <f t="shared" si="57"/>
        <v>89.6</v>
      </c>
      <c r="G254" s="411">
        <f t="shared" si="57"/>
        <v>92.55</v>
      </c>
      <c r="H254" s="411">
        <f t="shared" si="57"/>
        <v>92.3</v>
      </c>
      <c r="I254" s="411">
        <f t="shared" si="57"/>
        <v>92.95</v>
      </c>
      <c r="J254" s="411">
        <f t="shared" si="57"/>
        <v>91.65</v>
      </c>
      <c r="K254" s="411">
        <f t="shared" si="57"/>
        <v>88.95</v>
      </c>
      <c r="L254" s="411">
        <f t="shared" si="57"/>
        <v>81.400000000000006</v>
      </c>
      <c r="M254" s="411">
        <f t="shared" si="57"/>
        <v>58.15</v>
      </c>
      <c r="N254" s="412"/>
      <c r="O254" s="413" t="s">
        <v>69</v>
      </c>
      <c r="P254" s="411">
        <f t="shared" ref="P254:Q254" si="58">AVERAGE(P228:P247)</f>
        <v>40</v>
      </c>
      <c r="Q254" s="411">
        <f t="shared" si="58"/>
        <v>83.578947368421055</v>
      </c>
      <c r="R254" s="413"/>
      <c r="S254" s="411">
        <f t="shared" ref="S254:T254" si="59">AVERAGE(S228:S247)</f>
        <v>41.666666666666664</v>
      </c>
      <c r="T254" s="411">
        <f t="shared" si="59"/>
        <v>82.125</v>
      </c>
      <c r="U254" s="414"/>
      <c r="V254" s="411">
        <f t="shared" ref="V254:W254" si="60">AVERAGE(V228:V247)</f>
        <v>38.9</v>
      </c>
      <c r="W254" s="411">
        <f t="shared" si="60"/>
        <v>77.400000000000006</v>
      </c>
      <c r="X254" s="413"/>
      <c r="Y254" s="411">
        <f t="shared" ref="Y254:Z254" si="61">AVERAGE(Y228:Y247)</f>
        <v>42.4</v>
      </c>
      <c r="Z254" s="411">
        <f t="shared" si="61"/>
        <v>84.2</v>
      </c>
      <c r="AC254" s="225">
        <f>COUNT(AC198:AC247)</f>
        <v>50</v>
      </c>
      <c r="AD254" s="225"/>
      <c r="AE254" s="291">
        <f>MODE(AE198:AE247)</f>
        <v>37</v>
      </c>
      <c r="AF254" s="1" t="s">
        <v>282</v>
      </c>
      <c r="AH254" s="364">
        <f>MODE(AH198:AH247)</f>
        <v>92</v>
      </c>
      <c r="AI254" s="1" t="s">
        <v>282</v>
      </c>
      <c r="AK254" s="364">
        <f>MODE(AK198:AK247)</f>
        <v>40</v>
      </c>
      <c r="AL254" s="1" t="s">
        <v>282</v>
      </c>
      <c r="AP254" s="336">
        <f>MODE(AP198:AP246)</f>
        <v>32</v>
      </c>
      <c r="AQ254" s="1" t="s">
        <v>282</v>
      </c>
    </row>
    <row r="255" spans="1:43" ht="15.75">
      <c r="A255" s="354" t="s">
        <v>263</v>
      </c>
      <c r="B255" s="355">
        <f>AVERAGE(B238:B247)</f>
        <v>43.6</v>
      </c>
      <c r="C255" s="355">
        <f t="shared" ref="C255:M255" si="62">AVERAGE(C238:C247)</f>
        <v>65.3</v>
      </c>
      <c r="D255" s="355">
        <f t="shared" si="62"/>
        <v>79.3</v>
      </c>
      <c r="E255" s="355">
        <f t="shared" si="62"/>
        <v>87.3</v>
      </c>
      <c r="F255" s="355">
        <f t="shared" si="62"/>
        <v>90.2</v>
      </c>
      <c r="G255" s="355">
        <f t="shared" si="62"/>
        <v>92</v>
      </c>
      <c r="H255" s="355">
        <f t="shared" si="62"/>
        <v>91.5</v>
      </c>
      <c r="I255" s="355">
        <f t="shared" si="62"/>
        <v>92.9</v>
      </c>
      <c r="J255" s="355">
        <f t="shared" si="62"/>
        <v>91.5</v>
      </c>
      <c r="K255" s="355">
        <f t="shared" si="62"/>
        <v>89.5</v>
      </c>
      <c r="L255" s="355">
        <f t="shared" si="62"/>
        <v>79.900000000000006</v>
      </c>
      <c r="M255" s="355">
        <f t="shared" si="62"/>
        <v>63.2</v>
      </c>
      <c r="N255" s="354"/>
      <c r="O255" s="357" t="s">
        <v>68</v>
      </c>
      <c r="P255" s="355">
        <f t="shared" ref="P255:Q255" si="63">AVERAGE(P238:P247)</f>
        <v>40</v>
      </c>
      <c r="Q255" s="355">
        <f t="shared" si="63"/>
        <v>84.333333333333329</v>
      </c>
      <c r="R255" s="357"/>
      <c r="S255" s="355">
        <f t="shared" ref="S255:T255" si="64">AVERAGE(S238:S247)</f>
        <v>45</v>
      </c>
      <c r="T255" s="355">
        <f t="shared" si="64"/>
        <v>83.111111111111114</v>
      </c>
      <c r="U255" s="357"/>
      <c r="V255" s="355">
        <f t="shared" ref="V255:W255" si="65">AVERAGE(V238:V247)</f>
        <v>40</v>
      </c>
      <c r="W255" s="355">
        <f t="shared" si="65"/>
        <v>78.666666666666671</v>
      </c>
      <c r="X255" s="357"/>
      <c r="Y255" s="355">
        <f t="shared" ref="Y255:Z255" si="66">AVERAGE(Y238:Y247)</f>
        <v>46.4</v>
      </c>
      <c r="Z255" s="355">
        <f t="shared" si="66"/>
        <v>84.2</v>
      </c>
      <c r="AC255" s="337">
        <f>+AC253/AC254</f>
        <v>0.26</v>
      </c>
      <c r="AD255" s="225"/>
      <c r="AE255" s="291">
        <f>AVERAGE(AE198:AE247)</f>
        <v>37.159999999999997</v>
      </c>
      <c r="AF255" s="1" t="s">
        <v>283</v>
      </c>
      <c r="AH255" s="291">
        <f>AVERAGE(AH198:AH247)</f>
        <v>91.82</v>
      </c>
      <c r="AI255" s="1" t="s">
        <v>283</v>
      </c>
      <c r="AK255" s="291">
        <f>AVERAGE(AK198:AK247)</f>
        <v>49.04</v>
      </c>
      <c r="AL255" s="1" t="s">
        <v>283</v>
      </c>
      <c r="AP255" s="68">
        <f>AVERAGE(AP198:AP246)</f>
        <v>40.35</v>
      </c>
      <c r="AQ255" s="1" t="s">
        <v>283</v>
      </c>
    </row>
    <row r="256" spans="1:43" ht="15.75">
      <c r="A256" s="1" t="s">
        <v>302</v>
      </c>
      <c r="B256" s="43">
        <f>AVERAGE(B243:B247)</f>
        <v>39.6</v>
      </c>
      <c r="C256" s="43">
        <f t="shared" ref="C256:M256" si="67">AVERAGE(C243:C247)</f>
        <v>75.599999999999994</v>
      </c>
      <c r="D256" s="43">
        <f t="shared" si="67"/>
        <v>83</v>
      </c>
      <c r="E256" s="43">
        <f t="shared" si="67"/>
        <v>86.4</v>
      </c>
      <c r="F256" s="43">
        <f t="shared" si="67"/>
        <v>91</v>
      </c>
      <c r="G256" s="43">
        <f t="shared" si="67"/>
        <v>92.4</v>
      </c>
      <c r="H256" s="43">
        <f t="shared" si="67"/>
        <v>90.8</v>
      </c>
      <c r="I256" s="43">
        <f t="shared" si="67"/>
        <v>93</v>
      </c>
      <c r="J256" s="43">
        <f t="shared" si="67"/>
        <v>91.6</v>
      </c>
      <c r="K256" s="43">
        <f t="shared" si="67"/>
        <v>90.2</v>
      </c>
      <c r="L256" s="43">
        <f t="shared" si="67"/>
        <v>85</v>
      </c>
      <c r="M256" s="43">
        <f t="shared" si="67"/>
        <v>60.4</v>
      </c>
      <c r="O256" s="225" t="s">
        <v>303</v>
      </c>
      <c r="P256" s="43"/>
      <c r="Q256" s="43">
        <f t="shared" ref="Q256" si="68">AVERAGE(Q243:Q247)</f>
        <v>85</v>
      </c>
      <c r="S256" s="43"/>
      <c r="T256" s="43">
        <f t="shared" ref="T256" si="69">AVERAGE(T243:T247)</f>
        <v>83</v>
      </c>
      <c r="V256" s="43">
        <f t="shared" ref="V256:W256" si="70">AVERAGE(V243:V247)</f>
        <v>36.5</v>
      </c>
      <c r="W256" s="43">
        <f t="shared" si="70"/>
        <v>76.333333333333329</v>
      </c>
      <c r="Y256" s="43">
        <f t="shared" ref="Y256:Z256" si="71">AVERAGE(Y243:Y247)</f>
        <v>42</v>
      </c>
      <c r="Z256" s="43">
        <f t="shared" si="71"/>
        <v>84</v>
      </c>
      <c r="AC256" s="337"/>
      <c r="AD256" s="225"/>
      <c r="AE256" s="291"/>
      <c r="AH256" s="334"/>
      <c r="AK256" s="334"/>
      <c r="AP256" s="68"/>
    </row>
    <row r="257" spans="1:43" ht="15.75">
      <c r="A257" s="1" t="s">
        <v>266</v>
      </c>
      <c r="B257" s="43">
        <f>AVERAGE(B198:B247)</f>
        <v>37.159999999999997</v>
      </c>
      <c r="C257" s="43">
        <f t="shared" ref="C257:M257" si="72">AVERAGE(C198:C247)</f>
        <v>45.48</v>
      </c>
      <c r="D257" s="43">
        <f t="shared" si="72"/>
        <v>62.68</v>
      </c>
      <c r="E257" s="43">
        <f t="shared" si="72"/>
        <v>83.26</v>
      </c>
      <c r="F257" s="43">
        <f t="shared" si="72"/>
        <v>88.42</v>
      </c>
      <c r="G257" s="43">
        <f t="shared" si="72"/>
        <v>91.24</v>
      </c>
      <c r="H257" s="43">
        <f t="shared" si="72"/>
        <v>91.42</v>
      </c>
      <c r="I257" s="43">
        <f t="shared" si="72"/>
        <v>91.82</v>
      </c>
      <c r="J257" s="43">
        <f t="shared" si="72"/>
        <v>90.5</v>
      </c>
      <c r="K257" s="43">
        <f t="shared" si="72"/>
        <v>87.24</v>
      </c>
      <c r="L257" s="43">
        <f t="shared" si="72"/>
        <v>74.84</v>
      </c>
      <c r="M257" s="43">
        <f t="shared" si="72"/>
        <v>49.04</v>
      </c>
      <c r="O257" s="225" t="s">
        <v>266</v>
      </c>
      <c r="P257" s="43">
        <f t="shared" ref="P257:Q257" si="73">AVERAGE(P198:P247)</f>
        <v>45.666666666666664</v>
      </c>
      <c r="Q257" s="43">
        <f t="shared" si="73"/>
        <v>81.243902439024396</v>
      </c>
      <c r="S257" s="43">
        <f t="shared" ref="S257:T257" si="74">AVERAGE(S198:S247)</f>
        <v>41.421052631578945</v>
      </c>
      <c r="T257" s="43">
        <f t="shared" si="74"/>
        <v>80.680000000000007</v>
      </c>
      <c r="V257" s="43">
        <f t="shared" ref="V257:W257" si="75">AVERAGE(V198:V247)</f>
        <v>38.263157894736842</v>
      </c>
      <c r="W257" s="43">
        <f t="shared" si="75"/>
        <v>76.833333333333329</v>
      </c>
      <c r="Y257" s="43">
        <f t="shared" ref="Y257:Z257" si="76">AVERAGE(Y198:Y247)</f>
        <v>40.454545454545453</v>
      </c>
      <c r="Z257" s="43">
        <f t="shared" si="76"/>
        <v>82.333333333333329</v>
      </c>
      <c r="AC257" s="225"/>
      <c r="AD257" s="225"/>
      <c r="AE257" s="338">
        <f>AVERAGE(AE198:AE217)</f>
        <v>29.5</v>
      </c>
      <c r="AF257" s="1" t="s">
        <v>284</v>
      </c>
      <c r="AH257" s="335">
        <f>AVERAGE(AH198:AH217)</f>
        <v>93.85</v>
      </c>
      <c r="AI257" s="1" t="s">
        <v>284</v>
      </c>
      <c r="AK257" s="335">
        <f>AVERAGE(AK198:AK217)</f>
        <v>34.9</v>
      </c>
      <c r="AL257" s="1" t="s">
        <v>284</v>
      </c>
      <c r="AP257" s="335">
        <f>AVERAGE(AP227:AP236)</f>
        <v>33.1</v>
      </c>
      <c r="AQ257" s="1" t="s">
        <v>300</v>
      </c>
    </row>
    <row r="258" spans="1:43">
      <c r="B258" s="339" t="s">
        <v>82</v>
      </c>
      <c r="C258" s="339" t="s">
        <v>82</v>
      </c>
      <c r="D258" s="339" t="s">
        <v>82</v>
      </c>
      <c r="E258" s="68"/>
      <c r="F258" s="68"/>
      <c r="G258" s="68"/>
      <c r="H258" s="68"/>
      <c r="I258" s="339" t="s">
        <v>82</v>
      </c>
      <c r="J258" s="68"/>
      <c r="K258" s="68"/>
      <c r="L258" s="339" t="s">
        <v>82</v>
      </c>
      <c r="M258" s="339" t="s">
        <v>82</v>
      </c>
      <c r="AC258" s="225">
        <f>SUM(AC228:AC247)</f>
        <v>5</v>
      </c>
      <c r="AD258" s="225"/>
      <c r="AE258" s="225"/>
      <c r="AP258" s="335">
        <f>AVERAGE(AP227:AP231)</f>
        <v>30.2</v>
      </c>
      <c r="AQ258" s="1" t="s">
        <v>301</v>
      </c>
    </row>
    <row r="259" spans="1:43">
      <c r="B259" s="340" t="s">
        <v>83</v>
      </c>
      <c r="C259" s="340" t="s">
        <v>83</v>
      </c>
      <c r="D259" s="340" t="s">
        <v>83</v>
      </c>
      <c r="E259" s="334"/>
      <c r="F259" s="334"/>
      <c r="G259" s="334"/>
      <c r="H259" s="334"/>
      <c r="I259" s="340" t="s">
        <v>83</v>
      </c>
      <c r="J259" s="334"/>
      <c r="K259" s="334"/>
      <c r="L259" s="340" t="s">
        <v>83</v>
      </c>
      <c r="M259" s="340" t="s">
        <v>83</v>
      </c>
      <c r="P259" s="341"/>
      <c r="Q259" s="341"/>
      <c r="R259" s="341"/>
      <c r="S259" s="341"/>
      <c r="T259" s="341"/>
      <c r="AC259" s="337">
        <f>+AC258/AC254</f>
        <v>0.1</v>
      </c>
      <c r="AD259" s="225"/>
      <c r="AE259" s="225"/>
    </row>
    <row r="260" spans="1:43" ht="15.75">
      <c r="A260" s="309" t="s">
        <v>252</v>
      </c>
      <c r="B260" s="415">
        <f>ROUND(AE257,0)</f>
        <v>30</v>
      </c>
      <c r="C260" s="415">
        <f>ROUND(Y260,0)</f>
        <v>42</v>
      </c>
      <c r="D260" s="415">
        <f>ROUND(S260,0)</f>
        <v>42</v>
      </c>
      <c r="E260" s="415">
        <f>ROUND(E254,0)</f>
        <v>86</v>
      </c>
      <c r="F260" s="415">
        <f t="shared" ref="F260:K260" si="77">ROUND(F254,0)</f>
        <v>90</v>
      </c>
      <c r="G260" s="415">
        <f t="shared" si="77"/>
        <v>93</v>
      </c>
      <c r="H260" s="415">
        <f t="shared" si="77"/>
        <v>92</v>
      </c>
      <c r="I260" s="415">
        <f>ROUND(AH257,0)</f>
        <v>94</v>
      </c>
      <c r="J260" s="415">
        <f t="shared" si="77"/>
        <v>92</v>
      </c>
      <c r="K260" s="415">
        <f t="shared" si="77"/>
        <v>89</v>
      </c>
      <c r="L260" s="415">
        <f>ROUND(Q260,0)</f>
        <v>84</v>
      </c>
      <c r="M260" s="415">
        <f>ROUND(AK257,0)</f>
        <v>35</v>
      </c>
      <c r="P260" s="342">
        <f>+P254</f>
        <v>40</v>
      </c>
      <c r="Q260" s="343">
        <f>+Q254</f>
        <v>83.578947368421055</v>
      </c>
      <c r="R260" s="341"/>
      <c r="S260" s="343">
        <f>+S254</f>
        <v>41.666666666666664</v>
      </c>
      <c r="T260" s="342">
        <f>+T254</f>
        <v>82.125</v>
      </c>
      <c r="V260" s="343">
        <f>+V254</f>
        <v>38.9</v>
      </c>
      <c r="W260" s="342">
        <f>+W254</f>
        <v>77.400000000000006</v>
      </c>
      <c r="Y260" s="343">
        <f>+Y254</f>
        <v>42.4</v>
      </c>
      <c r="Z260" s="342">
        <f>+Z254</f>
        <v>84.2</v>
      </c>
      <c r="AC260" s="225"/>
      <c r="AD260" s="225"/>
      <c r="AE260" s="225"/>
    </row>
    <row r="261" spans="1:43">
      <c r="A261" s="165" t="s">
        <v>308</v>
      </c>
      <c r="B261" s="68">
        <f>AVERAGE(B243,B242,B241,B240,B239,B237,B236,B235,B234,B233,B232,B231,B230,B229,B228,B227,B226,B225,B246,B247)</f>
        <v>36.1</v>
      </c>
      <c r="C261" s="68">
        <f>AVERAGE(C246,C241,C240,C239,C238,C237,C236,C235,C234,C233,C232,C231,C230,C229,C228,C227,C226,C225,C224,C223)</f>
        <v>42.35</v>
      </c>
      <c r="D261" s="282">
        <f>+S254</f>
        <v>41.666666666666664</v>
      </c>
      <c r="E261" s="68">
        <f t="shared" ref="E261:K261" si="78">+E254</f>
        <v>85.85</v>
      </c>
      <c r="F261" s="68">
        <f t="shared" si="78"/>
        <v>89.6</v>
      </c>
      <c r="G261" s="68">
        <f t="shared" si="78"/>
        <v>92.55</v>
      </c>
      <c r="H261" s="68">
        <f t="shared" si="78"/>
        <v>92.3</v>
      </c>
      <c r="I261" s="68">
        <f t="shared" si="78"/>
        <v>92.95</v>
      </c>
      <c r="J261" s="68">
        <f t="shared" si="78"/>
        <v>91.65</v>
      </c>
      <c r="K261" s="68">
        <f t="shared" si="78"/>
        <v>88.95</v>
      </c>
      <c r="L261" s="68">
        <f>+Q254</f>
        <v>83.578947368421055</v>
      </c>
      <c r="M261" s="68">
        <f>+V254</f>
        <v>38.9</v>
      </c>
      <c r="R261" s="341"/>
      <c r="Y261" s="303"/>
      <c r="AD261" s="225"/>
      <c r="AE261" s="225"/>
    </row>
    <row r="262" spans="1:43">
      <c r="B262" s="68">
        <f>+B261-B260</f>
        <v>6.1000000000000014</v>
      </c>
      <c r="C262" s="68">
        <f t="shared" ref="C262:M262" si="79">+C261-C260</f>
        <v>0.35000000000000142</v>
      </c>
      <c r="D262" s="68">
        <f t="shared" si="79"/>
        <v>-0.3333333333333357</v>
      </c>
      <c r="E262" s="68">
        <f t="shared" si="79"/>
        <v>-0.15000000000000568</v>
      </c>
      <c r="F262" s="68">
        <f t="shared" si="79"/>
        <v>-0.40000000000000568</v>
      </c>
      <c r="G262" s="68">
        <f t="shared" si="79"/>
        <v>-0.45000000000000284</v>
      </c>
      <c r="H262" s="68">
        <f t="shared" si="79"/>
        <v>0.29999999999999716</v>
      </c>
      <c r="I262" s="68">
        <f t="shared" si="79"/>
        <v>-1.0499999999999972</v>
      </c>
      <c r="J262" s="68">
        <f t="shared" si="79"/>
        <v>-0.34999999999999432</v>
      </c>
      <c r="K262" s="68">
        <f t="shared" si="79"/>
        <v>-4.9999999999997158E-2</v>
      </c>
      <c r="L262" s="68">
        <f t="shared" si="79"/>
        <v>-0.42105263157894512</v>
      </c>
      <c r="M262" s="68">
        <f t="shared" si="79"/>
        <v>3.8999999999999986</v>
      </c>
      <c r="AD262" s="225"/>
      <c r="AE262" s="225"/>
    </row>
    <row r="263" spans="1:43">
      <c r="B263" s="68" t="e">
        <f>+B338</f>
        <v>#DIV/0!</v>
      </c>
      <c r="C263" s="68" t="e">
        <f t="shared" ref="C263:M263" si="80">+C338</f>
        <v>#DIV/0!</v>
      </c>
      <c r="D263" s="68">
        <f t="shared" si="80"/>
        <v>-0.25</v>
      </c>
      <c r="E263" s="68" t="e">
        <f t="shared" si="80"/>
        <v>#DIV/0!</v>
      </c>
      <c r="F263" s="68" t="e">
        <f t="shared" si="80"/>
        <v>#DIV/0!</v>
      </c>
      <c r="G263" s="68" t="e">
        <f t="shared" si="80"/>
        <v>#DIV/0!</v>
      </c>
      <c r="H263" s="68" t="e">
        <f t="shared" si="80"/>
        <v>#DIV/0!</v>
      </c>
      <c r="I263" s="68" t="e">
        <f t="shared" si="80"/>
        <v>#DIV/0!</v>
      </c>
      <c r="J263" s="68" t="e">
        <f t="shared" si="80"/>
        <v>#DIV/0!</v>
      </c>
      <c r="K263" s="68" t="e">
        <f t="shared" si="80"/>
        <v>#DIV/0!</v>
      </c>
      <c r="L263" s="68">
        <f t="shared" si="80"/>
        <v>0.26315789473684248</v>
      </c>
      <c r="M263" s="68">
        <f t="shared" si="80"/>
        <v>-9.6000000000000014</v>
      </c>
    </row>
    <row r="265" spans="1:43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</row>
    <row r="267" spans="1:43">
      <c r="B267" s="33">
        <v>65</v>
      </c>
      <c r="C267" s="1" t="s">
        <v>78</v>
      </c>
    </row>
    <row r="268" spans="1:43">
      <c r="B268" s="89">
        <v>65</v>
      </c>
      <c r="C268" s="1" t="s">
        <v>79</v>
      </c>
    </row>
    <row r="269" spans="1:43">
      <c r="B269" s="326"/>
      <c r="C269" s="1" t="s">
        <v>80</v>
      </c>
    </row>
    <row r="270" spans="1:43">
      <c r="B270" s="34">
        <v>65</v>
      </c>
      <c r="C270" s="1" t="s">
        <v>81</v>
      </c>
    </row>
    <row r="272" spans="1:43" ht="15.75">
      <c r="B272" s="5" t="s">
        <v>75</v>
      </c>
    </row>
    <row r="273" spans="1:37">
      <c r="P273" s="225" t="s">
        <v>264</v>
      </c>
      <c r="Q273" s="225" t="s">
        <v>265</v>
      </c>
      <c r="S273" s="225" t="s">
        <v>264</v>
      </c>
      <c r="T273" s="225" t="s">
        <v>265</v>
      </c>
      <c r="V273" s="225" t="s">
        <v>264</v>
      </c>
      <c r="W273" s="225" t="s">
        <v>265</v>
      </c>
      <c r="Y273" s="225" t="s">
        <v>264</v>
      </c>
      <c r="Z273" s="225" t="s">
        <v>265</v>
      </c>
    </row>
    <row r="274" spans="1:37">
      <c r="B274" s="165" t="s">
        <v>4</v>
      </c>
      <c r="C274" s="165" t="s">
        <v>8</v>
      </c>
      <c r="D274" s="165" t="s">
        <v>9</v>
      </c>
      <c r="E274" s="165" t="s">
        <v>10</v>
      </c>
      <c r="F274" s="165" t="s">
        <v>11</v>
      </c>
      <c r="G274" s="165" t="s">
        <v>12</v>
      </c>
      <c r="H274" s="165" t="s">
        <v>13</v>
      </c>
      <c r="I274" s="165" t="s">
        <v>15</v>
      </c>
      <c r="J274" s="165" t="s">
        <v>16</v>
      </c>
      <c r="K274" s="165" t="s">
        <v>17</v>
      </c>
      <c r="L274" s="165" t="s">
        <v>18</v>
      </c>
      <c r="M274" s="165" t="s">
        <v>19</v>
      </c>
      <c r="P274" s="225" t="s">
        <v>91</v>
      </c>
      <c r="Q274" s="225" t="s">
        <v>93</v>
      </c>
      <c r="S274" s="225" t="s">
        <v>95</v>
      </c>
      <c r="T274" s="225" t="s">
        <v>97</v>
      </c>
      <c r="V274" s="225" t="s">
        <v>98</v>
      </c>
      <c r="W274" s="225" t="s">
        <v>99</v>
      </c>
      <c r="Y274" s="225" t="s">
        <v>315</v>
      </c>
      <c r="Z274" s="225" t="s">
        <v>316</v>
      </c>
      <c r="AD274" s="313"/>
      <c r="AE274" s="313" t="s">
        <v>4</v>
      </c>
      <c r="AF274" s="225"/>
      <c r="AG274" s="313"/>
      <c r="AH274" s="313" t="s">
        <v>15</v>
      </c>
      <c r="AI274" s="225"/>
      <c r="AJ274" s="313"/>
      <c r="AK274" s="313" t="s">
        <v>320</v>
      </c>
    </row>
    <row r="275" spans="1:37">
      <c r="A275" s="1">
        <f>A7</f>
        <v>1973</v>
      </c>
      <c r="B275" s="327"/>
      <c r="C275" s="328"/>
      <c r="D275" s="222"/>
      <c r="E275" s="222"/>
      <c r="F275" s="222"/>
      <c r="G275" s="222"/>
      <c r="H275" s="222"/>
      <c r="I275" s="222"/>
      <c r="J275" s="222"/>
      <c r="K275" s="222"/>
      <c r="L275" s="222"/>
      <c r="M275" s="328"/>
      <c r="O275" s="1">
        <f t="shared" ref="O275:O323" si="81">+O276+1</f>
        <v>50</v>
      </c>
      <c r="Q275" s="304">
        <f>L275</f>
        <v>0</v>
      </c>
      <c r="T275" s="304">
        <f>D275</f>
        <v>0</v>
      </c>
      <c r="V275" s="225" t="s">
        <v>86</v>
      </c>
      <c r="W275" s="329">
        <f>M275</f>
        <v>0</v>
      </c>
      <c r="Y275" s="291">
        <f t="shared" ref="Y275:Y283" si="82">+C275</f>
        <v>0</v>
      </c>
      <c r="Z275" s="304"/>
      <c r="AD275" s="225">
        <v>1981</v>
      </c>
      <c r="AE275" s="225">
        <v>34</v>
      </c>
      <c r="AF275" s="225"/>
      <c r="AG275" s="225">
        <v>1999</v>
      </c>
      <c r="AH275" s="225">
        <v>87</v>
      </c>
      <c r="AI275" s="225"/>
      <c r="AJ275" s="225">
        <v>1983</v>
      </c>
      <c r="AK275" s="225">
        <v>30</v>
      </c>
    </row>
    <row r="276" spans="1:37">
      <c r="A276" s="1">
        <f>A8</f>
        <v>1974</v>
      </c>
      <c r="B276" s="344"/>
      <c r="C276" s="166"/>
      <c r="D276" s="222"/>
      <c r="E276" s="222"/>
      <c r="F276" s="222"/>
      <c r="G276" s="222"/>
      <c r="H276" s="222"/>
      <c r="I276" s="222"/>
      <c r="J276" s="222"/>
      <c r="K276" s="222"/>
      <c r="L276" s="222"/>
      <c r="M276" s="166"/>
      <c r="O276" s="1">
        <f t="shared" si="81"/>
        <v>49</v>
      </c>
      <c r="Q276" s="304">
        <f>L276</f>
        <v>0</v>
      </c>
      <c r="T276" s="304">
        <f>D276</f>
        <v>0</v>
      </c>
      <c r="V276" s="225">
        <f>M276</f>
        <v>0</v>
      </c>
      <c r="W276" s="330" t="s">
        <v>86</v>
      </c>
      <c r="Y276" s="291">
        <f t="shared" si="82"/>
        <v>0</v>
      </c>
      <c r="Z276" s="304"/>
      <c r="AD276" s="225">
        <v>1985</v>
      </c>
      <c r="AE276" s="225">
        <v>36</v>
      </c>
      <c r="AF276" s="225"/>
      <c r="AG276" s="225">
        <v>2007</v>
      </c>
      <c r="AH276" s="225">
        <v>87</v>
      </c>
      <c r="AI276" s="225"/>
      <c r="AJ276" s="225">
        <v>1989</v>
      </c>
      <c r="AK276" s="225">
        <v>35</v>
      </c>
    </row>
    <row r="277" spans="1:37">
      <c r="A277" s="1">
        <f>A9</f>
        <v>1975</v>
      </c>
      <c r="B277" s="331"/>
      <c r="C277" s="166"/>
      <c r="D277" s="166"/>
      <c r="E277" s="222"/>
      <c r="F277" s="222"/>
      <c r="G277" s="222"/>
      <c r="H277" s="222"/>
      <c r="I277" s="222"/>
      <c r="J277" s="222"/>
      <c r="K277" s="222"/>
      <c r="L277" s="166"/>
      <c r="M277" s="332"/>
      <c r="O277" s="1">
        <f t="shared" si="81"/>
        <v>48</v>
      </c>
      <c r="P277" s="291">
        <f>+L277</f>
        <v>0</v>
      </c>
      <c r="Q277" s="330"/>
      <c r="S277" s="225">
        <f>D277</f>
        <v>0</v>
      </c>
      <c r="T277" s="330"/>
      <c r="V277" s="225" t="s">
        <v>86</v>
      </c>
      <c r="W277" s="329">
        <f>M277</f>
        <v>0</v>
      </c>
      <c r="Y277" s="291">
        <f t="shared" si="82"/>
        <v>0</v>
      </c>
      <c r="Z277" s="304"/>
      <c r="AD277" s="225">
        <v>1986</v>
      </c>
      <c r="AE277" s="225">
        <v>36</v>
      </c>
      <c r="AF277" s="225"/>
      <c r="AG277" s="225">
        <v>2011</v>
      </c>
      <c r="AH277" s="225">
        <v>87</v>
      </c>
      <c r="AI277" s="225"/>
      <c r="AJ277" s="225">
        <v>1996</v>
      </c>
      <c r="AK277" s="225">
        <v>38</v>
      </c>
    </row>
    <row r="278" spans="1:37">
      <c r="A278" s="1">
        <f>A10</f>
        <v>1976</v>
      </c>
      <c r="B278" s="331"/>
      <c r="C278" s="166"/>
      <c r="D278" s="222"/>
      <c r="E278" s="222"/>
      <c r="F278" s="222"/>
      <c r="G278" s="222"/>
      <c r="H278" s="222"/>
      <c r="I278" s="222"/>
      <c r="J278" s="222"/>
      <c r="K278" s="222"/>
      <c r="L278" s="332"/>
      <c r="M278" s="166"/>
      <c r="O278" s="1">
        <f t="shared" si="81"/>
        <v>47</v>
      </c>
      <c r="P278" s="291">
        <f>+L278</f>
        <v>0</v>
      </c>
      <c r="Q278" s="329">
        <f>L278</f>
        <v>0</v>
      </c>
      <c r="T278" s="304">
        <f>D278</f>
        <v>0</v>
      </c>
      <c r="V278" s="225">
        <f>M278</f>
        <v>0</v>
      </c>
      <c r="W278" s="330" t="s">
        <v>86</v>
      </c>
      <c r="Y278" s="291">
        <f t="shared" si="82"/>
        <v>0</v>
      </c>
      <c r="Z278" s="304"/>
      <c r="AD278" s="225">
        <v>2003</v>
      </c>
      <c r="AE278" s="225">
        <v>37</v>
      </c>
      <c r="AF278" s="225"/>
      <c r="AG278" s="225">
        <v>2020</v>
      </c>
      <c r="AH278" s="291">
        <v>87</v>
      </c>
      <c r="AI278" s="225"/>
      <c r="AJ278" s="225">
        <v>1975</v>
      </c>
      <c r="AK278" s="225">
        <v>42</v>
      </c>
    </row>
    <row r="279" spans="1:37">
      <c r="A279" s="1">
        <f>A11</f>
        <v>1977</v>
      </c>
      <c r="B279" s="331"/>
      <c r="C279" s="166"/>
      <c r="D279" s="222"/>
      <c r="E279" s="222"/>
      <c r="F279" s="222"/>
      <c r="G279" s="222"/>
      <c r="H279" s="222"/>
      <c r="I279" s="222"/>
      <c r="J279" s="222"/>
      <c r="K279" s="222"/>
      <c r="L279" s="222"/>
      <c r="M279" s="166"/>
      <c r="O279" s="1">
        <f t="shared" si="81"/>
        <v>46</v>
      </c>
      <c r="Q279" s="304">
        <f>L279</f>
        <v>0</v>
      </c>
      <c r="T279" s="304">
        <f>D279</f>
        <v>0</v>
      </c>
      <c r="V279" s="225">
        <f>M279</f>
        <v>0</v>
      </c>
      <c r="W279" s="330" t="s">
        <v>86</v>
      </c>
      <c r="Y279" s="291">
        <f t="shared" si="82"/>
        <v>0</v>
      </c>
      <c r="Z279" s="304"/>
      <c r="AD279" s="225">
        <v>2010</v>
      </c>
      <c r="AE279" s="225">
        <v>38</v>
      </c>
      <c r="AF279" s="225"/>
      <c r="AG279" s="225">
        <v>1987</v>
      </c>
      <c r="AH279" s="225">
        <v>86</v>
      </c>
      <c r="AI279" s="225"/>
      <c r="AJ279" s="225">
        <v>1981</v>
      </c>
      <c r="AK279" s="225">
        <v>42</v>
      </c>
    </row>
    <row r="280" spans="1:37">
      <c r="A280" s="1">
        <f>A12</f>
        <v>1978</v>
      </c>
      <c r="B280" s="331"/>
      <c r="C280" s="166"/>
      <c r="D280" s="166"/>
      <c r="E280" s="222"/>
      <c r="F280" s="222"/>
      <c r="G280" s="222"/>
      <c r="H280" s="222"/>
      <c r="I280" s="222"/>
      <c r="J280" s="222"/>
      <c r="K280" s="222"/>
      <c r="L280" s="222"/>
      <c r="M280" s="332"/>
      <c r="O280" s="1">
        <f t="shared" si="81"/>
        <v>45</v>
      </c>
      <c r="Q280" s="304">
        <f>L280</f>
        <v>0</v>
      </c>
      <c r="S280" s="225">
        <f>D280</f>
        <v>0</v>
      </c>
      <c r="T280" s="330"/>
      <c r="V280" s="225" t="s">
        <v>86</v>
      </c>
      <c r="W280" s="329">
        <f>M280</f>
        <v>0</v>
      </c>
      <c r="Y280" s="291">
        <f t="shared" si="82"/>
        <v>0</v>
      </c>
      <c r="Z280" s="304"/>
      <c r="AD280" s="225">
        <v>1977</v>
      </c>
      <c r="AE280" s="225">
        <v>40</v>
      </c>
      <c r="AF280" s="225"/>
      <c r="AG280" s="225">
        <v>1993</v>
      </c>
      <c r="AH280" s="225">
        <v>86</v>
      </c>
      <c r="AI280" s="225"/>
      <c r="AJ280" s="225">
        <v>1984</v>
      </c>
      <c r="AK280" s="225">
        <v>44</v>
      </c>
    </row>
    <row r="281" spans="1:37">
      <c r="A281" s="1">
        <f>A13</f>
        <v>1979</v>
      </c>
      <c r="B281" s="331"/>
      <c r="C281" s="166"/>
      <c r="D281" s="166"/>
      <c r="E281" s="222"/>
      <c r="F281" s="222"/>
      <c r="G281" s="222"/>
      <c r="H281" s="222"/>
      <c r="I281" s="222"/>
      <c r="J281" s="222"/>
      <c r="K281" s="222"/>
      <c r="L281" s="332"/>
      <c r="M281" s="166"/>
      <c r="O281" s="1">
        <f t="shared" si="81"/>
        <v>44</v>
      </c>
      <c r="P281" s="291">
        <f>+L281</f>
        <v>0</v>
      </c>
      <c r="Q281" s="329">
        <f>L281</f>
        <v>0</v>
      </c>
      <c r="S281" s="225">
        <f>D281</f>
        <v>0</v>
      </c>
      <c r="T281" s="330"/>
      <c r="V281" s="225">
        <f t="shared" ref="V281:V287" si="83">M281</f>
        <v>0</v>
      </c>
      <c r="W281" s="330" t="s">
        <v>86</v>
      </c>
      <c r="Y281" s="291">
        <f t="shared" si="82"/>
        <v>0</v>
      </c>
      <c r="Z281" s="304"/>
      <c r="AD281" s="225">
        <v>1982</v>
      </c>
      <c r="AE281" s="225">
        <v>40</v>
      </c>
      <c r="AF281" s="225"/>
      <c r="AG281" s="225">
        <v>1998</v>
      </c>
      <c r="AH281" s="225">
        <v>86</v>
      </c>
      <c r="AI281" s="225"/>
      <c r="AJ281" s="225">
        <v>2010</v>
      </c>
      <c r="AK281" s="225">
        <v>44</v>
      </c>
    </row>
    <row r="282" spans="1:37">
      <c r="A282" s="1">
        <f>A14</f>
        <v>1980</v>
      </c>
      <c r="B282" s="331"/>
      <c r="C282" s="166"/>
      <c r="D282" s="332"/>
      <c r="E282" s="222"/>
      <c r="F282" s="222"/>
      <c r="G282" s="222"/>
      <c r="H282" s="222"/>
      <c r="I282" s="222"/>
      <c r="J282" s="222"/>
      <c r="K282" s="222"/>
      <c r="L282" s="222"/>
      <c r="M282" s="166"/>
      <c r="O282" s="1">
        <f t="shared" si="81"/>
        <v>43</v>
      </c>
      <c r="Q282" s="304">
        <f>L282</f>
        <v>0</v>
      </c>
      <c r="T282" s="329">
        <f>D282</f>
        <v>0</v>
      </c>
      <c r="V282" s="225">
        <f t="shared" si="83"/>
        <v>0</v>
      </c>
      <c r="W282" s="330" t="s">
        <v>86</v>
      </c>
      <c r="Y282" s="291">
        <f t="shared" si="82"/>
        <v>0</v>
      </c>
      <c r="Z282" s="304"/>
      <c r="AD282" s="225">
        <v>2008</v>
      </c>
      <c r="AE282" s="225">
        <v>41</v>
      </c>
      <c r="AF282" s="225"/>
      <c r="AG282" s="225">
        <v>2005</v>
      </c>
      <c r="AH282" s="225">
        <v>86</v>
      </c>
      <c r="AI282" s="225"/>
      <c r="AJ282" s="225">
        <v>2020</v>
      </c>
      <c r="AK282" s="225">
        <v>44</v>
      </c>
    </row>
    <row r="283" spans="1:37">
      <c r="A283" s="1">
        <f>A15</f>
        <v>1981</v>
      </c>
      <c r="B283" s="331"/>
      <c r="C283" s="332"/>
      <c r="D283" s="332"/>
      <c r="E283" s="222"/>
      <c r="F283" s="222"/>
      <c r="G283" s="222"/>
      <c r="H283" s="222"/>
      <c r="I283" s="222"/>
      <c r="J283" s="222"/>
      <c r="K283" s="222"/>
      <c r="L283" s="166"/>
      <c r="M283" s="166"/>
      <c r="O283" s="1">
        <f t="shared" si="81"/>
        <v>42</v>
      </c>
      <c r="P283" s="291">
        <f>+L283</f>
        <v>0</v>
      </c>
      <c r="Q283" s="330"/>
      <c r="T283" s="329">
        <f>D283</f>
        <v>0</v>
      </c>
      <c r="V283" s="225">
        <f t="shared" si="83"/>
        <v>0</v>
      </c>
      <c r="W283" s="330" t="s">
        <v>86</v>
      </c>
      <c r="Y283" s="291">
        <f t="shared" si="82"/>
        <v>0</v>
      </c>
      <c r="Z283" s="304"/>
      <c r="AD283" s="225">
        <v>2011</v>
      </c>
      <c r="AE283" s="225">
        <v>41</v>
      </c>
      <c r="AF283" s="225"/>
      <c r="AG283" s="225">
        <v>2006</v>
      </c>
      <c r="AH283" s="225">
        <v>86</v>
      </c>
      <c r="AI283" s="225"/>
      <c r="AJ283" s="225">
        <v>1977</v>
      </c>
      <c r="AK283" s="225">
        <v>45</v>
      </c>
    </row>
    <row r="284" spans="1:37">
      <c r="A284" s="1">
        <f>A16</f>
        <v>1982</v>
      </c>
      <c r="B284" s="331"/>
      <c r="C284" s="233"/>
      <c r="D284" s="166"/>
      <c r="E284" s="222"/>
      <c r="F284" s="222"/>
      <c r="G284" s="222"/>
      <c r="H284" s="222"/>
      <c r="I284" s="222"/>
      <c r="J284" s="222"/>
      <c r="K284" s="222"/>
      <c r="L284" s="222"/>
      <c r="M284" s="166"/>
      <c r="O284" s="1">
        <f t="shared" si="81"/>
        <v>41</v>
      </c>
      <c r="Q284" s="304">
        <f>L284</f>
        <v>0</v>
      </c>
      <c r="S284" s="225">
        <f>D284</f>
        <v>0</v>
      </c>
      <c r="T284" s="330"/>
      <c r="V284" s="225">
        <f t="shared" si="83"/>
        <v>0</v>
      </c>
      <c r="W284" s="330" t="s">
        <v>86</v>
      </c>
      <c r="Z284" s="304">
        <f>+C284</f>
        <v>0</v>
      </c>
      <c r="AD284" s="225">
        <v>2018</v>
      </c>
      <c r="AE284" s="225">
        <v>41</v>
      </c>
      <c r="AF284" s="225"/>
      <c r="AG284" s="225">
        <v>2010</v>
      </c>
      <c r="AH284" s="225">
        <v>86</v>
      </c>
      <c r="AI284" s="225"/>
      <c r="AJ284" s="225">
        <v>1985</v>
      </c>
      <c r="AK284" s="225">
        <v>45</v>
      </c>
    </row>
    <row r="285" spans="1:37">
      <c r="A285" s="1">
        <f>A17</f>
        <v>1983</v>
      </c>
      <c r="B285" s="331"/>
      <c r="C285" s="166"/>
      <c r="D285" s="332"/>
      <c r="E285" s="222"/>
      <c r="F285" s="222"/>
      <c r="G285" s="222"/>
      <c r="H285" s="222"/>
      <c r="I285" s="222"/>
      <c r="J285" s="222"/>
      <c r="K285" s="222"/>
      <c r="L285" s="166"/>
      <c r="M285" s="166"/>
      <c r="O285" s="1">
        <f t="shared" si="81"/>
        <v>40</v>
      </c>
      <c r="P285" s="291">
        <f>+L285</f>
        <v>0</v>
      </c>
      <c r="Q285" s="330"/>
      <c r="T285" s="329">
        <f>D285</f>
        <v>0</v>
      </c>
      <c r="V285" s="225">
        <f t="shared" si="83"/>
        <v>0</v>
      </c>
      <c r="W285" s="330" t="s">
        <v>86</v>
      </c>
      <c r="Y285" s="291">
        <f t="shared" ref="Y285:Y318" si="84">+C285</f>
        <v>0</v>
      </c>
      <c r="Z285" s="304"/>
      <c r="AD285" s="225">
        <v>2005</v>
      </c>
      <c r="AE285" s="225">
        <v>43</v>
      </c>
      <c r="AF285" s="225"/>
      <c r="AG285" s="225">
        <v>2014</v>
      </c>
      <c r="AH285" s="225">
        <v>86</v>
      </c>
      <c r="AI285" s="225"/>
      <c r="AJ285" s="225">
        <v>2004</v>
      </c>
      <c r="AK285" s="225">
        <v>45</v>
      </c>
    </row>
    <row r="286" spans="1:37">
      <c r="A286" s="1">
        <f>A18</f>
        <v>1984</v>
      </c>
      <c r="B286" s="331"/>
      <c r="C286" s="166"/>
      <c r="D286" s="166"/>
      <c r="E286" s="222"/>
      <c r="F286" s="222"/>
      <c r="G286" s="222"/>
      <c r="H286" s="222"/>
      <c r="I286" s="222"/>
      <c r="J286" s="222"/>
      <c r="K286" s="222"/>
      <c r="L286" s="166"/>
      <c r="M286" s="166"/>
      <c r="O286" s="1">
        <f t="shared" si="81"/>
        <v>39</v>
      </c>
      <c r="P286" s="291">
        <f>+L286</f>
        <v>0</v>
      </c>
      <c r="Q286" s="330"/>
      <c r="S286" s="225">
        <f>D286</f>
        <v>0</v>
      </c>
      <c r="T286" s="330"/>
      <c r="V286" s="225">
        <f t="shared" si="83"/>
        <v>0</v>
      </c>
      <c r="W286" s="330" t="s">
        <v>86</v>
      </c>
      <c r="Y286" s="291">
        <f t="shared" si="84"/>
        <v>0</v>
      </c>
      <c r="Z286" s="304"/>
      <c r="AD286" s="225">
        <v>1996</v>
      </c>
      <c r="AE286" s="225">
        <v>44</v>
      </c>
      <c r="AF286" s="225"/>
      <c r="AG286" s="225">
        <v>2015</v>
      </c>
      <c r="AH286" s="225">
        <v>86</v>
      </c>
      <c r="AI286" s="225"/>
      <c r="AJ286" s="225">
        <v>1973</v>
      </c>
      <c r="AK286" s="225">
        <v>47</v>
      </c>
    </row>
    <row r="287" spans="1:37">
      <c r="A287" s="1">
        <f>A19</f>
        <v>1985</v>
      </c>
      <c r="B287" s="331"/>
      <c r="C287" s="166"/>
      <c r="D287" s="166"/>
      <c r="E287" s="222"/>
      <c r="F287" s="222"/>
      <c r="G287" s="222"/>
      <c r="H287" s="222"/>
      <c r="I287" s="222"/>
      <c r="J287" s="222"/>
      <c r="K287" s="222"/>
      <c r="L287" s="222"/>
      <c r="M287" s="166"/>
      <c r="O287" s="1">
        <f t="shared" si="81"/>
        <v>38</v>
      </c>
      <c r="Q287" s="304">
        <f t="shared" ref="Q287:Q292" si="85">L287</f>
        <v>0</v>
      </c>
      <c r="S287" s="225">
        <f>D287</f>
        <v>0</v>
      </c>
      <c r="T287" s="330"/>
      <c r="V287" s="225">
        <f t="shared" si="83"/>
        <v>0</v>
      </c>
      <c r="W287" s="330" t="s">
        <v>86</v>
      </c>
      <c r="Y287" s="291">
        <f t="shared" si="84"/>
        <v>0</v>
      </c>
      <c r="Z287" s="304"/>
      <c r="AD287" s="225">
        <v>1999</v>
      </c>
      <c r="AE287" s="225">
        <v>44</v>
      </c>
      <c r="AF287" s="225"/>
      <c r="AG287" s="225">
        <v>2016</v>
      </c>
      <c r="AH287" s="225">
        <v>86</v>
      </c>
      <c r="AI287" s="225"/>
      <c r="AJ287" s="225">
        <v>1982</v>
      </c>
      <c r="AK287" s="225">
        <v>47</v>
      </c>
    </row>
    <row r="288" spans="1:37">
      <c r="A288" s="1">
        <f>A20</f>
        <v>1986</v>
      </c>
      <c r="B288" s="331"/>
      <c r="C288" s="166"/>
      <c r="D288" s="166"/>
      <c r="E288" s="222"/>
      <c r="F288" s="222"/>
      <c r="G288" s="222"/>
      <c r="H288" s="222"/>
      <c r="I288" s="222"/>
      <c r="J288" s="222"/>
      <c r="K288" s="222"/>
      <c r="L288" s="222"/>
      <c r="M288" s="222"/>
      <c r="O288" s="1">
        <f t="shared" si="81"/>
        <v>37</v>
      </c>
      <c r="Q288" s="304">
        <f t="shared" si="85"/>
        <v>0</v>
      </c>
      <c r="S288" s="225">
        <f>D288</f>
        <v>0</v>
      </c>
      <c r="T288" s="330"/>
      <c r="V288" s="225" t="s">
        <v>86</v>
      </c>
      <c r="W288" s="304">
        <f>M288</f>
        <v>0</v>
      </c>
      <c r="Y288" s="291">
        <f t="shared" si="84"/>
        <v>0</v>
      </c>
      <c r="Z288" s="304"/>
      <c r="AD288" s="225">
        <v>2012</v>
      </c>
      <c r="AE288" s="225">
        <v>44</v>
      </c>
      <c r="AF288" s="225"/>
      <c r="AG288" s="225">
        <v>2017</v>
      </c>
      <c r="AH288" s="225">
        <v>86</v>
      </c>
      <c r="AI288" s="225"/>
      <c r="AJ288" s="225">
        <v>2000</v>
      </c>
      <c r="AK288" s="225">
        <v>47</v>
      </c>
    </row>
    <row r="289" spans="1:37">
      <c r="A289" s="1">
        <f>A21</f>
        <v>1987</v>
      </c>
      <c r="B289" s="331"/>
      <c r="C289" s="166"/>
      <c r="D289" s="332"/>
      <c r="E289" s="166"/>
      <c r="F289" s="222"/>
      <c r="G289" s="222"/>
      <c r="H289" s="222"/>
      <c r="I289" s="222"/>
      <c r="J289" s="222"/>
      <c r="K289" s="222"/>
      <c r="L289" s="222"/>
      <c r="M289" s="166"/>
      <c r="O289" s="1">
        <f t="shared" si="81"/>
        <v>36</v>
      </c>
      <c r="Q289" s="304">
        <f t="shared" si="85"/>
        <v>0</v>
      </c>
      <c r="T289" s="329">
        <f>D289</f>
        <v>0</v>
      </c>
      <c r="V289" s="225">
        <f>IF(M213&lt;1200,M289,0)</f>
        <v>0</v>
      </c>
      <c r="W289" s="330" t="s">
        <v>86</v>
      </c>
      <c r="Y289" s="291">
        <f t="shared" si="84"/>
        <v>0</v>
      </c>
      <c r="Z289" s="304"/>
      <c r="AD289" s="225">
        <v>1973</v>
      </c>
      <c r="AE289" s="225">
        <v>45</v>
      </c>
      <c r="AF289" s="225"/>
      <c r="AG289" s="225">
        <v>2021</v>
      </c>
      <c r="AH289" s="291">
        <v>86</v>
      </c>
      <c r="AI289" s="225"/>
      <c r="AJ289" s="225">
        <v>2007</v>
      </c>
      <c r="AK289" s="225">
        <v>47</v>
      </c>
    </row>
    <row r="290" spans="1:37">
      <c r="A290" s="1">
        <f>A22</f>
        <v>1988</v>
      </c>
      <c r="B290" s="331"/>
      <c r="C290" s="166"/>
      <c r="D290" s="166"/>
      <c r="E290" s="222"/>
      <c r="F290" s="222"/>
      <c r="G290" s="222"/>
      <c r="H290" s="222"/>
      <c r="I290" s="222"/>
      <c r="J290" s="222"/>
      <c r="K290" s="222"/>
      <c r="L290" s="222"/>
      <c r="M290" s="166"/>
      <c r="O290" s="1">
        <f t="shared" si="81"/>
        <v>35</v>
      </c>
      <c r="Q290" s="304">
        <f t="shared" si="85"/>
        <v>0</v>
      </c>
      <c r="S290" s="225">
        <f>D290</f>
        <v>0</v>
      </c>
      <c r="T290" s="330"/>
      <c r="V290" s="225">
        <f>IF(M214&lt;1200,M290,0)</f>
        <v>0</v>
      </c>
      <c r="W290" s="330" t="s">
        <v>86</v>
      </c>
      <c r="Y290" s="291">
        <f t="shared" si="84"/>
        <v>0</v>
      </c>
      <c r="Z290" s="304"/>
      <c r="AD290" s="225">
        <v>1976</v>
      </c>
      <c r="AE290" s="225">
        <v>45</v>
      </c>
      <c r="AF290" s="225"/>
      <c r="AG290" s="225">
        <v>1975</v>
      </c>
      <c r="AH290" s="225">
        <v>85</v>
      </c>
      <c r="AI290" s="225"/>
      <c r="AJ290" s="225">
        <v>1980</v>
      </c>
      <c r="AK290" s="225">
        <v>48</v>
      </c>
    </row>
    <row r="291" spans="1:37">
      <c r="A291" s="1">
        <f>A23</f>
        <v>1989</v>
      </c>
      <c r="B291" s="331"/>
      <c r="C291" s="166"/>
      <c r="D291" s="166"/>
      <c r="E291" s="222"/>
      <c r="F291" s="222"/>
      <c r="G291" s="222"/>
      <c r="H291" s="222"/>
      <c r="I291" s="222"/>
      <c r="J291" s="222"/>
      <c r="K291" s="222"/>
      <c r="L291" s="222"/>
      <c r="M291" s="332"/>
      <c r="O291" s="1">
        <f t="shared" si="81"/>
        <v>34</v>
      </c>
      <c r="Q291" s="304">
        <f t="shared" si="85"/>
        <v>0</v>
      </c>
      <c r="S291" s="225">
        <f>D291</f>
        <v>0</v>
      </c>
      <c r="T291" s="330"/>
      <c r="V291" s="225" t="s">
        <v>86</v>
      </c>
      <c r="W291" s="329">
        <f>M291</f>
        <v>0</v>
      </c>
      <c r="Y291" s="291">
        <f t="shared" si="84"/>
        <v>0</v>
      </c>
      <c r="Z291" s="304"/>
      <c r="AD291" s="225">
        <v>1984</v>
      </c>
      <c r="AE291" s="225">
        <v>45</v>
      </c>
      <c r="AF291" s="225"/>
      <c r="AG291" s="225">
        <v>1988</v>
      </c>
      <c r="AH291" s="225">
        <v>85</v>
      </c>
      <c r="AI291" s="225"/>
      <c r="AJ291" s="225">
        <v>2005</v>
      </c>
      <c r="AK291" s="225">
        <v>48</v>
      </c>
    </row>
    <row r="292" spans="1:37">
      <c r="A292" s="1">
        <f>A24</f>
        <v>1990</v>
      </c>
      <c r="B292" s="331"/>
      <c r="C292" s="166"/>
      <c r="D292" s="222"/>
      <c r="E292" s="222"/>
      <c r="F292" s="222"/>
      <c r="G292" s="222"/>
      <c r="H292" s="222"/>
      <c r="I292" s="222"/>
      <c r="J292" s="222"/>
      <c r="K292" s="222"/>
      <c r="L292" s="222"/>
      <c r="M292" s="166"/>
      <c r="O292" s="1">
        <f t="shared" si="81"/>
        <v>33</v>
      </c>
      <c r="Q292" s="304">
        <f t="shared" si="85"/>
        <v>0</v>
      </c>
      <c r="T292" s="304">
        <f>D292</f>
        <v>0</v>
      </c>
      <c r="V292" s="225">
        <f>IF(M216&lt;1200,M292,0)</f>
        <v>0</v>
      </c>
      <c r="W292" s="330" t="s">
        <v>86</v>
      </c>
      <c r="Y292" s="291">
        <f t="shared" si="84"/>
        <v>0</v>
      </c>
      <c r="Z292" s="304"/>
      <c r="AD292" s="225">
        <v>2000</v>
      </c>
      <c r="AE292" s="225">
        <v>45</v>
      </c>
      <c r="AF292" s="225"/>
      <c r="AG292" s="225">
        <v>2000</v>
      </c>
      <c r="AH292" s="225">
        <v>85</v>
      </c>
      <c r="AI292" s="225"/>
      <c r="AJ292" s="225">
        <v>1974</v>
      </c>
      <c r="AK292" s="225">
        <v>49</v>
      </c>
    </row>
    <row r="293" spans="1:37">
      <c r="A293" s="1">
        <f>A25</f>
        <v>1991</v>
      </c>
      <c r="B293" s="331"/>
      <c r="C293" s="166"/>
      <c r="D293" s="166"/>
      <c r="E293" s="222"/>
      <c r="F293" s="222"/>
      <c r="G293" s="222"/>
      <c r="H293" s="222"/>
      <c r="I293" s="222"/>
      <c r="J293" s="222"/>
      <c r="K293" s="222"/>
      <c r="L293" s="166"/>
      <c r="M293" s="166"/>
      <c r="O293" s="1">
        <f t="shared" si="81"/>
        <v>32</v>
      </c>
      <c r="P293" s="291">
        <f>+L293</f>
        <v>0</v>
      </c>
      <c r="Q293" s="330"/>
      <c r="S293" s="225">
        <f>D293</f>
        <v>0</v>
      </c>
      <c r="T293" s="330"/>
      <c r="V293" s="225">
        <f>IF(M217&lt;1200,M293,0)</f>
        <v>0</v>
      </c>
      <c r="W293" s="330" t="s">
        <v>86</v>
      </c>
      <c r="Y293" s="291">
        <f t="shared" si="84"/>
        <v>0</v>
      </c>
      <c r="Z293" s="304"/>
      <c r="AD293" s="225">
        <v>1988</v>
      </c>
      <c r="AE293" s="225">
        <v>46</v>
      </c>
      <c r="AF293" s="225"/>
      <c r="AG293" s="225">
        <v>2009</v>
      </c>
      <c r="AH293" s="225">
        <v>85</v>
      </c>
      <c r="AI293" s="225"/>
      <c r="AJ293" s="225">
        <v>1988</v>
      </c>
      <c r="AK293" s="225">
        <v>49</v>
      </c>
    </row>
    <row r="294" spans="1:37">
      <c r="A294" s="1">
        <f>A26</f>
        <v>1992</v>
      </c>
      <c r="B294" s="331"/>
      <c r="C294" s="166"/>
      <c r="D294" s="332"/>
      <c r="E294" s="222"/>
      <c r="F294" s="222"/>
      <c r="G294" s="222"/>
      <c r="H294" s="222"/>
      <c r="I294" s="222"/>
      <c r="J294" s="222"/>
      <c r="K294" s="222"/>
      <c r="L294" s="222"/>
      <c r="M294" s="166"/>
      <c r="O294" s="1">
        <f t="shared" si="81"/>
        <v>31</v>
      </c>
      <c r="Q294" s="304">
        <f>L294</f>
        <v>0</v>
      </c>
      <c r="T294" s="329">
        <f>D294</f>
        <v>0</v>
      </c>
      <c r="V294" s="225">
        <f>IF(M218&lt;1200,M294,0)</f>
        <v>0</v>
      </c>
      <c r="W294" s="330" t="s">
        <v>86</v>
      </c>
      <c r="Y294" s="291">
        <f t="shared" si="84"/>
        <v>0</v>
      </c>
      <c r="Z294" s="304"/>
      <c r="AD294" s="225">
        <v>1997</v>
      </c>
      <c r="AE294" s="225">
        <v>46</v>
      </c>
      <c r="AF294" s="225"/>
      <c r="AG294" s="225">
        <v>2012</v>
      </c>
      <c r="AH294" s="225">
        <v>85</v>
      </c>
      <c r="AI294" s="225"/>
      <c r="AJ294" s="225">
        <v>1976</v>
      </c>
      <c r="AK294" s="225">
        <v>50</v>
      </c>
    </row>
    <row r="295" spans="1:37">
      <c r="A295" s="1">
        <f>A27</f>
        <v>1993</v>
      </c>
      <c r="B295" s="331"/>
      <c r="C295" s="166"/>
      <c r="D295" s="166"/>
      <c r="E295" s="222"/>
      <c r="F295" s="222"/>
      <c r="G295" s="222"/>
      <c r="H295" s="222"/>
      <c r="I295" s="222"/>
      <c r="J295" s="222"/>
      <c r="K295" s="222"/>
      <c r="L295" s="222"/>
      <c r="M295" s="166"/>
      <c r="O295" s="1">
        <f t="shared" si="81"/>
        <v>30</v>
      </c>
      <c r="Q295" s="304">
        <f>L295</f>
        <v>0</v>
      </c>
      <c r="S295" s="225">
        <f>D295</f>
        <v>0</v>
      </c>
      <c r="T295" s="330"/>
      <c r="V295" s="225">
        <f>IF(M219&lt;1200,M295,0)</f>
        <v>0</v>
      </c>
      <c r="W295" s="330" t="s">
        <v>86</v>
      </c>
      <c r="Y295" s="291">
        <f t="shared" si="84"/>
        <v>0</v>
      </c>
      <c r="Z295" s="304"/>
      <c r="AD295" s="225">
        <v>2009</v>
      </c>
      <c r="AE295" s="225">
        <v>46</v>
      </c>
      <c r="AF295" s="225"/>
      <c r="AG295" s="225">
        <v>2013</v>
      </c>
      <c r="AH295" s="225">
        <v>85</v>
      </c>
      <c r="AI295" s="225"/>
      <c r="AJ295" s="225">
        <v>1995</v>
      </c>
      <c r="AK295" s="225">
        <v>50</v>
      </c>
    </row>
    <row r="296" spans="1:37">
      <c r="A296" s="1">
        <f>A28</f>
        <v>1994</v>
      </c>
      <c r="B296" s="331"/>
      <c r="C296" s="166"/>
      <c r="D296" s="222"/>
      <c r="E296" s="222"/>
      <c r="F296" s="222"/>
      <c r="G296" s="222"/>
      <c r="H296" s="222"/>
      <c r="I296" s="222"/>
      <c r="J296" s="222"/>
      <c r="K296" s="222"/>
      <c r="L296" s="222"/>
      <c r="M296" s="222"/>
      <c r="O296" s="1">
        <f t="shared" si="81"/>
        <v>29</v>
      </c>
      <c r="Q296" s="304">
        <f>L296</f>
        <v>0</v>
      </c>
      <c r="T296" s="304">
        <f>D296</f>
        <v>0</v>
      </c>
      <c r="V296" s="225" t="s">
        <v>86</v>
      </c>
      <c r="W296" s="304">
        <f>M296</f>
        <v>0</v>
      </c>
      <c r="Y296" s="291">
        <f t="shared" si="84"/>
        <v>0</v>
      </c>
      <c r="Z296" s="304"/>
      <c r="AD296" s="225">
        <v>1979</v>
      </c>
      <c r="AE296" s="225">
        <v>47</v>
      </c>
      <c r="AF296" s="225"/>
      <c r="AG296" s="225">
        <v>2019</v>
      </c>
      <c r="AH296" s="225">
        <v>85</v>
      </c>
      <c r="AI296" s="225"/>
      <c r="AJ296" s="225">
        <v>2003</v>
      </c>
      <c r="AK296" s="225">
        <v>50</v>
      </c>
    </row>
    <row r="297" spans="1:37">
      <c r="A297" s="1">
        <f>A29</f>
        <v>1995</v>
      </c>
      <c r="B297" s="331"/>
      <c r="C297" s="166"/>
      <c r="D297" s="166"/>
      <c r="E297" s="222"/>
      <c r="F297" s="222"/>
      <c r="G297" s="222"/>
      <c r="H297" s="222"/>
      <c r="I297" s="222"/>
      <c r="J297" s="222"/>
      <c r="K297" s="222"/>
      <c r="L297" s="222"/>
      <c r="M297" s="166"/>
      <c r="O297" s="1">
        <f t="shared" si="81"/>
        <v>28</v>
      </c>
      <c r="Q297" s="304">
        <f>L297</f>
        <v>0</v>
      </c>
      <c r="S297" s="225">
        <f>D297</f>
        <v>0</v>
      </c>
      <c r="T297" s="330"/>
      <c r="V297" s="225">
        <f>IF(M221&lt;1200,M297,0)</f>
        <v>0</v>
      </c>
      <c r="W297" s="330" t="s">
        <v>86</v>
      </c>
      <c r="Y297" s="291">
        <f t="shared" si="84"/>
        <v>0</v>
      </c>
      <c r="Z297" s="304"/>
      <c r="AD297" s="225">
        <v>2001</v>
      </c>
      <c r="AE297" s="225">
        <v>47</v>
      </c>
      <c r="AF297" s="225"/>
      <c r="AG297" s="225">
        <v>1989</v>
      </c>
      <c r="AH297" s="225">
        <v>84</v>
      </c>
      <c r="AI297" s="225"/>
      <c r="AJ297" s="225">
        <v>1997</v>
      </c>
      <c r="AK297" s="225">
        <v>51</v>
      </c>
    </row>
    <row r="298" spans="1:37">
      <c r="A298" s="1">
        <f>A30</f>
        <v>1996</v>
      </c>
      <c r="B298" s="331"/>
      <c r="C298" s="166"/>
      <c r="D298" s="166"/>
      <c r="E298" s="222"/>
      <c r="F298" s="222"/>
      <c r="G298" s="222"/>
      <c r="H298" s="222"/>
      <c r="I298" s="222"/>
      <c r="J298" s="222"/>
      <c r="K298" s="222"/>
      <c r="L298" s="222"/>
      <c r="M298" s="166"/>
      <c r="O298" s="1">
        <f t="shared" si="81"/>
        <v>27</v>
      </c>
      <c r="Q298" s="304">
        <f>L298</f>
        <v>0</v>
      </c>
      <c r="S298" s="225">
        <f>D298</f>
        <v>0</v>
      </c>
      <c r="T298" s="330"/>
      <c r="V298" s="225">
        <f>IF(M222&lt;1200,M298,0)</f>
        <v>0</v>
      </c>
      <c r="W298" s="330" t="s">
        <v>86</v>
      </c>
      <c r="Y298" s="291">
        <f t="shared" si="84"/>
        <v>0</v>
      </c>
      <c r="Z298" s="304"/>
      <c r="AD298" s="225">
        <v>1975</v>
      </c>
      <c r="AE298" s="225">
        <v>48</v>
      </c>
      <c r="AF298" s="225"/>
      <c r="AG298" s="225">
        <v>1990</v>
      </c>
      <c r="AH298" s="225">
        <v>84</v>
      </c>
      <c r="AI298" s="225"/>
      <c r="AJ298" s="225">
        <v>2002</v>
      </c>
      <c r="AK298" s="225">
        <v>51</v>
      </c>
    </row>
    <row r="299" spans="1:37" ht="15.75">
      <c r="A299" s="1">
        <f>A31</f>
        <v>1997</v>
      </c>
      <c r="B299" s="331"/>
      <c r="C299" s="166"/>
      <c r="D299" s="222"/>
      <c r="E299" s="222"/>
      <c r="F299" s="222"/>
      <c r="G299" s="222"/>
      <c r="H299" s="222"/>
      <c r="I299" s="222"/>
      <c r="J299" s="222"/>
      <c r="K299" s="222"/>
      <c r="L299" s="38"/>
      <c r="M299" s="332"/>
      <c r="O299" s="1">
        <f t="shared" si="81"/>
        <v>26</v>
      </c>
      <c r="Q299" s="301"/>
      <c r="T299" s="304">
        <f>D299</f>
        <v>0</v>
      </c>
      <c r="V299" s="225" t="s">
        <v>86</v>
      </c>
      <c r="W299" s="329">
        <f>M299</f>
        <v>0</v>
      </c>
      <c r="Y299" s="291">
        <f t="shared" si="84"/>
        <v>0</v>
      </c>
      <c r="Z299" s="304"/>
      <c r="AD299" s="225">
        <v>1978</v>
      </c>
      <c r="AE299" s="225">
        <v>48</v>
      </c>
      <c r="AF299" s="225"/>
      <c r="AG299" s="225">
        <v>1991</v>
      </c>
      <c r="AH299" s="225">
        <v>84</v>
      </c>
      <c r="AI299" s="225"/>
      <c r="AJ299" s="225">
        <v>1987</v>
      </c>
      <c r="AK299" s="225">
        <v>52</v>
      </c>
    </row>
    <row r="300" spans="1:37">
      <c r="A300" s="1">
        <f>A32</f>
        <v>1998</v>
      </c>
      <c r="B300" s="331"/>
      <c r="C300" s="166"/>
      <c r="D300" s="166"/>
      <c r="E300" s="222"/>
      <c r="F300" s="222"/>
      <c r="G300" s="222"/>
      <c r="H300" s="222"/>
      <c r="I300" s="222"/>
      <c r="J300" s="222"/>
      <c r="K300" s="222"/>
      <c r="L300" s="222"/>
      <c r="M300" s="166"/>
      <c r="O300" s="1">
        <f t="shared" si="81"/>
        <v>25</v>
      </c>
      <c r="Q300" s="304">
        <f>L300</f>
        <v>0</v>
      </c>
      <c r="S300" s="225">
        <f>D300</f>
        <v>0</v>
      </c>
      <c r="T300" s="330"/>
      <c r="V300" s="225">
        <f>IF(M224&lt;1200,M300,0)</f>
        <v>0</v>
      </c>
      <c r="W300" s="330" t="s">
        <v>86</v>
      </c>
      <c r="Y300" s="291">
        <f t="shared" si="84"/>
        <v>0</v>
      </c>
      <c r="Z300" s="304"/>
      <c r="AD300" s="225">
        <v>1992</v>
      </c>
      <c r="AE300" s="225">
        <v>48</v>
      </c>
      <c r="AF300" s="225"/>
      <c r="AG300" s="225">
        <v>1992</v>
      </c>
      <c r="AH300" s="225">
        <v>84</v>
      </c>
      <c r="AI300" s="225"/>
      <c r="AJ300" s="225">
        <v>1992</v>
      </c>
      <c r="AK300" s="225">
        <v>53</v>
      </c>
    </row>
    <row r="301" spans="1:37" ht="15.75">
      <c r="A301" s="1">
        <f>A33</f>
        <v>1999</v>
      </c>
      <c r="B301" s="331"/>
      <c r="C301" s="166"/>
      <c r="D301" s="166"/>
      <c r="E301" s="222"/>
      <c r="F301" s="222"/>
      <c r="G301" s="222"/>
      <c r="H301" s="222"/>
      <c r="I301" s="222"/>
      <c r="J301" s="222"/>
      <c r="K301" s="222"/>
      <c r="L301" s="222"/>
      <c r="M301" s="38"/>
      <c r="O301" s="1">
        <f t="shared" si="81"/>
        <v>24</v>
      </c>
      <c r="Q301" s="304">
        <f>L301</f>
        <v>0</v>
      </c>
      <c r="S301" s="225">
        <f>D301</f>
        <v>0</v>
      </c>
      <c r="T301" s="330"/>
      <c r="V301" s="225">
        <f>IF(M225&lt;1200,M301,0)</f>
        <v>0</v>
      </c>
      <c r="W301" s="301" t="s">
        <v>86</v>
      </c>
      <c r="Y301" s="291">
        <f t="shared" si="84"/>
        <v>0</v>
      </c>
      <c r="Z301" s="304"/>
      <c r="AD301" s="225">
        <v>1995</v>
      </c>
      <c r="AE301" s="225">
        <v>48</v>
      </c>
      <c r="AF301" s="225"/>
      <c r="AG301" s="225">
        <v>1995</v>
      </c>
      <c r="AH301" s="225">
        <v>84</v>
      </c>
      <c r="AI301" s="225"/>
      <c r="AJ301" s="225">
        <v>1999</v>
      </c>
      <c r="AK301" s="225">
        <v>53</v>
      </c>
    </row>
    <row r="302" spans="1:37">
      <c r="A302" s="1">
        <f>A34</f>
        <v>2000</v>
      </c>
      <c r="B302" s="331"/>
      <c r="C302" s="166"/>
      <c r="D302" s="222"/>
      <c r="E302" s="222"/>
      <c r="F302" s="222"/>
      <c r="G302" s="222"/>
      <c r="H302" s="222"/>
      <c r="I302" s="222"/>
      <c r="J302" s="222"/>
      <c r="K302" s="222"/>
      <c r="L302" s="166"/>
      <c r="M302" s="166"/>
      <c r="O302" s="1">
        <f t="shared" si="81"/>
        <v>23</v>
      </c>
      <c r="P302" s="291">
        <f>+L302</f>
        <v>0</v>
      </c>
      <c r="Q302" s="330"/>
      <c r="T302" s="304">
        <f>D302</f>
        <v>0</v>
      </c>
      <c r="V302" s="225">
        <f>IF(M226&lt;1200,M302,0)</f>
        <v>0</v>
      </c>
      <c r="W302" s="330" t="s">
        <v>86</v>
      </c>
      <c r="Y302" s="291">
        <f t="shared" si="84"/>
        <v>0</v>
      </c>
      <c r="Z302" s="304"/>
      <c r="AD302" s="225">
        <v>2002</v>
      </c>
      <c r="AE302" s="225">
        <v>48</v>
      </c>
      <c r="AF302" s="225"/>
      <c r="AG302" s="225">
        <v>1996</v>
      </c>
      <c r="AH302" s="225">
        <v>84</v>
      </c>
      <c r="AI302" s="225"/>
      <c r="AJ302" s="225">
        <v>2017</v>
      </c>
      <c r="AK302" s="225">
        <v>53.416666666666664</v>
      </c>
    </row>
    <row r="303" spans="1:37">
      <c r="A303" s="1">
        <f>A35</f>
        <v>2001</v>
      </c>
      <c r="B303" s="331"/>
      <c r="C303" s="166"/>
      <c r="D303" s="222"/>
      <c r="E303" s="222"/>
      <c r="F303" s="222"/>
      <c r="G303" s="222"/>
      <c r="H303" s="222"/>
      <c r="I303" s="222"/>
      <c r="J303" s="222"/>
      <c r="K303" s="222"/>
      <c r="L303" s="222"/>
      <c r="M303" s="222"/>
      <c r="O303" s="1">
        <f t="shared" si="81"/>
        <v>22</v>
      </c>
      <c r="Q303" s="304">
        <v>76</v>
      </c>
      <c r="T303" s="304">
        <v>71</v>
      </c>
      <c r="V303" s="225" t="s">
        <v>86</v>
      </c>
      <c r="W303" s="304">
        <f>M303</f>
        <v>0</v>
      </c>
      <c r="Y303" s="291">
        <f t="shared" si="84"/>
        <v>0</v>
      </c>
      <c r="Z303" s="304"/>
      <c r="AD303" s="225">
        <v>2020</v>
      </c>
      <c r="AE303" s="225">
        <v>48</v>
      </c>
      <c r="AF303" s="225"/>
      <c r="AG303" s="225">
        <v>1997</v>
      </c>
      <c r="AH303" s="225">
        <v>84</v>
      </c>
      <c r="AI303" s="225"/>
      <c r="AJ303" s="225">
        <v>1979</v>
      </c>
      <c r="AK303" s="225">
        <v>54</v>
      </c>
    </row>
    <row r="304" spans="1:37">
      <c r="A304" s="1">
        <f>A36</f>
        <v>2002</v>
      </c>
      <c r="B304" s="331"/>
      <c r="C304" s="166"/>
      <c r="D304" s="166"/>
      <c r="E304" s="222"/>
      <c r="F304" s="222"/>
      <c r="G304" s="222"/>
      <c r="H304" s="222"/>
      <c r="I304" s="222"/>
      <c r="J304" s="222"/>
      <c r="K304" s="222"/>
      <c r="L304" s="222"/>
      <c r="M304" s="166"/>
      <c r="O304" s="1">
        <f t="shared" si="81"/>
        <v>21</v>
      </c>
      <c r="Q304" s="304">
        <v>77</v>
      </c>
      <c r="S304" s="330">
        <v>50</v>
      </c>
      <c r="V304" s="225">
        <f>M304</f>
        <v>0</v>
      </c>
      <c r="W304" s="330"/>
      <c r="Y304" s="291">
        <f t="shared" si="84"/>
        <v>0</v>
      </c>
      <c r="Z304" s="304"/>
      <c r="AD304" s="225">
        <v>1983</v>
      </c>
      <c r="AE304" s="225">
        <v>49</v>
      </c>
      <c r="AF304" s="225"/>
      <c r="AG304" s="225">
        <v>2002</v>
      </c>
      <c r="AH304" s="225">
        <v>84</v>
      </c>
      <c r="AI304" s="225"/>
      <c r="AJ304" s="225">
        <v>1990</v>
      </c>
      <c r="AK304" s="225">
        <v>54</v>
      </c>
    </row>
    <row r="305" spans="1:37">
      <c r="A305" s="1">
        <f>A37</f>
        <v>2003</v>
      </c>
      <c r="B305" s="39"/>
      <c r="C305" s="40"/>
      <c r="D305" s="222"/>
      <c r="E305" s="222"/>
      <c r="F305" s="222"/>
      <c r="G305" s="222"/>
      <c r="H305" s="222"/>
      <c r="I305" s="222"/>
      <c r="J305" s="222"/>
      <c r="K305" s="222"/>
      <c r="L305" s="222"/>
      <c r="M305" s="166"/>
      <c r="O305" s="1">
        <f t="shared" si="81"/>
        <v>20</v>
      </c>
      <c r="Q305" s="304">
        <v>78</v>
      </c>
      <c r="T305" s="304">
        <v>79</v>
      </c>
      <c r="V305" s="330">
        <v>50</v>
      </c>
      <c r="Y305" s="291">
        <f t="shared" si="84"/>
        <v>0</v>
      </c>
      <c r="Z305" s="304"/>
      <c r="AD305" s="225">
        <v>1987</v>
      </c>
      <c r="AE305" s="225">
        <v>49</v>
      </c>
      <c r="AF305" s="225"/>
      <c r="AG305" s="225">
        <v>2018</v>
      </c>
      <c r="AH305" s="225">
        <v>84</v>
      </c>
      <c r="AI305" s="225"/>
      <c r="AJ305" s="225">
        <v>1991</v>
      </c>
      <c r="AK305" s="225">
        <v>54</v>
      </c>
    </row>
    <row r="306" spans="1:37">
      <c r="A306" s="254">
        <f>A38</f>
        <v>2004</v>
      </c>
      <c r="B306" s="40"/>
      <c r="C306" s="40"/>
      <c r="D306" s="222"/>
      <c r="E306" s="222"/>
      <c r="F306" s="222"/>
      <c r="G306" s="222"/>
      <c r="H306" s="222"/>
      <c r="I306" s="222"/>
      <c r="J306" s="222"/>
      <c r="K306" s="222"/>
      <c r="L306" s="222"/>
      <c r="M306" s="166"/>
      <c r="O306" s="1">
        <f t="shared" si="81"/>
        <v>19</v>
      </c>
      <c r="Q306" s="304">
        <v>77</v>
      </c>
      <c r="T306" s="304">
        <v>73</v>
      </c>
      <c r="V306" s="330">
        <v>45</v>
      </c>
      <c r="Y306" s="291">
        <f t="shared" si="84"/>
        <v>0</v>
      </c>
      <c r="Z306" s="304"/>
      <c r="AD306" s="225">
        <v>1990</v>
      </c>
      <c r="AE306" s="225">
        <v>49</v>
      </c>
      <c r="AF306" s="225"/>
      <c r="AG306" s="225">
        <v>1976</v>
      </c>
      <c r="AH306" s="225">
        <v>83</v>
      </c>
      <c r="AI306" s="225"/>
      <c r="AJ306" s="225">
        <v>1993</v>
      </c>
      <c r="AK306" s="225">
        <v>54</v>
      </c>
    </row>
    <row r="307" spans="1:37">
      <c r="A307" s="254">
        <f>A39</f>
        <v>2005</v>
      </c>
      <c r="B307" s="40"/>
      <c r="C307" s="40"/>
      <c r="D307" s="40"/>
      <c r="E307" s="222"/>
      <c r="F307" s="222"/>
      <c r="G307" s="222"/>
      <c r="H307" s="222"/>
      <c r="I307" s="222"/>
      <c r="J307" s="222"/>
      <c r="K307" s="222"/>
      <c r="L307" s="222"/>
      <c r="M307" s="166"/>
      <c r="O307" s="1">
        <f t="shared" si="81"/>
        <v>18</v>
      </c>
      <c r="Q307" s="304">
        <v>76</v>
      </c>
      <c r="S307" s="305">
        <v>50</v>
      </c>
      <c r="V307" s="330">
        <v>48</v>
      </c>
      <c r="Y307" s="291">
        <f t="shared" si="84"/>
        <v>0</v>
      </c>
      <c r="Z307" s="304"/>
      <c r="AD307" s="225">
        <v>2007</v>
      </c>
      <c r="AE307" s="225">
        <v>49</v>
      </c>
      <c r="AF307" s="225"/>
      <c r="AG307" s="225">
        <v>1977</v>
      </c>
      <c r="AH307" s="225">
        <v>83</v>
      </c>
      <c r="AI307" s="225"/>
      <c r="AJ307" s="225">
        <v>1978</v>
      </c>
      <c r="AK307" s="225">
        <v>55</v>
      </c>
    </row>
    <row r="308" spans="1:37">
      <c r="A308" s="254">
        <f>A40</f>
        <v>2006</v>
      </c>
      <c r="B308" s="40"/>
      <c r="C308" s="40"/>
      <c r="D308" s="222"/>
      <c r="E308" s="222"/>
      <c r="F308" s="222"/>
      <c r="G308" s="222"/>
      <c r="H308" s="222"/>
      <c r="I308" s="222"/>
      <c r="J308" s="222"/>
      <c r="K308" s="222"/>
      <c r="L308" s="222"/>
      <c r="M308" s="222"/>
      <c r="O308" s="1">
        <f t="shared" si="81"/>
        <v>17</v>
      </c>
      <c r="Q308" s="304">
        <v>77</v>
      </c>
      <c r="T308" s="304">
        <v>73</v>
      </c>
      <c r="W308" s="306">
        <v>73</v>
      </c>
      <c r="Y308" s="291">
        <f t="shared" si="84"/>
        <v>0</v>
      </c>
      <c r="Z308" s="304"/>
      <c r="AD308" s="225">
        <v>2014</v>
      </c>
      <c r="AE308" s="225">
        <v>49</v>
      </c>
      <c r="AF308" s="225"/>
      <c r="AG308" s="225">
        <v>1978</v>
      </c>
      <c r="AH308" s="225">
        <v>83</v>
      </c>
      <c r="AI308" s="225"/>
      <c r="AJ308" s="225">
        <v>2008</v>
      </c>
      <c r="AK308" s="225">
        <v>55</v>
      </c>
    </row>
    <row r="309" spans="1:37">
      <c r="A309" s="254">
        <f>A41</f>
        <v>2007</v>
      </c>
      <c r="B309" s="40"/>
      <c r="C309" s="40"/>
      <c r="D309" s="222"/>
      <c r="E309" s="222"/>
      <c r="F309" s="222"/>
      <c r="G309" s="222"/>
      <c r="H309" s="222"/>
      <c r="I309" s="222"/>
      <c r="J309" s="222"/>
      <c r="K309" s="222"/>
      <c r="L309" s="222"/>
      <c r="M309" s="332"/>
      <c r="O309" s="1">
        <f t="shared" si="81"/>
        <v>16</v>
      </c>
      <c r="Q309" s="304">
        <v>77</v>
      </c>
      <c r="T309" s="304">
        <v>72</v>
      </c>
      <c r="V309" s="329">
        <v>47</v>
      </c>
      <c r="Y309" s="291">
        <f t="shared" si="84"/>
        <v>0</v>
      </c>
      <c r="Z309" s="304"/>
      <c r="AD309" s="225">
        <v>1980</v>
      </c>
      <c r="AE309" s="225">
        <v>52</v>
      </c>
      <c r="AF309" s="225"/>
      <c r="AG309" s="225">
        <v>1980</v>
      </c>
      <c r="AH309" s="225">
        <v>83</v>
      </c>
      <c r="AI309" s="225"/>
      <c r="AJ309" s="225">
        <v>2014</v>
      </c>
      <c r="AK309" s="225">
        <v>55</v>
      </c>
    </row>
    <row r="310" spans="1:37">
      <c r="A310" s="254">
        <f>A42</f>
        <v>2008</v>
      </c>
      <c r="B310" s="40"/>
      <c r="C310" s="40"/>
      <c r="D310" s="222"/>
      <c r="E310" s="222"/>
      <c r="F310" s="222"/>
      <c r="G310" s="222"/>
      <c r="H310" s="222"/>
      <c r="I310" s="222"/>
      <c r="J310" s="222"/>
      <c r="K310" s="222"/>
      <c r="L310" s="222"/>
      <c r="M310" s="166"/>
      <c r="O310" s="1">
        <f t="shared" si="81"/>
        <v>15</v>
      </c>
      <c r="Q310" s="304">
        <v>78</v>
      </c>
      <c r="T310" s="304">
        <v>75</v>
      </c>
      <c r="V310" s="330">
        <v>55</v>
      </c>
      <c r="Y310" s="291">
        <f t="shared" si="84"/>
        <v>0</v>
      </c>
      <c r="Z310" s="304"/>
      <c r="AD310" s="225">
        <v>2016</v>
      </c>
      <c r="AE310" s="225">
        <v>53</v>
      </c>
      <c r="AF310" s="225"/>
      <c r="AG310" s="225">
        <v>1981</v>
      </c>
      <c r="AH310" s="225">
        <v>83</v>
      </c>
      <c r="AI310" s="225"/>
      <c r="AJ310" s="225">
        <v>1998</v>
      </c>
      <c r="AK310" s="225">
        <v>57</v>
      </c>
    </row>
    <row r="311" spans="1:37">
      <c r="A311" s="254">
        <f>A43</f>
        <v>2009</v>
      </c>
      <c r="B311" s="40"/>
      <c r="C311" s="40"/>
      <c r="D311" s="40"/>
      <c r="E311" s="222"/>
      <c r="F311" s="222"/>
      <c r="G311" s="222"/>
      <c r="H311" s="222"/>
      <c r="I311" s="222"/>
      <c r="J311" s="222"/>
      <c r="K311" s="222"/>
      <c r="L311" s="222"/>
      <c r="M311" s="222"/>
      <c r="O311" s="1">
        <f t="shared" si="81"/>
        <v>14</v>
      </c>
      <c r="Q311" s="304">
        <v>75</v>
      </c>
      <c r="S311" s="305">
        <v>51</v>
      </c>
      <c r="W311" s="306">
        <v>73</v>
      </c>
      <c r="Y311" s="291">
        <f t="shared" si="84"/>
        <v>0</v>
      </c>
      <c r="Z311" s="304"/>
      <c r="AD311" s="225">
        <v>2017</v>
      </c>
      <c r="AE311" s="225">
        <v>53</v>
      </c>
      <c r="AF311" s="225"/>
      <c r="AG311" s="225">
        <v>1982</v>
      </c>
      <c r="AH311" s="225">
        <v>83</v>
      </c>
      <c r="AI311" s="225"/>
      <c r="AJ311" s="225">
        <v>2011</v>
      </c>
      <c r="AK311" s="225">
        <v>70</v>
      </c>
    </row>
    <row r="312" spans="1:37">
      <c r="A312" s="254">
        <f>A44</f>
        <v>2010</v>
      </c>
      <c r="B312" s="40"/>
      <c r="C312" s="40"/>
      <c r="D312" s="40"/>
      <c r="E312" s="222"/>
      <c r="F312" s="222"/>
      <c r="G312" s="222"/>
      <c r="H312" s="222"/>
      <c r="I312" s="222"/>
      <c r="J312" s="222"/>
      <c r="K312" s="222"/>
      <c r="L312" s="222"/>
      <c r="M312" s="166"/>
      <c r="O312" s="1">
        <f t="shared" si="81"/>
        <v>13</v>
      </c>
      <c r="Q312" s="304">
        <v>76</v>
      </c>
      <c r="S312" s="305">
        <v>50</v>
      </c>
      <c r="V312" s="330">
        <v>44</v>
      </c>
      <c r="Y312" s="291">
        <f t="shared" si="84"/>
        <v>0</v>
      </c>
      <c r="Z312" s="304"/>
      <c r="AD312" s="225">
        <v>1991</v>
      </c>
      <c r="AE312" s="225">
        <v>54</v>
      </c>
      <c r="AF312" s="225"/>
      <c r="AG312" s="225">
        <v>1984</v>
      </c>
      <c r="AH312" s="225">
        <v>83</v>
      </c>
      <c r="AI312" s="225"/>
      <c r="AJ312" s="225">
        <v>2012</v>
      </c>
      <c r="AK312" s="225">
        <v>70</v>
      </c>
    </row>
    <row r="313" spans="1:37">
      <c r="A313" s="254">
        <f>A45</f>
        <v>2011</v>
      </c>
      <c r="B313" s="40"/>
      <c r="C313" s="40"/>
      <c r="D313" s="222"/>
      <c r="E313" s="222"/>
      <c r="F313" s="222"/>
      <c r="G313" s="222"/>
      <c r="H313" s="222"/>
      <c r="I313" s="222"/>
      <c r="J313" s="222"/>
      <c r="K313" s="222"/>
      <c r="L313" s="222"/>
      <c r="M313" s="222"/>
      <c r="O313" s="1">
        <f t="shared" si="81"/>
        <v>12</v>
      </c>
      <c r="Q313" s="304">
        <v>76</v>
      </c>
      <c r="T313" s="304">
        <v>74</v>
      </c>
      <c r="W313" s="306">
        <v>70</v>
      </c>
      <c r="Y313" s="291">
        <f t="shared" si="84"/>
        <v>0</v>
      </c>
      <c r="Z313" s="304"/>
      <c r="AD313" s="225">
        <v>2004</v>
      </c>
      <c r="AE313" s="225">
        <v>54</v>
      </c>
      <c r="AF313" s="225"/>
      <c r="AG313" s="225">
        <v>2001</v>
      </c>
      <c r="AH313" s="225">
        <v>83</v>
      </c>
      <c r="AI313" s="225"/>
      <c r="AJ313" s="225">
        <v>2013</v>
      </c>
      <c r="AK313" s="225">
        <v>71</v>
      </c>
    </row>
    <row r="314" spans="1:37">
      <c r="A314" s="254">
        <f>A46</f>
        <v>2012</v>
      </c>
      <c r="B314" s="40"/>
      <c r="C314" s="40"/>
      <c r="D314" s="222"/>
      <c r="E314" s="222"/>
      <c r="F314" s="222"/>
      <c r="G314" s="222"/>
      <c r="H314" s="222"/>
      <c r="I314" s="222"/>
      <c r="J314" s="222"/>
      <c r="K314" s="222"/>
      <c r="L314" s="222"/>
      <c r="M314" s="222"/>
      <c r="O314" s="1">
        <f t="shared" si="81"/>
        <v>11</v>
      </c>
      <c r="Q314" s="304">
        <v>73</v>
      </c>
      <c r="T314" s="304">
        <v>76</v>
      </c>
      <c r="W314" s="306">
        <v>70</v>
      </c>
      <c r="Y314" s="291">
        <f t="shared" si="84"/>
        <v>0</v>
      </c>
      <c r="Z314" s="304"/>
      <c r="AD314" s="225">
        <v>2019</v>
      </c>
      <c r="AE314" s="225">
        <v>54</v>
      </c>
      <c r="AF314" s="225"/>
      <c r="AG314" s="225">
        <v>2008</v>
      </c>
      <c r="AH314" s="225">
        <v>83</v>
      </c>
      <c r="AI314" s="225"/>
      <c r="AJ314" s="225">
        <v>1994</v>
      </c>
      <c r="AK314" s="225">
        <v>72</v>
      </c>
    </row>
    <row r="315" spans="1:37">
      <c r="A315" s="254">
        <f>A47</f>
        <v>2013</v>
      </c>
      <c r="B315" s="222"/>
      <c r="C315" s="40"/>
      <c r="D315" s="40"/>
      <c r="E315" s="222"/>
      <c r="F315" s="222"/>
      <c r="G315" s="222"/>
      <c r="H315" s="222"/>
      <c r="I315" s="222"/>
      <c r="J315" s="222"/>
      <c r="K315" s="222"/>
      <c r="L315" s="222"/>
      <c r="M315" s="222"/>
      <c r="O315" s="1">
        <f t="shared" si="81"/>
        <v>10</v>
      </c>
      <c r="Q315" s="304">
        <v>78</v>
      </c>
      <c r="S315" s="305">
        <v>52</v>
      </c>
      <c r="W315" s="306">
        <v>71</v>
      </c>
      <c r="Y315" s="291">
        <f t="shared" si="84"/>
        <v>0</v>
      </c>
      <c r="Z315" s="304"/>
      <c r="AD315" s="225">
        <v>1989</v>
      </c>
      <c r="AE315" s="225">
        <v>55</v>
      </c>
      <c r="AF315" s="225"/>
      <c r="AG315" s="225">
        <v>1983</v>
      </c>
      <c r="AH315" s="225">
        <v>82</v>
      </c>
      <c r="AI315" s="225"/>
      <c r="AJ315" s="225">
        <v>2006</v>
      </c>
      <c r="AK315" s="225">
        <v>73</v>
      </c>
    </row>
    <row r="316" spans="1:37">
      <c r="A316" s="254">
        <f>A48</f>
        <v>2014</v>
      </c>
      <c r="B316" s="40"/>
      <c r="C316" s="40"/>
      <c r="D316" s="222"/>
      <c r="E316" s="222"/>
      <c r="F316" s="222"/>
      <c r="G316" s="222"/>
      <c r="H316" s="222"/>
      <c r="I316" s="222"/>
      <c r="J316" s="222"/>
      <c r="K316" s="222"/>
      <c r="L316" s="40"/>
      <c r="M316" s="40"/>
      <c r="O316" s="1">
        <f t="shared" si="81"/>
        <v>9</v>
      </c>
      <c r="P316" s="225">
        <f>+L316</f>
        <v>0</v>
      </c>
      <c r="T316" s="304">
        <v>72</v>
      </c>
      <c r="V316" s="330">
        <v>55</v>
      </c>
      <c r="Y316" s="291">
        <f t="shared" si="84"/>
        <v>0</v>
      </c>
      <c r="Z316" s="304"/>
      <c r="AD316" s="225">
        <v>1993</v>
      </c>
      <c r="AE316" s="225">
        <v>55</v>
      </c>
      <c r="AF316" s="225"/>
      <c r="AG316" s="225">
        <v>1985</v>
      </c>
      <c r="AH316" s="225">
        <v>82</v>
      </c>
      <c r="AI316" s="225"/>
      <c r="AJ316" s="225">
        <v>2009</v>
      </c>
      <c r="AK316" s="225">
        <v>73</v>
      </c>
    </row>
    <row r="317" spans="1:37">
      <c r="A317" s="254">
        <f>A49</f>
        <v>2015</v>
      </c>
      <c r="B317" s="40"/>
      <c r="C317" s="40"/>
      <c r="D317" s="222"/>
      <c r="E317" s="222"/>
      <c r="F317" s="222"/>
      <c r="G317" s="222"/>
      <c r="H317" s="222"/>
      <c r="I317" s="222"/>
      <c r="J317" s="222"/>
      <c r="K317" s="222"/>
      <c r="L317" s="222"/>
      <c r="M317" s="222"/>
      <c r="O317" s="1">
        <f t="shared" si="81"/>
        <v>8</v>
      </c>
      <c r="Q317" s="304">
        <f t="shared" ref="Q317:Q324" si="86">+L317</f>
        <v>0</v>
      </c>
      <c r="T317" s="304">
        <f t="shared" ref="T317:T324" si="87">+D317</f>
        <v>0</v>
      </c>
      <c r="W317" s="306">
        <f>+M317</f>
        <v>0</v>
      </c>
      <c r="Y317" s="291">
        <f t="shared" si="84"/>
        <v>0</v>
      </c>
      <c r="Z317" s="304"/>
      <c r="AD317" s="225">
        <v>1994</v>
      </c>
      <c r="AE317" s="225">
        <v>55</v>
      </c>
      <c r="AF317" s="225"/>
      <c r="AG317" s="225">
        <v>1986</v>
      </c>
      <c r="AH317" s="225">
        <v>82</v>
      </c>
      <c r="AI317" s="225"/>
      <c r="AJ317" s="225">
        <v>2019</v>
      </c>
      <c r="AK317" s="225">
        <v>74</v>
      </c>
    </row>
    <row r="318" spans="1:37">
      <c r="A318" s="254">
        <f>A50</f>
        <v>2016</v>
      </c>
      <c r="B318" s="40"/>
      <c r="C318" s="253"/>
      <c r="D318" s="222"/>
      <c r="E318" s="222"/>
      <c r="F318" s="222"/>
      <c r="G318" s="222"/>
      <c r="H318" s="222"/>
      <c r="I318" s="222"/>
      <c r="J318" s="222"/>
      <c r="K318" s="222"/>
      <c r="L318" s="222"/>
      <c r="M318" s="222"/>
      <c r="O318" s="1">
        <f t="shared" si="81"/>
        <v>7</v>
      </c>
      <c r="Q318" s="304">
        <f t="shared" si="86"/>
        <v>0</v>
      </c>
      <c r="T318" s="304">
        <f t="shared" si="87"/>
        <v>0</v>
      </c>
      <c r="W318" s="306">
        <f>+M318</f>
        <v>0</v>
      </c>
      <c r="Y318" s="291">
        <f t="shared" si="84"/>
        <v>0</v>
      </c>
      <c r="Z318" s="304"/>
      <c r="AD318" s="225">
        <v>1998</v>
      </c>
      <c r="AE318" s="225">
        <v>55</v>
      </c>
      <c r="AF318" s="225"/>
      <c r="AG318" s="225">
        <v>1994</v>
      </c>
      <c r="AH318" s="225">
        <v>82</v>
      </c>
      <c r="AI318" s="225"/>
      <c r="AJ318" s="225">
        <v>1986</v>
      </c>
      <c r="AK318" s="225">
        <v>75</v>
      </c>
    </row>
    <row r="319" spans="1:37">
      <c r="A319" s="254">
        <f>A51</f>
        <v>2017</v>
      </c>
      <c r="B319" s="40"/>
      <c r="C319" s="222"/>
      <c r="D319" s="222"/>
      <c r="E319" s="222"/>
      <c r="F319" s="222"/>
      <c r="G319" s="222"/>
      <c r="H319" s="222"/>
      <c r="I319" s="222"/>
      <c r="J319" s="222"/>
      <c r="K319" s="222"/>
      <c r="L319" s="222"/>
      <c r="M319" s="253"/>
      <c r="O319" s="1">
        <f t="shared" si="81"/>
        <v>6</v>
      </c>
      <c r="Q319" s="304">
        <f t="shared" si="86"/>
        <v>0</v>
      </c>
      <c r="T319" s="304">
        <f t="shared" si="87"/>
        <v>0</v>
      </c>
      <c r="V319" s="330">
        <f>+M319</f>
        <v>0</v>
      </c>
      <c r="Z319" s="304">
        <f>+C319</f>
        <v>0</v>
      </c>
      <c r="AD319" s="225">
        <v>2021</v>
      </c>
      <c r="AE319" s="225">
        <v>56</v>
      </c>
      <c r="AF319" s="225"/>
      <c r="AG319" s="225">
        <v>2003</v>
      </c>
      <c r="AH319" s="225">
        <v>82</v>
      </c>
      <c r="AI319" s="225"/>
      <c r="AJ319" s="225">
        <v>2018</v>
      </c>
      <c r="AK319" s="225">
        <v>75</v>
      </c>
    </row>
    <row r="320" spans="1:37">
      <c r="A320" s="254">
        <f>A52</f>
        <v>2018</v>
      </c>
      <c r="B320" s="40"/>
      <c r="C320" s="222"/>
      <c r="D320" s="222"/>
      <c r="E320" s="222"/>
      <c r="F320" s="222"/>
      <c r="G320" s="222"/>
      <c r="H320" s="222"/>
      <c r="I320" s="222"/>
      <c r="J320" s="222"/>
      <c r="K320" s="222"/>
      <c r="L320" s="222"/>
      <c r="M320" s="222"/>
      <c r="O320" s="1">
        <f t="shared" si="81"/>
        <v>5</v>
      </c>
      <c r="Q320" s="304">
        <f t="shared" si="86"/>
        <v>0</v>
      </c>
      <c r="T320" s="304">
        <f t="shared" si="87"/>
        <v>0</v>
      </c>
      <c r="W320" s="306">
        <f>+M320</f>
        <v>0</v>
      </c>
      <c r="Z320" s="304">
        <f>+C320</f>
        <v>0</v>
      </c>
      <c r="AD320" s="225">
        <v>2006</v>
      </c>
      <c r="AE320" s="225">
        <v>57</v>
      </c>
      <c r="AF320" s="225"/>
      <c r="AG320" s="225">
        <v>2004</v>
      </c>
      <c r="AH320" s="225">
        <v>82</v>
      </c>
      <c r="AI320" s="225"/>
      <c r="AJ320" s="225">
        <v>2001</v>
      </c>
      <c r="AK320" s="225">
        <v>76</v>
      </c>
    </row>
    <row r="321" spans="1:38">
      <c r="A321" s="254">
        <f>A53</f>
        <v>2019</v>
      </c>
      <c r="B321" s="40"/>
      <c r="C321" s="222"/>
      <c r="D321" s="222"/>
      <c r="E321" s="222"/>
      <c r="F321" s="222"/>
      <c r="G321" s="222"/>
      <c r="H321" s="222"/>
      <c r="I321" s="222"/>
      <c r="J321" s="222"/>
      <c r="K321" s="222"/>
      <c r="L321" s="222"/>
      <c r="M321" s="222"/>
      <c r="O321" s="1">
        <f t="shared" si="81"/>
        <v>4</v>
      </c>
      <c r="Q321" s="304">
        <f t="shared" si="86"/>
        <v>0</v>
      </c>
      <c r="T321" s="304">
        <f t="shared" si="87"/>
        <v>0</v>
      </c>
      <c r="W321" s="306">
        <f>+M321</f>
        <v>0</v>
      </c>
      <c r="Z321" s="304">
        <f>+C321</f>
        <v>0</v>
      </c>
      <c r="AD321" s="225">
        <v>2015</v>
      </c>
      <c r="AE321" s="225">
        <v>57</v>
      </c>
      <c r="AF321" s="225"/>
      <c r="AG321" s="225">
        <v>1973</v>
      </c>
      <c r="AH321" s="225">
        <v>81</v>
      </c>
      <c r="AI321" s="225"/>
      <c r="AJ321" s="225">
        <v>2021</v>
      </c>
      <c r="AK321" s="225">
        <v>76</v>
      </c>
    </row>
    <row r="322" spans="1:38">
      <c r="A322" s="254">
        <f>A54</f>
        <v>2020</v>
      </c>
      <c r="B322" s="40"/>
      <c r="C322" s="222"/>
      <c r="D322" s="222"/>
      <c r="E322" s="222"/>
      <c r="F322" s="222"/>
      <c r="G322" s="222"/>
      <c r="H322" s="222"/>
      <c r="I322" s="222"/>
      <c r="J322" s="222"/>
      <c r="K322" s="222"/>
      <c r="L322" s="222"/>
      <c r="M322" s="253"/>
      <c r="O322" s="1">
        <f t="shared" si="81"/>
        <v>3</v>
      </c>
      <c r="Q322" s="304">
        <f t="shared" si="86"/>
        <v>0</v>
      </c>
      <c r="T322" s="304">
        <f t="shared" si="87"/>
        <v>0</v>
      </c>
      <c r="V322" s="291">
        <f>+M322</f>
        <v>0</v>
      </c>
      <c r="W322" s="306"/>
      <c r="Z322" s="304">
        <f>+C322</f>
        <v>0</v>
      </c>
      <c r="AD322" s="225">
        <v>1974</v>
      </c>
      <c r="AE322" s="225">
        <v>73</v>
      </c>
      <c r="AF322" s="225"/>
      <c r="AG322" s="225">
        <v>1974</v>
      </c>
      <c r="AH322" s="225">
        <v>81</v>
      </c>
      <c r="AI322" s="225"/>
      <c r="AJ322" s="225">
        <v>2015</v>
      </c>
      <c r="AK322" s="225">
        <v>77</v>
      </c>
    </row>
    <row r="323" spans="1:38">
      <c r="A323" s="254">
        <f>A55</f>
        <v>2021</v>
      </c>
      <c r="B323" s="40"/>
      <c r="C323" s="40"/>
      <c r="D323" s="222"/>
      <c r="E323" s="222"/>
      <c r="F323" s="222"/>
      <c r="G323" s="222"/>
      <c r="H323" s="222"/>
      <c r="I323" s="222"/>
      <c r="J323" s="222"/>
      <c r="K323" s="222"/>
      <c r="L323" s="222"/>
      <c r="M323" s="222"/>
      <c r="O323" s="1">
        <f t="shared" si="81"/>
        <v>2</v>
      </c>
      <c r="Q323" s="304">
        <f t="shared" si="86"/>
        <v>0</v>
      </c>
      <c r="T323" s="304">
        <f t="shared" si="87"/>
        <v>0</v>
      </c>
      <c r="W323" s="306">
        <f>+M323</f>
        <v>0</v>
      </c>
      <c r="Y323" s="291">
        <f>+C323</f>
        <v>0</v>
      </c>
      <c r="Z323" s="304"/>
      <c r="AD323" s="225">
        <v>2013</v>
      </c>
      <c r="AE323" s="225">
        <v>76</v>
      </c>
      <c r="AF323" s="225"/>
      <c r="AG323" s="225">
        <v>1979</v>
      </c>
      <c r="AH323" s="225">
        <v>81</v>
      </c>
      <c r="AI323" s="225"/>
      <c r="AJ323" s="225">
        <v>2016</v>
      </c>
      <c r="AK323" s="225">
        <v>77</v>
      </c>
    </row>
    <row r="324" spans="1:38" customFormat="1">
      <c r="A324" s="254">
        <f>A56</f>
        <v>2022</v>
      </c>
      <c r="B324" s="229"/>
      <c r="C324" s="229"/>
      <c r="D324" s="229"/>
      <c r="E324" s="229"/>
      <c r="F324" s="229"/>
      <c r="G324" s="229"/>
      <c r="H324" s="229"/>
      <c r="I324" s="229"/>
      <c r="J324" s="229"/>
      <c r="K324" s="229"/>
      <c r="L324" s="229"/>
      <c r="M324" s="229"/>
      <c r="O324" s="222">
        <v>1</v>
      </c>
      <c r="Q324" s="304">
        <f t="shared" si="86"/>
        <v>0</v>
      </c>
      <c r="T324" s="304">
        <f t="shared" si="87"/>
        <v>0</v>
      </c>
      <c r="V324" s="291">
        <f>+M324</f>
        <v>0</v>
      </c>
      <c r="Z324" s="304">
        <f>+C324</f>
        <v>0</v>
      </c>
      <c r="AD324" s="225">
        <v>2022</v>
      </c>
      <c r="AE324" s="229">
        <f>+B324</f>
        <v>0</v>
      </c>
      <c r="AG324" s="225">
        <v>2022</v>
      </c>
      <c r="AJ324" s="225">
        <v>2022</v>
      </c>
    </row>
    <row r="325" spans="1:38" customFormat="1">
      <c r="A325" s="254">
        <f>A57</f>
        <v>2023</v>
      </c>
      <c r="C325" s="229"/>
    </row>
    <row r="326" spans="1:38" customFormat="1"/>
    <row r="327" spans="1:38">
      <c r="B327" s="313" t="s">
        <v>4</v>
      </c>
      <c r="C327" s="313" t="s">
        <v>8</v>
      </c>
      <c r="D327" s="363" t="s">
        <v>9</v>
      </c>
      <c r="E327" s="363" t="s">
        <v>10</v>
      </c>
      <c r="F327" s="363" t="s">
        <v>11</v>
      </c>
      <c r="G327" s="363" t="s">
        <v>12</v>
      </c>
      <c r="H327" s="363" t="s">
        <v>13</v>
      </c>
      <c r="I327" s="363" t="s">
        <v>15</v>
      </c>
      <c r="J327" s="363" t="s">
        <v>16</v>
      </c>
      <c r="K327" s="363" t="s">
        <v>17</v>
      </c>
      <c r="L327" s="363" t="s">
        <v>18</v>
      </c>
      <c r="M327" s="363" t="s">
        <v>19</v>
      </c>
      <c r="P327" s="225" t="s">
        <v>91</v>
      </c>
      <c r="Q327" s="225" t="s">
        <v>93</v>
      </c>
      <c r="S327" s="225" t="s">
        <v>95</v>
      </c>
      <c r="T327" s="225" t="s">
        <v>97</v>
      </c>
      <c r="V327" s="225" t="s">
        <v>98</v>
      </c>
      <c r="W327" s="225" t="s">
        <v>99</v>
      </c>
      <c r="Y327" s="225" t="s">
        <v>315</v>
      </c>
      <c r="Z327" s="225" t="s">
        <v>316</v>
      </c>
      <c r="AD327" s="225"/>
      <c r="AE327" s="225"/>
      <c r="AF327" s="225"/>
      <c r="AG327" s="225"/>
      <c r="AH327" s="225"/>
      <c r="AI327" s="225"/>
      <c r="AJ327" s="225"/>
      <c r="AK327" s="225"/>
    </row>
    <row r="328" spans="1:38" ht="15.75">
      <c r="A328" s="1" t="s">
        <v>67</v>
      </c>
      <c r="B328" s="302" t="e">
        <f>AVERAGE(B295:B324)</f>
        <v>#DIV/0!</v>
      </c>
      <c r="C328" s="302" t="e">
        <f t="shared" ref="C328:M328" si="88">AVERAGE(C295:C324)</f>
        <v>#DIV/0!</v>
      </c>
      <c r="D328" s="302" t="e">
        <f t="shared" si="88"/>
        <v>#DIV/0!</v>
      </c>
      <c r="E328" s="302" t="e">
        <f t="shared" si="88"/>
        <v>#DIV/0!</v>
      </c>
      <c r="F328" s="302" t="e">
        <f t="shared" si="88"/>
        <v>#DIV/0!</v>
      </c>
      <c r="G328" s="302" t="e">
        <f t="shared" si="88"/>
        <v>#DIV/0!</v>
      </c>
      <c r="H328" s="302" t="e">
        <f t="shared" si="88"/>
        <v>#DIV/0!</v>
      </c>
      <c r="I328" s="302" t="e">
        <f t="shared" si="88"/>
        <v>#DIV/0!</v>
      </c>
      <c r="J328" s="302" t="e">
        <f t="shared" si="88"/>
        <v>#DIV/0!</v>
      </c>
      <c r="K328" s="302" t="e">
        <f t="shared" si="88"/>
        <v>#DIV/0!</v>
      </c>
      <c r="L328" s="302" t="e">
        <f t="shared" si="88"/>
        <v>#DIV/0!</v>
      </c>
      <c r="M328" s="302" t="e">
        <f t="shared" si="88"/>
        <v>#DIV/0!</v>
      </c>
      <c r="P328" s="302">
        <f>AVERAGE(P295:P324)</f>
        <v>0</v>
      </c>
      <c r="Q328" s="302">
        <f>AVERAGE(Q295:Q324)</f>
        <v>36.814814814814817</v>
      </c>
      <c r="R328" s="225" t="s">
        <v>67</v>
      </c>
      <c r="S328" s="302">
        <f>AVERAGE(S295:S324)</f>
        <v>25.3</v>
      </c>
      <c r="T328" s="302">
        <f>AVERAGE(T295:T324)</f>
        <v>33.25</v>
      </c>
      <c r="V328" s="302">
        <f>AVERAGE(V295:V324)</f>
        <v>20.235294117647058</v>
      </c>
      <c r="W328" s="302">
        <f>AVERAGE(W295:W324)</f>
        <v>27.46153846153846</v>
      </c>
      <c r="Y328" s="302">
        <f>AVERAGE(Y295:Y324)</f>
        <v>0</v>
      </c>
      <c r="Z328" s="302">
        <f>AVERAGE(Z295:Z324)</f>
        <v>0</v>
      </c>
      <c r="AD328" s="225"/>
      <c r="AE328" s="313" t="s">
        <v>4</v>
      </c>
      <c r="AF328" s="225"/>
      <c r="AG328" s="225"/>
      <c r="AH328" s="313" t="s">
        <v>15</v>
      </c>
      <c r="AI328" s="225"/>
      <c r="AJ328" s="225"/>
      <c r="AK328" s="313" t="s">
        <v>320</v>
      </c>
    </row>
    <row r="329" spans="1:38" ht="15.75">
      <c r="A329" s="412" t="s">
        <v>69</v>
      </c>
      <c r="B329" s="416" t="e">
        <f t="shared" ref="B329:M329" si="89">AVERAGE(B305:B324)</f>
        <v>#DIV/0!</v>
      </c>
      <c r="C329" s="416" t="e">
        <f t="shared" si="89"/>
        <v>#DIV/0!</v>
      </c>
      <c r="D329" s="416" t="e">
        <f t="shared" si="89"/>
        <v>#DIV/0!</v>
      </c>
      <c r="E329" s="416" t="e">
        <f t="shared" si="89"/>
        <v>#DIV/0!</v>
      </c>
      <c r="F329" s="416" t="e">
        <f t="shared" si="89"/>
        <v>#DIV/0!</v>
      </c>
      <c r="G329" s="416" t="e">
        <f t="shared" si="89"/>
        <v>#DIV/0!</v>
      </c>
      <c r="H329" s="416" t="e">
        <f t="shared" si="89"/>
        <v>#DIV/0!</v>
      </c>
      <c r="I329" s="416" t="e">
        <f t="shared" si="89"/>
        <v>#DIV/0!</v>
      </c>
      <c r="J329" s="416" t="e">
        <f t="shared" si="89"/>
        <v>#DIV/0!</v>
      </c>
      <c r="K329" s="416" t="e">
        <f t="shared" si="89"/>
        <v>#DIV/0!</v>
      </c>
      <c r="L329" s="416" t="e">
        <f t="shared" si="89"/>
        <v>#DIV/0!</v>
      </c>
      <c r="M329" s="416" t="e">
        <f t="shared" si="89"/>
        <v>#DIV/0!</v>
      </c>
      <c r="N329" s="412"/>
      <c r="O329" s="412"/>
      <c r="P329" s="416">
        <f>AVERAGE(P305:P324)</f>
        <v>0</v>
      </c>
      <c r="Q329" s="416">
        <f>AVERAGE(Q305:Q324)</f>
        <v>44.263157894736842</v>
      </c>
      <c r="R329" s="413" t="s">
        <v>69</v>
      </c>
      <c r="S329" s="416">
        <f>AVERAGE(S305:S324)</f>
        <v>50.75</v>
      </c>
      <c r="T329" s="416">
        <f>AVERAGE(T305:T324)</f>
        <v>37.125</v>
      </c>
      <c r="U329" s="413"/>
      <c r="V329" s="416">
        <f>AVERAGE(V305:V324)</f>
        <v>34.4</v>
      </c>
      <c r="W329" s="416">
        <f>AVERAGE(W305:W324)</f>
        <v>35.700000000000003</v>
      </c>
      <c r="X329" s="413"/>
      <c r="Y329" s="416">
        <f>AVERAGE(Y305:Y324)</f>
        <v>0</v>
      </c>
      <c r="Z329" s="416">
        <f>AVERAGE(Z305:Z324)</f>
        <v>0</v>
      </c>
      <c r="AD329" s="225"/>
      <c r="AE329" s="225">
        <f>MEDIAN(AE275:AE323)</f>
        <v>48</v>
      </c>
      <c r="AF329" s="225" t="s">
        <v>281</v>
      </c>
      <c r="AG329" s="225"/>
      <c r="AH329" s="225">
        <f>MEDIAN(AH275:AH323)</f>
        <v>84</v>
      </c>
      <c r="AI329" s="225" t="s">
        <v>281</v>
      </c>
      <c r="AJ329" s="225"/>
      <c r="AK329" s="225">
        <f>MEDIAN(AK275:AK323)</f>
        <v>52</v>
      </c>
      <c r="AL329" s="1" t="s">
        <v>281</v>
      </c>
    </row>
    <row r="330" spans="1:38" ht="15.75">
      <c r="A330" s="354" t="s">
        <v>68</v>
      </c>
      <c r="B330" s="356" t="e">
        <f t="shared" ref="B330:M330" si="90">AVERAGE(B315:B324)</f>
        <v>#DIV/0!</v>
      </c>
      <c r="C330" s="356" t="e">
        <f t="shared" si="90"/>
        <v>#DIV/0!</v>
      </c>
      <c r="D330" s="356" t="e">
        <f t="shared" si="90"/>
        <v>#DIV/0!</v>
      </c>
      <c r="E330" s="356" t="e">
        <f t="shared" si="90"/>
        <v>#DIV/0!</v>
      </c>
      <c r="F330" s="356" t="e">
        <f t="shared" si="90"/>
        <v>#DIV/0!</v>
      </c>
      <c r="G330" s="356" t="e">
        <f t="shared" si="90"/>
        <v>#DIV/0!</v>
      </c>
      <c r="H330" s="356" t="e">
        <f t="shared" si="90"/>
        <v>#DIV/0!</v>
      </c>
      <c r="I330" s="356" t="e">
        <f t="shared" si="90"/>
        <v>#DIV/0!</v>
      </c>
      <c r="J330" s="356" t="e">
        <f t="shared" si="90"/>
        <v>#DIV/0!</v>
      </c>
      <c r="K330" s="356" t="e">
        <f t="shared" si="90"/>
        <v>#DIV/0!</v>
      </c>
      <c r="L330" s="356" t="e">
        <f t="shared" si="90"/>
        <v>#DIV/0!</v>
      </c>
      <c r="M330" s="356" t="e">
        <f t="shared" si="90"/>
        <v>#DIV/0!</v>
      </c>
      <c r="N330" s="354"/>
      <c r="O330" s="354"/>
      <c r="P330" s="356">
        <f>AVERAGE(P315:P324)</f>
        <v>0</v>
      </c>
      <c r="Q330" s="356">
        <f>AVERAGE(Q315:Q324)</f>
        <v>8.6666666666666661</v>
      </c>
      <c r="R330" s="357" t="s">
        <v>68</v>
      </c>
      <c r="S330" s="356">
        <f>AVERAGE(S315:S324)</f>
        <v>52</v>
      </c>
      <c r="T330" s="356">
        <f>AVERAGE(T315:T324)</f>
        <v>8</v>
      </c>
      <c r="U330" s="357"/>
      <c r="V330" s="356">
        <f>AVERAGE(V315:V324)</f>
        <v>13.75</v>
      </c>
      <c r="W330" s="356">
        <f>AVERAGE(W315:W324)</f>
        <v>11.833333333333334</v>
      </c>
      <c r="X330" s="357"/>
      <c r="Y330" s="356">
        <f>AVERAGE(Y315:Y324)</f>
        <v>0</v>
      </c>
      <c r="Z330" s="356">
        <f>AVERAGE(Z315:Z324)</f>
        <v>0</v>
      </c>
      <c r="AD330" s="225"/>
      <c r="AE330" s="225">
        <f>MODE(AE275:AE323)</f>
        <v>48</v>
      </c>
      <c r="AF330" s="225" t="s">
        <v>282</v>
      </c>
      <c r="AG330" s="225"/>
      <c r="AH330" s="225">
        <f>MODE(AH275:AH323)</f>
        <v>86</v>
      </c>
      <c r="AI330" s="225" t="s">
        <v>282</v>
      </c>
      <c r="AJ330" s="225"/>
      <c r="AK330" s="225">
        <f>MODE(AK275:AK323)</f>
        <v>47</v>
      </c>
      <c r="AL330" s="1" t="s">
        <v>282</v>
      </c>
    </row>
    <row r="331" spans="1:38" ht="15.75">
      <c r="A331" s="1" t="s">
        <v>309</v>
      </c>
      <c r="B331" s="302" t="e">
        <f t="shared" ref="B331:M331" si="91">AVERAGE(B320:B324)</f>
        <v>#DIV/0!</v>
      </c>
      <c r="C331" s="302" t="e">
        <f t="shared" si="91"/>
        <v>#DIV/0!</v>
      </c>
      <c r="D331" s="302" t="e">
        <f t="shared" si="91"/>
        <v>#DIV/0!</v>
      </c>
      <c r="E331" s="302" t="e">
        <f t="shared" si="91"/>
        <v>#DIV/0!</v>
      </c>
      <c r="F331" s="302" t="e">
        <f t="shared" si="91"/>
        <v>#DIV/0!</v>
      </c>
      <c r="G331" s="302" t="e">
        <f t="shared" si="91"/>
        <v>#DIV/0!</v>
      </c>
      <c r="H331" s="302" t="e">
        <f t="shared" si="91"/>
        <v>#DIV/0!</v>
      </c>
      <c r="I331" s="302" t="e">
        <f t="shared" si="91"/>
        <v>#DIV/0!</v>
      </c>
      <c r="J331" s="302" t="e">
        <f t="shared" si="91"/>
        <v>#DIV/0!</v>
      </c>
      <c r="K331" s="302" t="e">
        <f t="shared" si="91"/>
        <v>#DIV/0!</v>
      </c>
      <c r="L331" s="302" t="e">
        <f t="shared" si="91"/>
        <v>#DIV/0!</v>
      </c>
      <c r="M331" s="302" t="e">
        <f t="shared" si="91"/>
        <v>#DIV/0!</v>
      </c>
      <c r="P331" s="302"/>
      <c r="Q331" s="302">
        <f>AVERAGE(Q320:Q324)</f>
        <v>0</v>
      </c>
      <c r="R331" s="225" t="s">
        <v>309</v>
      </c>
      <c r="S331" s="302"/>
      <c r="T331" s="302">
        <f>AVERAGE(T320:T324)</f>
        <v>0</v>
      </c>
      <c r="V331" s="302">
        <f>AVERAGE(V320:V324)</f>
        <v>0</v>
      </c>
      <c r="W331" s="302">
        <f>AVERAGE(W320:W324)</f>
        <v>0</v>
      </c>
      <c r="Y331" s="302">
        <f>AVERAGE(Y320:Y324)</f>
        <v>0</v>
      </c>
      <c r="Z331" s="302">
        <f>AVERAGE(Z320:Z324)</f>
        <v>0</v>
      </c>
      <c r="AD331" s="225"/>
      <c r="AE331" s="291">
        <f>AVERAGE(AE275:AE323)</f>
        <v>48.224489795918366</v>
      </c>
      <c r="AF331" s="225" t="s">
        <v>283</v>
      </c>
      <c r="AG331" s="225"/>
      <c r="AH331" s="291">
        <f>AVERAGE(AH275:AH323)</f>
        <v>84.224489795918373</v>
      </c>
      <c r="AI331" s="225" t="s">
        <v>283</v>
      </c>
      <c r="AJ331" s="225"/>
      <c r="AK331" s="291">
        <f>AVERAGE(AK275:AK323)</f>
        <v>55.028911564625858</v>
      </c>
      <c r="AL331" s="1" t="s">
        <v>283</v>
      </c>
    </row>
    <row r="332" spans="1:38">
      <c r="A332" s="1" t="s">
        <v>266</v>
      </c>
      <c r="B332" s="291" t="e">
        <f>AVERAGE(B275:B324)</f>
        <v>#DIV/0!</v>
      </c>
      <c r="C332" s="291" t="e">
        <f t="shared" ref="C332:M332" si="92">AVERAGE(C275:C324)</f>
        <v>#DIV/0!</v>
      </c>
      <c r="D332" s="291" t="e">
        <f t="shared" si="92"/>
        <v>#DIV/0!</v>
      </c>
      <c r="E332" s="291" t="e">
        <f t="shared" si="92"/>
        <v>#DIV/0!</v>
      </c>
      <c r="F332" s="291" t="e">
        <f t="shared" si="92"/>
        <v>#DIV/0!</v>
      </c>
      <c r="G332" s="291" t="e">
        <f t="shared" si="92"/>
        <v>#DIV/0!</v>
      </c>
      <c r="H332" s="291" t="e">
        <f t="shared" si="92"/>
        <v>#DIV/0!</v>
      </c>
      <c r="I332" s="291" t="e">
        <f t="shared" si="92"/>
        <v>#DIV/0!</v>
      </c>
      <c r="J332" s="291" t="e">
        <f t="shared" si="92"/>
        <v>#DIV/0!</v>
      </c>
      <c r="K332" s="291" t="e">
        <f t="shared" si="92"/>
        <v>#DIV/0!</v>
      </c>
      <c r="L332" s="291" t="e">
        <f t="shared" si="92"/>
        <v>#DIV/0!</v>
      </c>
      <c r="M332" s="291" t="e">
        <f t="shared" si="92"/>
        <v>#DIV/0!</v>
      </c>
      <c r="P332" s="291">
        <f>AVERAGE(P275:P324)</f>
        <v>0</v>
      </c>
      <c r="Q332" s="291">
        <f>AVERAGE(Q275:Q324)</f>
        <v>23.666666666666668</v>
      </c>
      <c r="R332" s="225" t="s">
        <v>266</v>
      </c>
      <c r="S332" s="291">
        <f>AVERAGE(S275:S324)</f>
        <v>12.65</v>
      </c>
      <c r="T332" s="291">
        <f>AVERAGE(T275:T324)</f>
        <v>22.166666666666668</v>
      </c>
      <c r="V332" s="291">
        <f>AVERAGE(V275:V324)</f>
        <v>10.75</v>
      </c>
      <c r="W332" s="291">
        <f>AVERAGE(W275:W324)</f>
        <v>19.833333333333332</v>
      </c>
      <c r="Y332" s="291">
        <f>AVERAGE(Y275:Y324)</f>
        <v>0</v>
      </c>
      <c r="Z332" s="291">
        <f>AVERAGE(Z275:Z324)</f>
        <v>0</v>
      </c>
      <c r="AD332" s="225"/>
      <c r="AE332" s="349">
        <f>AVERAGE(AE275:AE294)</f>
        <v>41.55</v>
      </c>
      <c r="AF332" s="225" t="s">
        <v>284</v>
      </c>
      <c r="AG332" s="225"/>
      <c r="AH332" s="364">
        <f>AVERAGE(AH275:AH294)</f>
        <v>85.95</v>
      </c>
      <c r="AI332" s="225" t="s">
        <v>284</v>
      </c>
      <c r="AJ332" s="225"/>
      <c r="AK332" s="364">
        <f>AVERAGE(AK275:AK294)</f>
        <v>44.3</v>
      </c>
      <c r="AL332" s="1" t="s">
        <v>284</v>
      </c>
    </row>
    <row r="333" spans="1:38">
      <c r="B333" s="291"/>
      <c r="C333" s="291"/>
      <c r="D333" s="291"/>
      <c r="E333" s="291"/>
      <c r="F333" s="291"/>
      <c r="G333" s="291"/>
      <c r="H333" s="291"/>
      <c r="I333" s="291"/>
      <c r="J333" s="291"/>
      <c r="K333" s="291"/>
      <c r="L333" s="291"/>
      <c r="M333" s="291"/>
      <c r="P333" s="291"/>
      <c r="Q333" s="291"/>
      <c r="S333" s="291"/>
      <c r="T333" s="291"/>
      <c r="V333" s="291"/>
      <c r="W333" s="291"/>
      <c r="Y333" s="291"/>
      <c r="Z333" s="291"/>
      <c r="AD333" s="225"/>
      <c r="AE333" s="349"/>
      <c r="AF333" s="225"/>
      <c r="AG333" s="225"/>
      <c r="AH333" s="364"/>
      <c r="AI333" s="225"/>
      <c r="AJ333" s="225"/>
      <c r="AK333" s="364"/>
    </row>
    <row r="334" spans="1:38" ht="15.75">
      <c r="A334" s="410" t="s">
        <v>279</v>
      </c>
      <c r="B334" s="417">
        <f>ROUND(AE332,0)</f>
        <v>42</v>
      </c>
      <c r="C334" s="417">
        <f>ROUND(Y329,0)</f>
        <v>0</v>
      </c>
      <c r="D334" s="417">
        <f>ROUND(S329,0)</f>
        <v>51</v>
      </c>
      <c r="E334" s="417" t="e">
        <f>ROUND(E329,0)</f>
        <v>#DIV/0!</v>
      </c>
      <c r="F334" s="417" t="e">
        <f t="shared" ref="F334:K334" si="93">ROUND(F329,0)</f>
        <v>#DIV/0!</v>
      </c>
      <c r="G334" s="417" t="e">
        <f t="shared" si="93"/>
        <v>#DIV/0!</v>
      </c>
      <c r="H334" s="417" t="e">
        <f t="shared" si="93"/>
        <v>#DIV/0!</v>
      </c>
      <c r="I334" s="417">
        <f>ROUND(AH332,0)</f>
        <v>86</v>
      </c>
      <c r="J334" s="417" t="e">
        <f t="shared" si="93"/>
        <v>#DIV/0!</v>
      </c>
      <c r="K334" s="417" t="e">
        <f t="shared" si="93"/>
        <v>#DIV/0!</v>
      </c>
      <c r="L334" s="417">
        <f>ROUND(Q329,0)</f>
        <v>44</v>
      </c>
      <c r="M334" s="417">
        <f>ROUND(+AK332,0)</f>
        <v>44</v>
      </c>
      <c r="P334" s="342">
        <f>+P329</f>
        <v>0</v>
      </c>
      <c r="Q334" s="343">
        <f>+Q329</f>
        <v>44.263157894736842</v>
      </c>
      <c r="R334" s="341"/>
      <c r="S334" s="343">
        <f>+S329</f>
        <v>50.75</v>
      </c>
      <c r="T334" s="342">
        <f>+T329</f>
        <v>37.125</v>
      </c>
      <c r="V334" s="343">
        <f>+V329</f>
        <v>34.4</v>
      </c>
      <c r="W334" s="342">
        <f>+W329</f>
        <v>35.700000000000003</v>
      </c>
      <c r="Y334" s="343">
        <f>+Y329</f>
        <v>0</v>
      </c>
      <c r="Z334" s="342">
        <f>+Z329</f>
        <v>0</v>
      </c>
      <c r="AA334" s="1"/>
      <c r="AD334" s="225"/>
      <c r="AE334" s="225"/>
      <c r="AF334" s="225"/>
      <c r="AG334" s="225"/>
      <c r="AH334" s="225"/>
      <c r="AI334" s="225"/>
      <c r="AJ334" s="225"/>
      <c r="AK334" s="225"/>
    </row>
    <row r="335" spans="1:38">
      <c r="A335" s="1" t="s">
        <v>70</v>
      </c>
      <c r="B335" s="68" t="e">
        <f>IF(B329&lt;65,65-B329,0)</f>
        <v>#DIV/0!</v>
      </c>
      <c r="C335" s="68" t="e">
        <f t="shared" ref="C335:M335" si="94">IF(C329&lt;65,65-C329,0)</f>
        <v>#DIV/0!</v>
      </c>
      <c r="D335" s="68" t="e">
        <f t="shared" si="94"/>
        <v>#DIV/0!</v>
      </c>
      <c r="E335" s="68" t="e">
        <f t="shared" si="94"/>
        <v>#DIV/0!</v>
      </c>
      <c r="F335" s="68" t="e">
        <f t="shared" si="94"/>
        <v>#DIV/0!</v>
      </c>
      <c r="G335" s="68" t="e">
        <f t="shared" si="94"/>
        <v>#DIV/0!</v>
      </c>
      <c r="H335" s="68" t="e">
        <f t="shared" si="94"/>
        <v>#DIV/0!</v>
      </c>
      <c r="I335" s="68" t="e">
        <f t="shared" si="94"/>
        <v>#DIV/0!</v>
      </c>
      <c r="J335" s="68" t="e">
        <f t="shared" si="94"/>
        <v>#DIV/0!</v>
      </c>
      <c r="K335" s="68" t="e">
        <f t="shared" si="94"/>
        <v>#DIV/0!</v>
      </c>
      <c r="L335" s="68" t="e">
        <f t="shared" si="94"/>
        <v>#DIV/0!</v>
      </c>
      <c r="M335" s="68" t="e">
        <f t="shared" si="94"/>
        <v>#DIV/0!</v>
      </c>
      <c r="P335" s="341"/>
      <c r="Q335" s="341"/>
      <c r="S335" s="341"/>
      <c r="T335" s="341"/>
    </row>
    <row r="336" spans="1:38">
      <c r="A336" s="1" t="s">
        <v>71</v>
      </c>
      <c r="B336" s="68" t="e">
        <f>IF(B329&gt;=65,B329-65,0)</f>
        <v>#DIV/0!</v>
      </c>
      <c r="C336" s="68" t="e">
        <f t="shared" ref="C336:M336" si="95">IF(C329&gt;=65,C329-65,0)</f>
        <v>#DIV/0!</v>
      </c>
      <c r="D336" s="68" t="e">
        <f t="shared" si="95"/>
        <v>#DIV/0!</v>
      </c>
      <c r="E336" s="68" t="e">
        <f t="shared" si="95"/>
        <v>#DIV/0!</v>
      </c>
      <c r="F336" s="68" t="e">
        <f t="shared" si="95"/>
        <v>#DIV/0!</v>
      </c>
      <c r="G336" s="68" t="e">
        <f t="shared" si="95"/>
        <v>#DIV/0!</v>
      </c>
      <c r="H336" s="68" t="e">
        <f t="shared" si="95"/>
        <v>#DIV/0!</v>
      </c>
      <c r="I336" s="68" t="e">
        <f t="shared" si="95"/>
        <v>#DIV/0!</v>
      </c>
      <c r="J336" s="68" t="e">
        <f t="shared" si="95"/>
        <v>#DIV/0!</v>
      </c>
      <c r="K336" s="68" t="e">
        <f t="shared" si="95"/>
        <v>#DIV/0!</v>
      </c>
      <c r="L336" s="68" t="e">
        <f t="shared" si="95"/>
        <v>#DIV/0!</v>
      </c>
      <c r="M336" s="68" t="e">
        <f t="shared" si="95"/>
        <v>#DIV/0!</v>
      </c>
      <c r="P336" s="341"/>
      <c r="Q336" s="341"/>
      <c r="S336" s="341"/>
      <c r="T336" s="341"/>
    </row>
    <row r="337" spans="1:23">
      <c r="A337" s="283" t="s">
        <v>298</v>
      </c>
      <c r="B337" s="284" t="e">
        <f>AVERAGE(B320,B319,B318,B317,B316,B314,B313,B312,B311,B310,B309,B308,B307,B306,B305,B304,B303,B302,B323,B324)</f>
        <v>#DIV/0!</v>
      </c>
      <c r="C337" s="284" t="e">
        <f>AVERAGE(C317,C316,C315,C314,C313,C312,C311,C310,C309,C308,C307,C306,C305,C304,C303,C302,C301,C300,C299,C323)</f>
        <v>#DIV/0!</v>
      </c>
      <c r="D337" s="284">
        <f>+S329</f>
        <v>50.75</v>
      </c>
      <c r="E337" s="284" t="e">
        <f>+E329</f>
        <v>#DIV/0!</v>
      </c>
      <c r="F337" s="284" t="e">
        <f t="shared" ref="F337:K337" si="96">+F329</f>
        <v>#DIV/0!</v>
      </c>
      <c r="G337" s="284" t="e">
        <f t="shared" si="96"/>
        <v>#DIV/0!</v>
      </c>
      <c r="H337" s="284" t="e">
        <f t="shared" si="96"/>
        <v>#DIV/0!</v>
      </c>
      <c r="I337" s="284" t="e">
        <f t="shared" si="96"/>
        <v>#DIV/0!</v>
      </c>
      <c r="J337" s="284" t="e">
        <f t="shared" si="96"/>
        <v>#DIV/0!</v>
      </c>
      <c r="K337" s="284" t="e">
        <f t="shared" si="96"/>
        <v>#DIV/0!</v>
      </c>
      <c r="L337" s="284">
        <f>+Q329</f>
        <v>44.263157894736842</v>
      </c>
      <c r="M337" s="284">
        <f>+V329</f>
        <v>34.4</v>
      </c>
    </row>
    <row r="338" spans="1:23">
      <c r="A338" s="285"/>
      <c r="B338" s="284" t="e">
        <f>+B337-B334</f>
        <v>#DIV/0!</v>
      </c>
      <c r="C338" s="284" t="e">
        <f t="shared" ref="C338:M338" si="97">+C337-C334</f>
        <v>#DIV/0!</v>
      </c>
      <c r="D338" s="284">
        <f t="shared" si="97"/>
        <v>-0.25</v>
      </c>
      <c r="E338" s="284" t="e">
        <f t="shared" si="97"/>
        <v>#DIV/0!</v>
      </c>
      <c r="F338" s="284" t="e">
        <f t="shared" si="97"/>
        <v>#DIV/0!</v>
      </c>
      <c r="G338" s="284" t="e">
        <f t="shared" si="97"/>
        <v>#DIV/0!</v>
      </c>
      <c r="H338" s="284" t="e">
        <f t="shared" si="97"/>
        <v>#DIV/0!</v>
      </c>
      <c r="I338" s="284" t="e">
        <f t="shared" si="97"/>
        <v>#DIV/0!</v>
      </c>
      <c r="J338" s="284" t="e">
        <f t="shared" si="97"/>
        <v>#DIV/0!</v>
      </c>
      <c r="K338" s="284" t="e">
        <f t="shared" si="97"/>
        <v>#DIV/0!</v>
      </c>
      <c r="L338" s="284">
        <f t="shared" si="97"/>
        <v>0.26315789473684248</v>
      </c>
      <c r="M338" s="284">
        <f t="shared" si="97"/>
        <v>-9.6000000000000014</v>
      </c>
      <c r="P338" s="291"/>
      <c r="Q338" s="291"/>
      <c r="S338" s="291"/>
      <c r="T338" s="291"/>
      <c r="V338" s="291"/>
      <c r="W338" s="291"/>
    </row>
    <row r="339" spans="1:23"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P339" s="291"/>
      <c r="Q339" s="291"/>
      <c r="S339" s="291"/>
      <c r="T339" s="291"/>
      <c r="V339" s="291"/>
      <c r="W339" s="291"/>
    </row>
    <row r="340" spans="1:23">
      <c r="B340" s="33">
        <v>65</v>
      </c>
      <c r="C340" s="1" t="s">
        <v>78</v>
      </c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P340" s="291"/>
      <c r="Q340" s="291"/>
      <c r="S340" s="291"/>
      <c r="T340" s="291"/>
      <c r="V340" s="291"/>
      <c r="W340" s="291"/>
    </row>
    <row r="341" spans="1:23">
      <c r="B341" s="89">
        <v>65</v>
      </c>
      <c r="C341" s="1" t="s">
        <v>79</v>
      </c>
    </row>
    <row r="342" spans="1:23">
      <c r="B342" s="326"/>
      <c r="C342" s="1" t="s">
        <v>80</v>
      </c>
    </row>
    <row r="343" spans="1:23">
      <c r="B343" s="34">
        <v>65</v>
      </c>
      <c r="C343" s="1" t="s">
        <v>81</v>
      </c>
    </row>
    <row r="345" spans="1:23">
      <c r="B345" s="1" t="s">
        <v>76</v>
      </c>
    </row>
    <row r="346" spans="1:23">
      <c r="B346" s="165" t="s">
        <v>4</v>
      </c>
      <c r="C346" s="165" t="s">
        <v>8</v>
      </c>
      <c r="D346" s="165" t="s">
        <v>9</v>
      </c>
      <c r="E346" s="165" t="s">
        <v>10</v>
      </c>
      <c r="F346" s="165" t="s">
        <v>11</v>
      </c>
      <c r="G346" s="165" t="s">
        <v>12</v>
      </c>
      <c r="H346" s="165" t="s">
        <v>13</v>
      </c>
      <c r="I346" s="165" t="s">
        <v>15</v>
      </c>
      <c r="J346" s="165" t="s">
        <v>16</v>
      </c>
      <c r="K346" s="165" t="s">
        <v>17</v>
      </c>
      <c r="L346" s="165" t="s">
        <v>18</v>
      </c>
      <c r="M346" s="165" t="s">
        <v>19</v>
      </c>
      <c r="Q346" s="225" t="s">
        <v>91</v>
      </c>
      <c r="R346" s="225" t="s">
        <v>93</v>
      </c>
      <c r="T346" s="225" t="s">
        <v>95</v>
      </c>
      <c r="U346" s="225" t="s">
        <v>97</v>
      </c>
    </row>
    <row r="347" spans="1:23">
      <c r="A347" s="1">
        <f>A7</f>
        <v>1973</v>
      </c>
      <c r="B347" s="327">
        <f>IF(B275&lt;=65,65-B275," ")</f>
        <v>65</v>
      </c>
      <c r="C347" s="328">
        <f t="shared" ref="C347:M347" si="98">IF(C275&lt;=65,65-C275," ")</f>
        <v>65</v>
      </c>
      <c r="D347" s="222">
        <f t="shared" si="98"/>
        <v>65</v>
      </c>
      <c r="E347" s="222">
        <f t="shared" si="98"/>
        <v>65</v>
      </c>
      <c r="F347" s="222">
        <f t="shared" si="98"/>
        <v>65</v>
      </c>
      <c r="G347" s="222">
        <f t="shared" si="98"/>
        <v>65</v>
      </c>
      <c r="H347" s="222">
        <f t="shared" si="98"/>
        <v>65</v>
      </c>
      <c r="I347" s="222">
        <f t="shared" si="98"/>
        <v>65</v>
      </c>
      <c r="J347" s="222">
        <f t="shared" si="98"/>
        <v>65</v>
      </c>
      <c r="K347" s="222">
        <f t="shared" si="98"/>
        <v>65</v>
      </c>
      <c r="L347" s="222">
        <f t="shared" si="98"/>
        <v>65</v>
      </c>
      <c r="M347" s="328">
        <f t="shared" si="98"/>
        <v>65</v>
      </c>
      <c r="O347" s="1">
        <f t="shared" ref="O347:O392" si="99">+O348+1</f>
        <v>47</v>
      </c>
      <c r="P347" s="345"/>
      <c r="R347" s="291"/>
      <c r="S347" s="345">
        <f>+D123</f>
        <v>1925</v>
      </c>
    </row>
    <row r="348" spans="1:23">
      <c r="A348" s="1">
        <f>A8</f>
        <v>1974</v>
      </c>
      <c r="B348" s="344">
        <f t="shared" ref="B348:M363" si="100">IF(B276&lt;=65,65-B276," ")</f>
        <v>65</v>
      </c>
      <c r="C348" s="166">
        <f t="shared" si="100"/>
        <v>65</v>
      </c>
      <c r="D348" s="222">
        <f t="shared" si="100"/>
        <v>65</v>
      </c>
      <c r="E348" s="222">
        <f t="shared" si="100"/>
        <v>65</v>
      </c>
      <c r="F348" s="222">
        <f t="shared" si="100"/>
        <v>65</v>
      </c>
      <c r="G348" s="222">
        <f t="shared" si="100"/>
        <v>65</v>
      </c>
      <c r="H348" s="222">
        <f t="shared" si="100"/>
        <v>65</v>
      </c>
      <c r="I348" s="222">
        <f t="shared" si="100"/>
        <v>65</v>
      </c>
      <c r="J348" s="222">
        <f t="shared" si="100"/>
        <v>65</v>
      </c>
      <c r="K348" s="222">
        <f t="shared" si="100"/>
        <v>65</v>
      </c>
      <c r="L348" s="222">
        <f t="shared" si="100"/>
        <v>65</v>
      </c>
      <c r="M348" s="166">
        <f t="shared" si="100"/>
        <v>65</v>
      </c>
      <c r="O348" s="1">
        <f t="shared" si="99"/>
        <v>46</v>
      </c>
      <c r="P348" s="345"/>
      <c r="R348" s="291"/>
      <c r="S348" s="345">
        <f>+D124</f>
        <v>1710</v>
      </c>
    </row>
    <row r="349" spans="1:23">
      <c r="A349" s="1">
        <f>A9</f>
        <v>1975</v>
      </c>
      <c r="B349" s="331">
        <f t="shared" si="100"/>
        <v>65</v>
      </c>
      <c r="C349" s="166">
        <f t="shared" si="100"/>
        <v>65</v>
      </c>
      <c r="D349" s="166">
        <f t="shared" si="100"/>
        <v>65</v>
      </c>
      <c r="E349" s="222">
        <f t="shared" si="100"/>
        <v>65</v>
      </c>
      <c r="F349" s="222">
        <f t="shared" si="100"/>
        <v>65</v>
      </c>
      <c r="G349" s="222">
        <f t="shared" si="100"/>
        <v>65</v>
      </c>
      <c r="H349" s="222">
        <f t="shared" si="100"/>
        <v>65</v>
      </c>
      <c r="I349" s="222">
        <f t="shared" si="100"/>
        <v>65</v>
      </c>
      <c r="J349" s="222">
        <f t="shared" si="100"/>
        <v>65</v>
      </c>
      <c r="K349" s="222">
        <f t="shared" si="100"/>
        <v>65</v>
      </c>
      <c r="L349" s="166">
        <f t="shared" si="100"/>
        <v>65</v>
      </c>
      <c r="M349" s="332">
        <f t="shared" si="100"/>
        <v>65</v>
      </c>
      <c r="O349" s="1">
        <f t="shared" si="99"/>
        <v>45</v>
      </c>
      <c r="P349" s="345"/>
      <c r="Q349" s="225">
        <f>L349</f>
        <v>65</v>
      </c>
      <c r="S349" s="345">
        <f>+D125</f>
        <v>722</v>
      </c>
      <c r="T349" s="225">
        <f>D349</f>
        <v>65</v>
      </c>
    </row>
    <row r="350" spans="1:23">
      <c r="A350" s="1">
        <f>A10</f>
        <v>1976</v>
      </c>
      <c r="B350" s="331">
        <f t="shared" si="100"/>
        <v>65</v>
      </c>
      <c r="C350" s="166">
        <f t="shared" si="100"/>
        <v>65</v>
      </c>
      <c r="D350" s="222">
        <f t="shared" si="100"/>
        <v>65</v>
      </c>
      <c r="E350" s="222">
        <f t="shared" si="100"/>
        <v>65</v>
      </c>
      <c r="F350" s="222">
        <f t="shared" si="100"/>
        <v>65</v>
      </c>
      <c r="G350" s="222">
        <f t="shared" si="100"/>
        <v>65</v>
      </c>
      <c r="H350" s="222">
        <f t="shared" si="100"/>
        <v>65</v>
      </c>
      <c r="I350" s="222">
        <f t="shared" si="100"/>
        <v>65</v>
      </c>
      <c r="J350" s="222">
        <f t="shared" si="100"/>
        <v>65</v>
      </c>
      <c r="K350" s="222">
        <f t="shared" si="100"/>
        <v>65</v>
      </c>
      <c r="L350" s="332">
        <f t="shared" si="100"/>
        <v>65</v>
      </c>
      <c r="M350" s="166">
        <f t="shared" si="100"/>
        <v>65</v>
      </c>
      <c r="O350" s="1">
        <f t="shared" si="99"/>
        <v>44</v>
      </c>
      <c r="P350" s="345"/>
      <c r="R350" s="291">
        <f>L350</f>
        <v>65</v>
      </c>
      <c r="S350" s="345">
        <f>+D126</f>
        <v>1906</v>
      </c>
    </row>
    <row r="351" spans="1:23">
      <c r="A351" s="1">
        <f>A11</f>
        <v>1977</v>
      </c>
      <c r="B351" s="331">
        <f t="shared" si="100"/>
        <v>65</v>
      </c>
      <c r="C351" s="166">
        <f t="shared" si="100"/>
        <v>65</v>
      </c>
      <c r="D351" s="222">
        <f t="shared" si="100"/>
        <v>65</v>
      </c>
      <c r="E351" s="222">
        <f t="shared" si="100"/>
        <v>65</v>
      </c>
      <c r="F351" s="222">
        <f t="shared" si="100"/>
        <v>65</v>
      </c>
      <c r="G351" s="222">
        <f t="shared" si="100"/>
        <v>65</v>
      </c>
      <c r="H351" s="222">
        <f t="shared" si="100"/>
        <v>65</v>
      </c>
      <c r="I351" s="222">
        <f t="shared" si="100"/>
        <v>65</v>
      </c>
      <c r="J351" s="222">
        <f t="shared" si="100"/>
        <v>65</v>
      </c>
      <c r="K351" s="222">
        <f t="shared" si="100"/>
        <v>65</v>
      </c>
      <c r="L351" s="222">
        <f t="shared" si="100"/>
        <v>65</v>
      </c>
      <c r="M351" s="166">
        <f t="shared" si="100"/>
        <v>65</v>
      </c>
      <c r="O351" s="1">
        <f t="shared" si="99"/>
        <v>43</v>
      </c>
      <c r="P351" s="345"/>
      <c r="S351" s="345">
        <f>+D127</f>
        <v>1915</v>
      </c>
    </row>
    <row r="352" spans="1:23">
      <c r="A352" s="1">
        <f>A12</f>
        <v>1978</v>
      </c>
      <c r="B352" s="331">
        <f t="shared" si="100"/>
        <v>65</v>
      </c>
      <c r="C352" s="166">
        <f t="shared" si="100"/>
        <v>65</v>
      </c>
      <c r="D352" s="166">
        <f t="shared" si="100"/>
        <v>65</v>
      </c>
      <c r="E352" s="222">
        <f t="shared" si="100"/>
        <v>65</v>
      </c>
      <c r="F352" s="222">
        <f t="shared" si="100"/>
        <v>65</v>
      </c>
      <c r="G352" s="222">
        <f t="shared" si="100"/>
        <v>65</v>
      </c>
      <c r="H352" s="222">
        <f t="shared" si="100"/>
        <v>65</v>
      </c>
      <c r="I352" s="222">
        <f t="shared" si="100"/>
        <v>65</v>
      </c>
      <c r="J352" s="222">
        <f t="shared" si="100"/>
        <v>65</v>
      </c>
      <c r="K352" s="222">
        <f t="shared" si="100"/>
        <v>65</v>
      </c>
      <c r="L352" s="222">
        <f t="shared" si="100"/>
        <v>65</v>
      </c>
      <c r="M352" s="332">
        <f t="shared" si="100"/>
        <v>65</v>
      </c>
      <c r="O352" s="1">
        <f t="shared" si="99"/>
        <v>42</v>
      </c>
      <c r="P352" s="345"/>
      <c r="S352" s="345">
        <f>+D128</f>
        <v>722</v>
      </c>
      <c r="T352" s="225">
        <f>D352</f>
        <v>65</v>
      </c>
    </row>
    <row r="353" spans="1:21">
      <c r="A353" s="1">
        <f>A13</f>
        <v>1979</v>
      </c>
      <c r="B353" s="331">
        <f t="shared" si="100"/>
        <v>65</v>
      </c>
      <c r="C353" s="166">
        <f t="shared" si="100"/>
        <v>65</v>
      </c>
      <c r="D353" s="166">
        <f t="shared" si="100"/>
        <v>65</v>
      </c>
      <c r="E353" s="222">
        <f t="shared" si="100"/>
        <v>65</v>
      </c>
      <c r="F353" s="222">
        <f t="shared" si="100"/>
        <v>65</v>
      </c>
      <c r="G353" s="222">
        <f t="shared" si="100"/>
        <v>65</v>
      </c>
      <c r="H353" s="222">
        <f t="shared" si="100"/>
        <v>65</v>
      </c>
      <c r="I353" s="222">
        <f t="shared" si="100"/>
        <v>65</v>
      </c>
      <c r="J353" s="222">
        <f t="shared" si="100"/>
        <v>65</v>
      </c>
      <c r="K353" s="222">
        <f t="shared" si="100"/>
        <v>65</v>
      </c>
      <c r="L353" s="332">
        <f t="shared" si="100"/>
        <v>65</v>
      </c>
      <c r="M353" s="166">
        <f t="shared" si="100"/>
        <v>65</v>
      </c>
      <c r="O353" s="1">
        <f t="shared" si="99"/>
        <v>41</v>
      </c>
      <c r="P353" s="345"/>
      <c r="R353" s="225">
        <f>L353</f>
        <v>65</v>
      </c>
      <c r="S353" s="345">
        <f>+D129</f>
        <v>709</v>
      </c>
      <c r="T353" s="225">
        <f>D353</f>
        <v>65</v>
      </c>
    </row>
    <row r="354" spans="1:21">
      <c r="A354" s="1">
        <f>A14</f>
        <v>1980</v>
      </c>
      <c r="B354" s="331">
        <f t="shared" si="100"/>
        <v>65</v>
      </c>
      <c r="C354" s="166">
        <f t="shared" si="100"/>
        <v>65</v>
      </c>
      <c r="D354" s="332">
        <f t="shared" si="100"/>
        <v>65</v>
      </c>
      <c r="E354" s="222">
        <f t="shared" si="100"/>
        <v>65</v>
      </c>
      <c r="F354" s="222">
        <f t="shared" si="100"/>
        <v>65</v>
      </c>
      <c r="G354" s="222">
        <f t="shared" si="100"/>
        <v>65</v>
      </c>
      <c r="H354" s="222">
        <f t="shared" si="100"/>
        <v>65</v>
      </c>
      <c r="I354" s="222">
        <f t="shared" si="100"/>
        <v>65</v>
      </c>
      <c r="J354" s="222">
        <f t="shared" si="100"/>
        <v>65</v>
      </c>
      <c r="K354" s="222">
        <f t="shared" si="100"/>
        <v>65</v>
      </c>
      <c r="L354" s="222">
        <f t="shared" si="100"/>
        <v>65</v>
      </c>
      <c r="M354" s="166">
        <f t="shared" si="100"/>
        <v>65</v>
      </c>
      <c r="O354" s="1">
        <f t="shared" si="99"/>
        <v>40</v>
      </c>
      <c r="P354" s="345"/>
      <c r="S354" s="345">
        <f>+D130</f>
        <v>1908</v>
      </c>
      <c r="U354" s="225">
        <f>D354</f>
        <v>65</v>
      </c>
    </row>
    <row r="355" spans="1:21">
      <c r="A355" s="1">
        <f>A15</f>
        <v>1981</v>
      </c>
      <c r="B355" s="331">
        <f t="shared" si="100"/>
        <v>65</v>
      </c>
      <c r="C355" s="332">
        <f t="shared" si="100"/>
        <v>65</v>
      </c>
      <c r="D355" s="332">
        <f t="shared" si="100"/>
        <v>65</v>
      </c>
      <c r="E355" s="222">
        <f t="shared" si="100"/>
        <v>65</v>
      </c>
      <c r="F355" s="222">
        <f t="shared" si="100"/>
        <v>65</v>
      </c>
      <c r="G355" s="222">
        <f t="shared" si="100"/>
        <v>65</v>
      </c>
      <c r="H355" s="222">
        <f t="shared" si="100"/>
        <v>65</v>
      </c>
      <c r="I355" s="222">
        <f t="shared" si="100"/>
        <v>65</v>
      </c>
      <c r="J355" s="222">
        <f t="shared" si="100"/>
        <v>65</v>
      </c>
      <c r="K355" s="222">
        <f t="shared" si="100"/>
        <v>65</v>
      </c>
      <c r="L355" s="166">
        <f t="shared" si="100"/>
        <v>65</v>
      </c>
      <c r="M355" s="166">
        <f t="shared" si="100"/>
        <v>65</v>
      </c>
      <c r="O355" s="1">
        <f t="shared" si="99"/>
        <v>39</v>
      </c>
      <c r="P355" s="345"/>
      <c r="Q355" s="225">
        <f>L355</f>
        <v>65</v>
      </c>
      <c r="S355" s="345">
        <f>+D131</f>
        <v>1916</v>
      </c>
      <c r="U355" s="225">
        <f>D355</f>
        <v>65</v>
      </c>
    </row>
    <row r="356" spans="1:21">
      <c r="A356" s="1">
        <f>A16</f>
        <v>1982</v>
      </c>
      <c r="B356" s="331">
        <f t="shared" si="100"/>
        <v>65</v>
      </c>
      <c r="C356" s="233">
        <f t="shared" si="100"/>
        <v>65</v>
      </c>
      <c r="D356" s="166">
        <f t="shared" si="100"/>
        <v>65</v>
      </c>
      <c r="E356" s="222">
        <f t="shared" si="100"/>
        <v>65</v>
      </c>
      <c r="F356" s="222">
        <f t="shared" si="100"/>
        <v>65</v>
      </c>
      <c r="G356" s="222">
        <f t="shared" si="100"/>
        <v>65</v>
      </c>
      <c r="H356" s="222">
        <f t="shared" si="100"/>
        <v>65</v>
      </c>
      <c r="I356" s="222">
        <f t="shared" si="100"/>
        <v>65</v>
      </c>
      <c r="J356" s="222">
        <f t="shared" si="100"/>
        <v>65</v>
      </c>
      <c r="K356" s="222">
        <f t="shared" si="100"/>
        <v>65</v>
      </c>
      <c r="L356" s="222">
        <f t="shared" si="100"/>
        <v>65</v>
      </c>
      <c r="M356" s="166">
        <f t="shared" si="100"/>
        <v>65</v>
      </c>
      <c r="O356" s="1">
        <f t="shared" si="99"/>
        <v>38</v>
      </c>
      <c r="P356" s="345"/>
      <c r="S356" s="345">
        <f>+D132</f>
        <v>728</v>
      </c>
      <c r="T356" s="225">
        <f>D356</f>
        <v>65</v>
      </c>
    </row>
    <row r="357" spans="1:21">
      <c r="A357" s="1">
        <f>A17</f>
        <v>1983</v>
      </c>
      <c r="B357" s="331">
        <f t="shared" si="100"/>
        <v>65</v>
      </c>
      <c r="C357" s="166">
        <f t="shared" si="100"/>
        <v>65</v>
      </c>
      <c r="D357" s="332">
        <f t="shared" si="100"/>
        <v>65</v>
      </c>
      <c r="E357" s="222">
        <f t="shared" si="100"/>
        <v>65</v>
      </c>
      <c r="F357" s="222">
        <f t="shared" si="100"/>
        <v>65</v>
      </c>
      <c r="G357" s="222">
        <f t="shared" si="100"/>
        <v>65</v>
      </c>
      <c r="H357" s="222">
        <f t="shared" si="100"/>
        <v>65</v>
      </c>
      <c r="I357" s="222">
        <f t="shared" si="100"/>
        <v>65</v>
      </c>
      <c r="J357" s="222">
        <f t="shared" si="100"/>
        <v>65</v>
      </c>
      <c r="K357" s="222">
        <f t="shared" si="100"/>
        <v>65</v>
      </c>
      <c r="L357" s="166">
        <f t="shared" si="100"/>
        <v>65</v>
      </c>
      <c r="M357" s="166">
        <f t="shared" si="100"/>
        <v>65</v>
      </c>
      <c r="O357" s="1">
        <f t="shared" si="99"/>
        <v>37</v>
      </c>
      <c r="P357" s="345"/>
      <c r="Q357" s="225">
        <f>L357</f>
        <v>65</v>
      </c>
      <c r="S357" s="345">
        <f>+D133</f>
        <v>1912</v>
      </c>
      <c r="U357" s="225">
        <f>D357</f>
        <v>65</v>
      </c>
    </row>
    <row r="358" spans="1:21">
      <c r="A358" s="1">
        <f>A18</f>
        <v>1984</v>
      </c>
      <c r="B358" s="331">
        <f t="shared" si="100"/>
        <v>65</v>
      </c>
      <c r="C358" s="166">
        <f t="shared" si="100"/>
        <v>65</v>
      </c>
      <c r="D358" s="166">
        <f t="shared" si="100"/>
        <v>65</v>
      </c>
      <c r="E358" s="222">
        <f t="shared" si="100"/>
        <v>65</v>
      </c>
      <c r="F358" s="222">
        <f t="shared" si="100"/>
        <v>65</v>
      </c>
      <c r="G358" s="222">
        <f t="shared" si="100"/>
        <v>65</v>
      </c>
      <c r="H358" s="222">
        <f t="shared" si="100"/>
        <v>65</v>
      </c>
      <c r="I358" s="222">
        <f t="shared" si="100"/>
        <v>65</v>
      </c>
      <c r="J358" s="222">
        <f t="shared" si="100"/>
        <v>65</v>
      </c>
      <c r="K358" s="222">
        <f t="shared" si="100"/>
        <v>65</v>
      </c>
      <c r="L358" s="166">
        <f t="shared" si="100"/>
        <v>65</v>
      </c>
      <c r="M358" s="166">
        <f t="shared" si="100"/>
        <v>65</v>
      </c>
      <c r="O358" s="1">
        <f t="shared" si="99"/>
        <v>36</v>
      </c>
      <c r="P358" s="345"/>
      <c r="Q358" s="225">
        <f>L358</f>
        <v>65</v>
      </c>
      <c r="S358" s="345">
        <f>+D134</f>
        <v>708</v>
      </c>
      <c r="T358" s="225">
        <f>D358</f>
        <v>65</v>
      </c>
    </row>
    <row r="359" spans="1:21">
      <c r="A359" s="1">
        <f>A19</f>
        <v>1985</v>
      </c>
      <c r="B359" s="331">
        <f t="shared" si="100"/>
        <v>65</v>
      </c>
      <c r="C359" s="166">
        <f t="shared" si="100"/>
        <v>65</v>
      </c>
      <c r="D359" s="166">
        <f t="shared" si="100"/>
        <v>65</v>
      </c>
      <c r="E359" s="222">
        <f t="shared" si="100"/>
        <v>65</v>
      </c>
      <c r="F359" s="222">
        <f t="shared" si="100"/>
        <v>65</v>
      </c>
      <c r="G359" s="222">
        <f t="shared" si="100"/>
        <v>65</v>
      </c>
      <c r="H359" s="222">
        <f t="shared" si="100"/>
        <v>65</v>
      </c>
      <c r="I359" s="222">
        <f t="shared" si="100"/>
        <v>65</v>
      </c>
      <c r="J359" s="222">
        <f t="shared" si="100"/>
        <v>65</v>
      </c>
      <c r="K359" s="222">
        <f t="shared" si="100"/>
        <v>65</v>
      </c>
      <c r="L359" s="222">
        <f t="shared" si="100"/>
        <v>65</v>
      </c>
      <c r="M359" s="166">
        <f t="shared" si="100"/>
        <v>65</v>
      </c>
      <c r="O359" s="1">
        <f t="shared" si="99"/>
        <v>35</v>
      </c>
      <c r="P359" s="345"/>
      <c r="S359" s="345">
        <f>+D135</f>
        <v>718</v>
      </c>
      <c r="T359" s="225">
        <f>D359</f>
        <v>65</v>
      </c>
    </row>
    <row r="360" spans="1:21">
      <c r="A360" s="1">
        <f>A20</f>
        <v>1986</v>
      </c>
      <c r="B360" s="331">
        <f t="shared" si="100"/>
        <v>65</v>
      </c>
      <c r="C360" s="166">
        <f t="shared" si="100"/>
        <v>65</v>
      </c>
      <c r="D360" s="166">
        <f t="shared" si="100"/>
        <v>65</v>
      </c>
      <c r="E360" s="222">
        <f t="shared" si="100"/>
        <v>65</v>
      </c>
      <c r="F360" s="222">
        <f t="shared" si="100"/>
        <v>65</v>
      </c>
      <c r="G360" s="222">
        <f t="shared" si="100"/>
        <v>65</v>
      </c>
      <c r="H360" s="222">
        <f t="shared" si="100"/>
        <v>65</v>
      </c>
      <c r="I360" s="222">
        <f t="shared" si="100"/>
        <v>65</v>
      </c>
      <c r="J360" s="222">
        <f t="shared" si="100"/>
        <v>65</v>
      </c>
      <c r="K360" s="222">
        <f t="shared" si="100"/>
        <v>65</v>
      </c>
      <c r="L360" s="222">
        <f t="shared" si="100"/>
        <v>65</v>
      </c>
      <c r="M360" s="222">
        <f t="shared" si="100"/>
        <v>65</v>
      </c>
      <c r="O360" s="1">
        <f t="shared" si="99"/>
        <v>34</v>
      </c>
      <c r="P360" s="345"/>
      <c r="S360" s="345">
        <f>+D136</f>
        <v>655</v>
      </c>
      <c r="T360" s="225">
        <f>D360</f>
        <v>65</v>
      </c>
    </row>
    <row r="361" spans="1:21">
      <c r="A361" s="1">
        <f>A21</f>
        <v>1987</v>
      </c>
      <c r="B361" s="331">
        <f t="shared" si="100"/>
        <v>65</v>
      </c>
      <c r="C361" s="166">
        <f t="shared" si="100"/>
        <v>65</v>
      </c>
      <c r="D361" s="332">
        <f t="shared" si="100"/>
        <v>65</v>
      </c>
      <c r="E361" s="166">
        <f t="shared" si="100"/>
        <v>65</v>
      </c>
      <c r="F361" s="222">
        <f t="shared" si="100"/>
        <v>65</v>
      </c>
      <c r="G361" s="222">
        <f t="shared" si="100"/>
        <v>65</v>
      </c>
      <c r="H361" s="222">
        <f t="shared" si="100"/>
        <v>65</v>
      </c>
      <c r="I361" s="222">
        <f t="shared" si="100"/>
        <v>65</v>
      </c>
      <c r="J361" s="222">
        <f t="shared" si="100"/>
        <v>65</v>
      </c>
      <c r="K361" s="222">
        <f t="shared" si="100"/>
        <v>65</v>
      </c>
      <c r="L361" s="222">
        <f t="shared" si="100"/>
        <v>65</v>
      </c>
      <c r="M361" s="166">
        <f t="shared" si="100"/>
        <v>65</v>
      </c>
      <c r="O361" s="1">
        <f t="shared" si="99"/>
        <v>33</v>
      </c>
      <c r="P361" s="345"/>
      <c r="S361" s="345">
        <f>+D137</f>
        <v>1935</v>
      </c>
      <c r="U361" s="225">
        <f>D361</f>
        <v>65</v>
      </c>
    </row>
    <row r="362" spans="1:21">
      <c r="A362" s="1">
        <f>A22</f>
        <v>1988</v>
      </c>
      <c r="B362" s="331">
        <f t="shared" si="100"/>
        <v>65</v>
      </c>
      <c r="C362" s="166">
        <f t="shared" si="100"/>
        <v>65</v>
      </c>
      <c r="D362" s="166">
        <f t="shared" si="100"/>
        <v>65</v>
      </c>
      <c r="E362" s="222">
        <f t="shared" si="100"/>
        <v>65</v>
      </c>
      <c r="F362" s="222">
        <f t="shared" si="100"/>
        <v>65</v>
      </c>
      <c r="G362" s="222">
        <f t="shared" si="100"/>
        <v>65</v>
      </c>
      <c r="H362" s="222">
        <f t="shared" si="100"/>
        <v>65</v>
      </c>
      <c r="I362" s="222">
        <f t="shared" si="100"/>
        <v>65</v>
      </c>
      <c r="J362" s="222">
        <f t="shared" si="100"/>
        <v>65</v>
      </c>
      <c r="K362" s="222">
        <f t="shared" si="100"/>
        <v>65</v>
      </c>
      <c r="L362" s="222">
        <f t="shared" si="100"/>
        <v>65</v>
      </c>
      <c r="M362" s="166">
        <f t="shared" si="100"/>
        <v>65</v>
      </c>
      <c r="O362" s="1">
        <f t="shared" si="99"/>
        <v>32</v>
      </c>
      <c r="P362" s="345"/>
      <c r="S362" s="345">
        <f>+D138</f>
        <v>712</v>
      </c>
      <c r="T362" s="225">
        <f>D362</f>
        <v>65</v>
      </c>
    </row>
    <row r="363" spans="1:21">
      <c r="A363" s="1">
        <f>A23</f>
        <v>1989</v>
      </c>
      <c r="B363" s="331">
        <f t="shared" si="100"/>
        <v>65</v>
      </c>
      <c r="C363" s="166">
        <f t="shared" si="100"/>
        <v>65</v>
      </c>
      <c r="D363" s="166">
        <f t="shared" si="100"/>
        <v>65</v>
      </c>
      <c r="E363" s="222">
        <f t="shared" si="100"/>
        <v>65</v>
      </c>
      <c r="F363" s="222">
        <f t="shared" si="100"/>
        <v>65</v>
      </c>
      <c r="G363" s="222">
        <f t="shared" si="100"/>
        <v>65</v>
      </c>
      <c r="H363" s="222">
        <f t="shared" si="100"/>
        <v>65</v>
      </c>
      <c r="I363" s="222">
        <f t="shared" si="100"/>
        <v>65</v>
      </c>
      <c r="J363" s="222">
        <f t="shared" si="100"/>
        <v>65</v>
      </c>
      <c r="K363" s="222">
        <f t="shared" si="100"/>
        <v>65</v>
      </c>
      <c r="L363" s="222">
        <f t="shared" si="100"/>
        <v>65</v>
      </c>
      <c r="M363" s="332">
        <f t="shared" si="100"/>
        <v>65</v>
      </c>
      <c r="O363" s="1">
        <f t="shared" si="99"/>
        <v>31</v>
      </c>
      <c r="P363" s="345"/>
      <c r="S363" s="345">
        <f>+D139</f>
        <v>725</v>
      </c>
      <c r="T363" s="225">
        <f>D363</f>
        <v>65</v>
      </c>
    </row>
    <row r="364" spans="1:21">
      <c r="A364" s="1">
        <f>A24</f>
        <v>1990</v>
      </c>
      <c r="B364" s="331">
        <f t="shared" ref="B364:M379" si="101">IF(B292&lt;=65,65-B292," ")</f>
        <v>65</v>
      </c>
      <c r="C364" s="166">
        <f t="shared" si="101"/>
        <v>65</v>
      </c>
      <c r="D364" s="222">
        <f t="shared" si="101"/>
        <v>65</v>
      </c>
      <c r="E364" s="222">
        <f t="shared" si="101"/>
        <v>65</v>
      </c>
      <c r="F364" s="222">
        <f t="shared" si="101"/>
        <v>65</v>
      </c>
      <c r="G364" s="222">
        <f t="shared" si="101"/>
        <v>65</v>
      </c>
      <c r="H364" s="222">
        <f t="shared" si="101"/>
        <v>65</v>
      </c>
      <c r="I364" s="222">
        <f t="shared" si="101"/>
        <v>65</v>
      </c>
      <c r="J364" s="222">
        <f t="shared" si="101"/>
        <v>65</v>
      </c>
      <c r="K364" s="222">
        <f t="shared" si="101"/>
        <v>65</v>
      </c>
      <c r="L364" s="222">
        <f t="shared" si="101"/>
        <v>65</v>
      </c>
      <c r="M364" s="166">
        <f t="shared" si="101"/>
        <v>65</v>
      </c>
      <c r="O364" s="1">
        <f t="shared" si="99"/>
        <v>30</v>
      </c>
      <c r="P364" s="345"/>
      <c r="S364" s="345">
        <f>+D140</f>
        <v>1608</v>
      </c>
    </row>
    <row r="365" spans="1:21">
      <c r="A365" s="1">
        <f>A25</f>
        <v>1991</v>
      </c>
      <c r="B365" s="331">
        <f t="shared" si="101"/>
        <v>65</v>
      </c>
      <c r="C365" s="166">
        <f t="shared" si="101"/>
        <v>65</v>
      </c>
      <c r="D365" s="166">
        <f t="shared" si="101"/>
        <v>65</v>
      </c>
      <c r="E365" s="222">
        <f t="shared" si="101"/>
        <v>65</v>
      </c>
      <c r="F365" s="222">
        <f t="shared" si="101"/>
        <v>65</v>
      </c>
      <c r="G365" s="222">
        <f t="shared" si="101"/>
        <v>65</v>
      </c>
      <c r="H365" s="222">
        <f t="shared" si="101"/>
        <v>65</v>
      </c>
      <c r="I365" s="222">
        <f t="shared" si="101"/>
        <v>65</v>
      </c>
      <c r="J365" s="222">
        <f t="shared" si="101"/>
        <v>65</v>
      </c>
      <c r="K365" s="222">
        <f t="shared" si="101"/>
        <v>65</v>
      </c>
      <c r="L365" s="166">
        <f t="shared" si="101"/>
        <v>65</v>
      </c>
      <c r="M365" s="166">
        <f t="shared" si="101"/>
        <v>65</v>
      </c>
      <c r="O365" s="1">
        <f t="shared" si="99"/>
        <v>29</v>
      </c>
      <c r="P365" s="345"/>
      <c r="Q365" s="225">
        <f>L365</f>
        <v>65</v>
      </c>
      <c r="S365" s="345">
        <f>+D141</f>
        <v>730</v>
      </c>
      <c r="T365" s="225">
        <f>D365</f>
        <v>65</v>
      </c>
    </row>
    <row r="366" spans="1:21">
      <c r="A366" s="1">
        <f>A26</f>
        <v>1992</v>
      </c>
      <c r="B366" s="331">
        <f t="shared" si="101"/>
        <v>65</v>
      </c>
      <c r="C366" s="166">
        <f t="shared" si="101"/>
        <v>65</v>
      </c>
      <c r="D366" s="332">
        <f t="shared" si="101"/>
        <v>65</v>
      </c>
      <c r="E366" s="222">
        <f t="shared" si="101"/>
        <v>65</v>
      </c>
      <c r="F366" s="222">
        <f t="shared" si="101"/>
        <v>65</v>
      </c>
      <c r="G366" s="222">
        <f t="shared" si="101"/>
        <v>65</v>
      </c>
      <c r="H366" s="222">
        <f t="shared" si="101"/>
        <v>65</v>
      </c>
      <c r="I366" s="222">
        <f t="shared" si="101"/>
        <v>65</v>
      </c>
      <c r="J366" s="222">
        <f t="shared" si="101"/>
        <v>65</v>
      </c>
      <c r="K366" s="222">
        <f t="shared" si="101"/>
        <v>65</v>
      </c>
      <c r="L366" s="222">
        <f t="shared" si="101"/>
        <v>65</v>
      </c>
      <c r="M366" s="166">
        <f t="shared" si="101"/>
        <v>65</v>
      </c>
      <c r="O366" s="1">
        <f t="shared" si="99"/>
        <v>28</v>
      </c>
      <c r="P366" s="345"/>
      <c r="S366" s="345">
        <f>+D142</f>
        <v>1902</v>
      </c>
      <c r="U366" s="225">
        <f>D366</f>
        <v>65</v>
      </c>
    </row>
    <row r="367" spans="1:21">
      <c r="A367" s="1">
        <f>A27</f>
        <v>1993</v>
      </c>
      <c r="B367" s="331">
        <f t="shared" si="101"/>
        <v>65</v>
      </c>
      <c r="C367" s="166">
        <f t="shared" si="101"/>
        <v>65</v>
      </c>
      <c r="D367" s="166">
        <f t="shared" si="101"/>
        <v>65</v>
      </c>
      <c r="E367" s="222">
        <f t="shared" si="101"/>
        <v>65</v>
      </c>
      <c r="F367" s="222">
        <f t="shared" si="101"/>
        <v>65</v>
      </c>
      <c r="G367" s="222">
        <f t="shared" si="101"/>
        <v>65</v>
      </c>
      <c r="H367" s="222">
        <f t="shared" si="101"/>
        <v>65</v>
      </c>
      <c r="I367" s="222">
        <f t="shared" si="101"/>
        <v>65</v>
      </c>
      <c r="J367" s="222">
        <f t="shared" si="101"/>
        <v>65</v>
      </c>
      <c r="K367" s="222">
        <f t="shared" si="101"/>
        <v>65</v>
      </c>
      <c r="L367" s="222">
        <f t="shared" si="101"/>
        <v>65</v>
      </c>
      <c r="M367" s="166">
        <f t="shared" si="101"/>
        <v>65</v>
      </c>
      <c r="O367" s="1">
        <f t="shared" si="99"/>
        <v>27</v>
      </c>
      <c r="P367" s="345"/>
      <c r="S367" s="345">
        <f>+D143</f>
        <v>658</v>
      </c>
      <c r="T367" s="225">
        <f>D367</f>
        <v>65</v>
      </c>
    </row>
    <row r="368" spans="1:21">
      <c r="A368" s="1">
        <f>A28</f>
        <v>1994</v>
      </c>
      <c r="B368" s="331">
        <f t="shared" si="101"/>
        <v>65</v>
      </c>
      <c r="C368" s="166">
        <f t="shared" si="101"/>
        <v>65</v>
      </c>
      <c r="D368" s="222">
        <f t="shared" si="101"/>
        <v>65</v>
      </c>
      <c r="E368" s="222">
        <f t="shared" si="101"/>
        <v>65</v>
      </c>
      <c r="F368" s="222">
        <f t="shared" si="101"/>
        <v>65</v>
      </c>
      <c r="G368" s="222">
        <f t="shared" si="101"/>
        <v>65</v>
      </c>
      <c r="H368" s="222">
        <f t="shared" si="101"/>
        <v>65</v>
      </c>
      <c r="I368" s="222">
        <f t="shared" si="101"/>
        <v>65</v>
      </c>
      <c r="J368" s="222">
        <f t="shared" si="101"/>
        <v>65</v>
      </c>
      <c r="K368" s="222">
        <f t="shared" si="101"/>
        <v>65</v>
      </c>
      <c r="L368" s="222">
        <f t="shared" si="101"/>
        <v>65</v>
      </c>
      <c r="M368" s="222">
        <f t="shared" si="101"/>
        <v>65</v>
      </c>
      <c r="O368" s="1">
        <f t="shared" si="99"/>
        <v>26</v>
      </c>
      <c r="P368" s="345"/>
      <c r="S368" s="345">
        <f>+D144</f>
        <v>1620</v>
      </c>
    </row>
    <row r="369" spans="1:21">
      <c r="A369" s="1">
        <f>A29</f>
        <v>1995</v>
      </c>
      <c r="B369" s="331">
        <f t="shared" si="101"/>
        <v>65</v>
      </c>
      <c r="C369" s="166">
        <f t="shared" si="101"/>
        <v>65</v>
      </c>
      <c r="D369" s="166">
        <f t="shared" si="101"/>
        <v>65</v>
      </c>
      <c r="E369" s="222">
        <f t="shared" si="101"/>
        <v>65</v>
      </c>
      <c r="F369" s="222">
        <f t="shared" si="101"/>
        <v>65</v>
      </c>
      <c r="G369" s="222">
        <f t="shared" si="101"/>
        <v>65</v>
      </c>
      <c r="H369" s="222">
        <f t="shared" si="101"/>
        <v>65</v>
      </c>
      <c r="I369" s="222">
        <f t="shared" si="101"/>
        <v>65</v>
      </c>
      <c r="J369" s="222">
        <f t="shared" si="101"/>
        <v>65</v>
      </c>
      <c r="K369" s="222">
        <f t="shared" si="101"/>
        <v>65</v>
      </c>
      <c r="L369" s="222">
        <f t="shared" si="101"/>
        <v>65</v>
      </c>
      <c r="M369" s="166">
        <f t="shared" si="101"/>
        <v>65</v>
      </c>
      <c r="O369" s="1">
        <f t="shared" si="99"/>
        <v>25</v>
      </c>
      <c r="P369" s="345"/>
      <c r="S369" s="345">
        <f>+D145</f>
        <v>711</v>
      </c>
      <c r="T369" s="225">
        <f>D369</f>
        <v>65</v>
      </c>
    </row>
    <row r="370" spans="1:21">
      <c r="A370" s="1">
        <f>A30</f>
        <v>1996</v>
      </c>
      <c r="B370" s="331">
        <f t="shared" si="101"/>
        <v>65</v>
      </c>
      <c r="C370" s="166">
        <f t="shared" si="101"/>
        <v>65</v>
      </c>
      <c r="D370" s="166">
        <f t="shared" si="101"/>
        <v>65</v>
      </c>
      <c r="E370" s="222">
        <f t="shared" si="101"/>
        <v>65</v>
      </c>
      <c r="F370" s="222">
        <f t="shared" si="101"/>
        <v>65</v>
      </c>
      <c r="G370" s="222">
        <f t="shared" si="101"/>
        <v>65</v>
      </c>
      <c r="H370" s="222">
        <f t="shared" si="101"/>
        <v>65</v>
      </c>
      <c r="I370" s="222">
        <f t="shared" si="101"/>
        <v>65</v>
      </c>
      <c r="J370" s="222">
        <f t="shared" si="101"/>
        <v>65</v>
      </c>
      <c r="K370" s="222">
        <f t="shared" si="101"/>
        <v>65</v>
      </c>
      <c r="L370" s="222">
        <f t="shared" si="101"/>
        <v>65</v>
      </c>
      <c r="M370" s="166">
        <f t="shared" si="101"/>
        <v>65</v>
      </c>
      <c r="O370" s="1">
        <f t="shared" si="99"/>
        <v>24</v>
      </c>
      <c r="P370" s="345"/>
      <c r="S370" s="345">
        <f>+D146</f>
        <v>821</v>
      </c>
      <c r="T370" s="225">
        <f>D370</f>
        <v>65</v>
      </c>
    </row>
    <row r="371" spans="1:21" ht="15.75">
      <c r="A371" s="1">
        <f>A31</f>
        <v>1997</v>
      </c>
      <c r="B371" s="331">
        <f t="shared" si="101"/>
        <v>65</v>
      </c>
      <c r="C371" s="166">
        <f t="shared" si="101"/>
        <v>65</v>
      </c>
      <c r="D371" s="222">
        <f t="shared" si="101"/>
        <v>65</v>
      </c>
      <c r="E371" s="222">
        <f t="shared" si="101"/>
        <v>65</v>
      </c>
      <c r="F371" s="222">
        <f t="shared" si="101"/>
        <v>65</v>
      </c>
      <c r="G371" s="222">
        <f t="shared" si="101"/>
        <v>65</v>
      </c>
      <c r="H371" s="222">
        <f t="shared" si="101"/>
        <v>65</v>
      </c>
      <c r="I371" s="222">
        <f t="shared" si="101"/>
        <v>65</v>
      </c>
      <c r="J371" s="222">
        <f t="shared" si="101"/>
        <v>65</v>
      </c>
      <c r="K371" s="222">
        <f t="shared" si="101"/>
        <v>65</v>
      </c>
      <c r="L371" s="38">
        <f t="shared" si="101"/>
        <v>65</v>
      </c>
      <c r="M371" s="332">
        <f t="shared" si="101"/>
        <v>65</v>
      </c>
      <c r="O371" s="1">
        <f t="shared" si="99"/>
        <v>23</v>
      </c>
      <c r="P371" s="345"/>
      <c r="S371" s="345">
        <f>+D147</f>
        <v>1857</v>
      </c>
    </row>
    <row r="372" spans="1:21">
      <c r="A372" s="1">
        <f>A32</f>
        <v>1998</v>
      </c>
      <c r="B372" s="331">
        <f t="shared" si="101"/>
        <v>65</v>
      </c>
      <c r="C372" s="166">
        <f t="shared" si="101"/>
        <v>65</v>
      </c>
      <c r="D372" s="166">
        <f t="shared" si="101"/>
        <v>65</v>
      </c>
      <c r="E372" s="222">
        <f t="shared" si="101"/>
        <v>65</v>
      </c>
      <c r="F372" s="222">
        <f t="shared" si="101"/>
        <v>65</v>
      </c>
      <c r="G372" s="222">
        <f t="shared" si="101"/>
        <v>65</v>
      </c>
      <c r="H372" s="222">
        <f t="shared" si="101"/>
        <v>65</v>
      </c>
      <c r="I372" s="222">
        <f t="shared" si="101"/>
        <v>65</v>
      </c>
      <c r="J372" s="222">
        <f t="shared" si="101"/>
        <v>65</v>
      </c>
      <c r="K372" s="222">
        <f t="shared" si="101"/>
        <v>65</v>
      </c>
      <c r="L372" s="222">
        <f t="shared" si="101"/>
        <v>65</v>
      </c>
      <c r="M372" s="166">
        <f t="shared" si="101"/>
        <v>65</v>
      </c>
      <c r="O372" s="1">
        <f t="shared" si="99"/>
        <v>22</v>
      </c>
      <c r="P372" s="345"/>
      <c r="S372" s="345">
        <f>+D148</f>
        <v>657</v>
      </c>
      <c r="T372" s="225">
        <f>D372</f>
        <v>65</v>
      </c>
    </row>
    <row r="373" spans="1:21" ht="15.75">
      <c r="A373" s="1">
        <f>A33</f>
        <v>1999</v>
      </c>
      <c r="B373" s="331">
        <f t="shared" si="101"/>
        <v>65</v>
      </c>
      <c r="C373" s="166">
        <f t="shared" si="101"/>
        <v>65</v>
      </c>
      <c r="D373" s="166">
        <f t="shared" si="101"/>
        <v>65</v>
      </c>
      <c r="E373" s="222">
        <f t="shared" si="101"/>
        <v>65</v>
      </c>
      <c r="F373" s="222">
        <f t="shared" si="101"/>
        <v>65</v>
      </c>
      <c r="G373" s="222">
        <f t="shared" si="101"/>
        <v>65</v>
      </c>
      <c r="H373" s="222">
        <f t="shared" si="101"/>
        <v>65</v>
      </c>
      <c r="I373" s="222">
        <f t="shared" si="101"/>
        <v>65</v>
      </c>
      <c r="J373" s="222">
        <f t="shared" si="101"/>
        <v>65</v>
      </c>
      <c r="K373" s="222">
        <f t="shared" si="101"/>
        <v>65</v>
      </c>
      <c r="L373" s="222">
        <f t="shared" si="101"/>
        <v>65</v>
      </c>
      <c r="M373" s="38">
        <f t="shared" si="101"/>
        <v>65</v>
      </c>
      <c r="O373" s="1">
        <f t="shared" si="99"/>
        <v>21</v>
      </c>
      <c r="P373" s="345"/>
      <c r="S373" s="345">
        <f>+D149</f>
        <v>709</v>
      </c>
      <c r="T373" s="225">
        <f>D373</f>
        <v>65</v>
      </c>
    </row>
    <row r="374" spans="1:21">
      <c r="A374" s="1">
        <f>A34</f>
        <v>2000</v>
      </c>
      <c r="B374" s="331">
        <f t="shared" si="101"/>
        <v>65</v>
      </c>
      <c r="C374" s="166">
        <f t="shared" si="101"/>
        <v>65</v>
      </c>
      <c r="D374" s="222">
        <f t="shared" si="101"/>
        <v>65</v>
      </c>
      <c r="E374" s="222">
        <f t="shared" si="101"/>
        <v>65</v>
      </c>
      <c r="F374" s="222">
        <f t="shared" si="101"/>
        <v>65</v>
      </c>
      <c r="G374" s="222">
        <f t="shared" si="101"/>
        <v>65</v>
      </c>
      <c r="H374" s="222">
        <f t="shared" si="101"/>
        <v>65</v>
      </c>
      <c r="I374" s="222">
        <f t="shared" si="101"/>
        <v>65</v>
      </c>
      <c r="J374" s="222">
        <f t="shared" si="101"/>
        <v>65</v>
      </c>
      <c r="K374" s="222">
        <f t="shared" si="101"/>
        <v>65</v>
      </c>
      <c r="L374" s="166">
        <f t="shared" si="101"/>
        <v>65</v>
      </c>
      <c r="M374" s="166">
        <f t="shared" si="101"/>
        <v>65</v>
      </c>
      <c r="O374" s="1">
        <f t="shared" si="99"/>
        <v>20</v>
      </c>
      <c r="P374" s="345"/>
      <c r="Q374" s="225">
        <f>L374</f>
        <v>65</v>
      </c>
      <c r="S374" s="345">
        <f>+D150</f>
        <v>1622</v>
      </c>
    </row>
    <row r="375" spans="1:21">
      <c r="A375" s="1">
        <f>A35</f>
        <v>2001</v>
      </c>
      <c r="B375" s="331">
        <f t="shared" si="101"/>
        <v>65</v>
      </c>
      <c r="C375" s="166">
        <f t="shared" si="101"/>
        <v>65</v>
      </c>
      <c r="D375" s="222">
        <f t="shared" si="101"/>
        <v>65</v>
      </c>
      <c r="E375" s="222">
        <f t="shared" si="101"/>
        <v>65</v>
      </c>
      <c r="F375" s="222">
        <f t="shared" si="101"/>
        <v>65</v>
      </c>
      <c r="G375" s="222">
        <f t="shared" si="101"/>
        <v>65</v>
      </c>
      <c r="H375" s="222">
        <f t="shared" si="101"/>
        <v>65</v>
      </c>
      <c r="I375" s="222">
        <f t="shared" si="101"/>
        <v>65</v>
      </c>
      <c r="J375" s="222">
        <f t="shared" si="101"/>
        <v>65</v>
      </c>
      <c r="K375" s="222">
        <f t="shared" si="101"/>
        <v>65</v>
      </c>
      <c r="L375" s="222">
        <f t="shared" si="101"/>
        <v>65</v>
      </c>
      <c r="M375" s="222">
        <f t="shared" si="101"/>
        <v>65</v>
      </c>
      <c r="O375" s="1">
        <f t="shared" si="99"/>
        <v>19</v>
      </c>
      <c r="P375" s="345"/>
      <c r="S375" s="345">
        <f>+D151</f>
        <v>1923</v>
      </c>
    </row>
    <row r="376" spans="1:21">
      <c r="A376" s="1">
        <f>A36</f>
        <v>2002</v>
      </c>
      <c r="B376" s="331">
        <f t="shared" si="101"/>
        <v>65</v>
      </c>
      <c r="C376" s="166">
        <f t="shared" si="101"/>
        <v>65</v>
      </c>
      <c r="D376" s="166">
        <f t="shared" si="101"/>
        <v>65</v>
      </c>
      <c r="E376" s="222">
        <f t="shared" si="101"/>
        <v>65</v>
      </c>
      <c r="F376" s="222">
        <f t="shared" si="101"/>
        <v>65</v>
      </c>
      <c r="G376" s="222">
        <f t="shared" si="101"/>
        <v>65</v>
      </c>
      <c r="H376" s="222">
        <f t="shared" si="101"/>
        <v>65</v>
      </c>
      <c r="I376" s="222">
        <f t="shared" si="101"/>
        <v>65</v>
      </c>
      <c r="J376" s="222">
        <f t="shared" si="101"/>
        <v>65</v>
      </c>
      <c r="K376" s="222">
        <f t="shared" si="101"/>
        <v>65</v>
      </c>
      <c r="L376" s="222">
        <f t="shared" si="101"/>
        <v>65</v>
      </c>
      <c r="M376" s="166">
        <f t="shared" si="101"/>
        <v>65</v>
      </c>
      <c r="O376" s="1">
        <f t="shared" si="99"/>
        <v>18</v>
      </c>
      <c r="P376" s="345"/>
      <c r="S376" s="345">
        <f>+D152</f>
        <v>721</v>
      </c>
      <c r="T376" s="225">
        <f>D376</f>
        <v>65</v>
      </c>
    </row>
    <row r="377" spans="1:21">
      <c r="A377" s="1">
        <f>A37</f>
        <v>2003</v>
      </c>
      <c r="B377" s="39">
        <f t="shared" si="101"/>
        <v>65</v>
      </c>
      <c r="C377" s="40">
        <f t="shared" si="101"/>
        <v>65</v>
      </c>
      <c r="D377" s="222">
        <f t="shared" si="101"/>
        <v>65</v>
      </c>
      <c r="E377" s="222">
        <f t="shared" si="101"/>
        <v>65</v>
      </c>
      <c r="F377" s="222">
        <f t="shared" si="101"/>
        <v>65</v>
      </c>
      <c r="G377" s="222">
        <f t="shared" si="101"/>
        <v>65</v>
      </c>
      <c r="H377" s="222">
        <f t="shared" si="101"/>
        <v>65</v>
      </c>
      <c r="I377" s="222">
        <f t="shared" si="101"/>
        <v>65</v>
      </c>
      <c r="J377" s="222">
        <f t="shared" si="101"/>
        <v>65</v>
      </c>
      <c r="K377" s="222">
        <f t="shared" si="101"/>
        <v>65</v>
      </c>
      <c r="L377" s="222">
        <f t="shared" si="101"/>
        <v>65</v>
      </c>
      <c r="M377" s="166">
        <f t="shared" si="101"/>
        <v>65</v>
      </c>
      <c r="O377" s="1">
        <f t="shared" si="99"/>
        <v>17</v>
      </c>
      <c r="P377" s="345"/>
      <c r="S377" s="345">
        <f>+D153</f>
        <v>1516</v>
      </c>
    </row>
    <row r="378" spans="1:21">
      <c r="A378" s="254">
        <f>A38</f>
        <v>2004</v>
      </c>
      <c r="B378" s="40">
        <f t="shared" si="101"/>
        <v>65</v>
      </c>
      <c r="C378" s="40">
        <f t="shared" si="101"/>
        <v>65</v>
      </c>
      <c r="D378" s="222">
        <f t="shared" si="101"/>
        <v>65</v>
      </c>
      <c r="E378" s="222">
        <f t="shared" si="101"/>
        <v>65</v>
      </c>
      <c r="F378" s="222">
        <f t="shared" si="101"/>
        <v>65</v>
      </c>
      <c r="G378" s="222">
        <f t="shared" si="101"/>
        <v>65</v>
      </c>
      <c r="H378" s="222">
        <f t="shared" si="101"/>
        <v>65</v>
      </c>
      <c r="I378" s="222">
        <f t="shared" si="101"/>
        <v>65</v>
      </c>
      <c r="J378" s="222">
        <f t="shared" si="101"/>
        <v>65</v>
      </c>
      <c r="K378" s="222">
        <f t="shared" si="101"/>
        <v>65</v>
      </c>
      <c r="L378" s="222">
        <f t="shared" si="101"/>
        <v>65</v>
      </c>
      <c r="M378" s="166">
        <f t="shared" si="101"/>
        <v>65</v>
      </c>
      <c r="O378" s="1">
        <f t="shared" si="99"/>
        <v>16</v>
      </c>
      <c r="P378" s="345"/>
      <c r="S378" s="345">
        <f>+D154</f>
        <v>1648</v>
      </c>
    </row>
    <row r="379" spans="1:21">
      <c r="A379" s="254">
        <f>A39</f>
        <v>2005</v>
      </c>
      <c r="B379" s="40">
        <f t="shared" si="101"/>
        <v>65</v>
      </c>
      <c r="C379" s="40">
        <f t="shared" si="101"/>
        <v>65</v>
      </c>
      <c r="D379" s="40">
        <f t="shared" si="101"/>
        <v>65</v>
      </c>
      <c r="E379" s="222">
        <f t="shared" si="101"/>
        <v>65</v>
      </c>
      <c r="F379" s="222">
        <f t="shared" si="101"/>
        <v>65</v>
      </c>
      <c r="G379" s="222">
        <f t="shared" si="101"/>
        <v>65</v>
      </c>
      <c r="H379" s="222">
        <f t="shared" si="101"/>
        <v>65</v>
      </c>
      <c r="I379" s="222">
        <f t="shared" si="101"/>
        <v>65</v>
      </c>
      <c r="J379" s="222">
        <f t="shared" si="101"/>
        <v>65</v>
      </c>
      <c r="K379" s="222">
        <f t="shared" si="101"/>
        <v>65</v>
      </c>
      <c r="L379" s="222">
        <f t="shared" si="101"/>
        <v>65</v>
      </c>
      <c r="M379" s="166">
        <f t="shared" si="101"/>
        <v>65</v>
      </c>
      <c r="O379" s="1">
        <f t="shared" si="99"/>
        <v>15</v>
      </c>
      <c r="P379" s="345"/>
      <c r="S379" s="345">
        <f>+D155</f>
        <v>1642</v>
      </c>
      <c r="U379" s="225">
        <f>D379</f>
        <v>65</v>
      </c>
    </row>
    <row r="380" spans="1:21">
      <c r="A380" s="254">
        <f>A40</f>
        <v>2006</v>
      </c>
      <c r="B380" s="40">
        <f t="shared" ref="B380:M388" si="102">IF(B308&lt;=65,65-B308," ")</f>
        <v>65</v>
      </c>
      <c r="C380" s="40">
        <f t="shared" si="102"/>
        <v>65</v>
      </c>
      <c r="D380" s="222">
        <f t="shared" si="102"/>
        <v>65</v>
      </c>
      <c r="E380" s="222">
        <f t="shared" si="102"/>
        <v>65</v>
      </c>
      <c r="F380" s="222">
        <f t="shared" si="102"/>
        <v>65</v>
      </c>
      <c r="G380" s="222">
        <f t="shared" si="102"/>
        <v>65</v>
      </c>
      <c r="H380" s="222">
        <f t="shared" si="102"/>
        <v>65</v>
      </c>
      <c r="I380" s="222">
        <f t="shared" si="102"/>
        <v>65</v>
      </c>
      <c r="J380" s="222">
        <f t="shared" si="102"/>
        <v>65</v>
      </c>
      <c r="K380" s="222">
        <f t="shared" si="102"/>
        <v>65</v>
      </c>
      <c r="L380" s="222">
        <f t="shared" si="102"/>
        <v>65</v>
      </c>
      <c r="M380" s="222">
        <f t="shared" si="102"/>
        <v>65</v>
      </c>
      <c r="O380" s="1">
        <f t="shared" si="99"/>
        <v>14</v>
      </c>
      <c r="P380" s="345"/>
      <c r="S380" s="345">
        <f>+D156</f>
        <v>1923</v>
      </c>
    </row>
    <row r="381" spans="1:21">
      <c r="A381" s="254">
        <f>A41</f>
        <v>2007</v>
      </c>
      <c r="B381" s="40">
        <f t="shared" si="102"/>
        <v>65</v>
      </c>
      <c r="C381" s="40">
        <f t="shared" si="102"/>
        <v>65</v>
      </c>
      <c r="D381" s="222">
        <f t="shared" si="102"/>
        <v>65</v>
      </c>
      <c r="E381" s="222">
        <f t="shared" si="102"/>
        <v>65</v>
      </c>
      <c r="F381" s="222">
        <f t="shared" si="102"/>
        <v>65</v>
      </c>
      <c r="G381" s="222">
        <f t="shared" si="102"/>
        <v>65</v>
      </c>
      <c r="H381" s="222">
        <f t="shared" si="102"/>
        <v>65</v>
      </c>
      <c r="I381" s="222">
        <f t="shared" si="102"/>
        <v>65</v>
      </c>
      <c r="J381" s="222">
        <f t="shared" si="102"/>
        <v>65</v>
      </c>
      <c r="K381" s="222">
        <f t="shared" si="102"/>
        <v>65</v>
      </c>
      <c r="L381" s="222">
        <f t="shared" si="102"/>
        <v>65</v>
      </c>
      <c r="M381" s="332">
        <f t="shared" si="102"/>
        <v>65</v>
      </c>
      <c r="O381" s="1">
        <f t="shared" si="99"/>
        <v>13</v>
      </c>
      <c r="P381" s="345"/>
      <c r="S381" s="345">
        <f>+D157</f>
        <v>1723</v>
      </c>
    </row>
    <row r="382" spans="1:21">
      <c r="A382" s="254">
        <f>A42</f>
        <v>2008</v>
      </c>
      <c r="B382" s="40">
        <f t="shared" si="102"/>
        <v>65</v>
      </c>
      <c r="C382" s="40">
        <f t="shared" si="102"/>
        <v>65</v>
      </c>
      <c r="D382" s="222">
        <f t="shared" si="102"/>
        <v>65</v>
      </c>
      <c r="E382" s="222">
        <f t="shared" si="102"/>
        <v>65</v>
      </c>
      <c r="F382" s="222">
        <f t="shared" si="102"/>
        <v>65</v>
      </c>
      <c r="G382" s="222">
        <f t="shared" si="102"/>
        <v>65</v>
      </c>
      <c r="H382" s="222">
        <f t="shared" si="102"/>
        <v>65</v>
      </c>
      <c r="I382" s="222">
        <f t="shared" si="102"/>
        <v>65</v>
      </c>
      <c r="J382" s="222">
        <f t="shared" si="102"/>
        <v>65</v>
      </c>
      <c r="K382" s="222">
        <f t="shared" si="102"/>
        <v>65</v>
      </c>
      <c r="L382" s="222">
        <f t="shared" si="102"/>
        <v>65</v>
      </c>
      <c r="M382" s="166">
        <f t="shared" si="102"/>
        <v>65</v>
      </c>
      <c r="O382" s="1">
        <f t="shared" si="99"/>
        <v>12</v>
      </c>
      <c r="P382" s="345"/>
      <c r="S382" s="345">
        <f>+D158</f>
        <v>1638</v>
      </c>
    </row>
    <row r="383" spans="1:21">
      <c r="A383" s="254">
        <f>A43</f>
        <v>2009</v>
      </c>
      <c r="B383" s="40">
        <f t="shared" si="102"/>
        <v>65</v>
      </c>
      <c r="C383" s="40">
        <f t="shared" si="102"/>
        <v>65</v>
      </c>
      <c r="D383" s="40">
        <f t="shared" si="102"/>
        <v>65</v>
      </c>
      <c r="E383" s="222">
        <f t="shared" si="102"/>
        <v>65</v>
      </c>
      <c r="F383" s="222">
        <f t="shared" si="102"/>
        <v>65</v>
      </c>
      <c r="G383" s="222">
        <f t="shared" si="102"/>
        <v>65</v>
      </c>
      <c r="H383" s="222">
        <f t="shared" si="102"/>
        <v>65</v>
      </c>
      <c r="I383" s="222">
        <f t="shared" si="102"/>
        <v>65</v>
      </c>
      <c r="J383" s="222">
        <f t="shared" si="102"/>
        <v>65</v>
      </c>
      <c r="K383" s="222">
        <f t="shared" si="102"/>
        <v>65</v>
      </c>
      <c r="L383" s="222">
        <f t="shared" si="102"/>
        <v>65</v>
      </c>
      <c r="M383" s="222">
        <f t="shared" si="102"/>
        <v>65</v>
      </c>
      <c r="O383" s="1">
        <f t="shared" si="99"/>
        <v>11</v>
      </c>
      <c r="P383" s="345"/>
      <c r="S383" s="345">
        <f>+D159</f>
        <v>714</v>
      </c>
      <c r="T383" s="225">
        <f>D383</f>
        <v>65</v>
      </c>
    </row>
    <row r="384" spans="1:21">
      <c r="A384" s="254">
        <f>A44</f>
        <v>2010</v>
      </c>
      <c r="B384" s="40">
        <f t="shared" si="102"/>
        <v>65</v>
      </c>
      <c r="C384" s="40">
        <f t="shared" si="102"/>
        <v>65</v>
      </c>
      <c r="D384" s="40">
        <f t="shared" si="102"/>
        <v>65</v>
      </c>
      <c r="E384" s="222">
        <f t="shared" si="102"/>
        <v>65</v>
      </c>
      <c r="F384" s="222">
        <f t="shared" si="102"/>
        <v>65</v>
      </c>
      <c r="G384" s="222">
        <f t="shared" si="102"/>
        <v>65</v>
      </c>
      <c r="H384" s="222">
        <f t="shared" si="102"/>
        <v>65</v>
      </c>
      <c r="I384" s="222">
        <f t="shared" si="102"/>
        <v>65</v>
      </c>
      <c r="J384" s="222">
        <f t="shared" si="102"/>
        <v>65</v>
      </c>
      <c r="K384" s="222">
        <f t="shared" si="102"/>
        <v>65</v>
      </c>
      <c r="L384" s="222">
        <f t="shared" si="102"/>
        <v>65</v>
      </c>
      <c r="M384" s="166">
        <f t="shared" si="102"/>
        <v>65</v>
      </c>
      <c r="O384" s="1">
        <f t="shared" si="99"/>
        <v>10</v>
      </c>
      <c r="P384" s="345"/>
      <c r="S384" s="345">
        <f>+D160</f>
        <v>706</v>
      </c>
      <c r="T384" s="225">
        <f>D384</f>
        <v>65</v>
      </c>
    </row>
    <row r="385" spans="1:21">
      <c r="A385" s="254">
        <f>A45</f>
        <v>2011</v>
      </c>
      <c r="B385" s="40">
        <f t="shared" si="102"/>
        <v>65</v>
      </c>
      <c r="C385" s="40">
        <f t="shared" si="102"/>
        <v>65</v>
      </c>
      <c r="D385" s="222">
        <f t="shared" si="102"/>
        <v>65</v>
      </c>
      <c r="E385" s="222">
        <f t="shared" si="102"/>
        <v>65</v>
      </c>
      <c r="F385" s="222">
        <f t="shared" si="102"/>
        <v>65</v>
      </c>
      <c r="G385" s="222">
        <f t="shared" si="102"/>
        <v>65</v>
      </c>
      <c r="H385" s="222">
        <f t="shared" si="102"/>
        <v>65</v>
      </c>
      <c r="I385" s="222">
        <f t="shared" si="102"/>
        <v>65</v>
      </c>
      <c r="J385" s="222">
        <f t="shared" si="102"/>
        <v>65</v>
      </c>
      <c r="K385" s="222">
        <f t="shared" si="102"/>
        <v>65</v>
      </c>
      <c r="L385" s="222">
        <f t="shared" si="102"/>
        <v>65</v>
      </c>
      <c r="M385" s="222">
        <f t="shared" si="102"/>
        <v>65</v>
      </c>
      <c r="O385" s="1">
        <f t="shared" si="99"/>
        <v>9</v>
      </c>
      <c r="P385" s="345"/>
      <c r="S385" s="345">
        <f>+D161</f>
        <v>1730</v>
      </c>
    </row>
    <row r="386" spans="1:21">
      <c r="A386" s="254">
        <f>A46</f>
        <v>2012</v>
      </c>
      <c r="B386" s="40">
        <f t="shared" si="102"/>
        <v>65</v>
      </c>
      <c r="C386" s="40">
        <f t="shared" si="102"/>
        <v>65</v>
      </c>
      <c r="D386" s="222">
        <f t="shared" si="102"/>
        <v>65</v>
      </c>
      <c r="E386" s="222">
        <f t="shared" si="102"/>
        <v>65</v>
      </c>
      <c r="F386" s="222">
        <f t="shared" si="102"/>
        <v>65</v>
      </c>
      <c r="G386" s="222">
        <f t="shared" si="102"/>
        <v>65</v>
      </c>
      <c r="H386" s="222">
        <f t="shared" si="102"/>
        <v>65</v>
      </c>
      <c r="I386" s="222">
        <f t="shared" si="102"/>
        <v>65</v>
      </c>
      <c r="J386" s="222">
        <f t="shared" si="102"/>
        <v>65</v>
      </c>
      <c r="K386" s="222">
        <f t="shared" si="102"/>
        <v>65</v>
      </c>
      <c r="L386" s="222">
        <f t="shared" si="102"/>
        <v>65</v>
      </c>
      <c r="M386" s="222">
        <f t="shared" si="102"/>
        <v>65</v>
      </c>
      <c r="O386" s="1">
        <f t="shared" si="99"/>
        <v>8</v>
      </c>
      <c r="P386" s="345"/>
      <c r="S386" s="345">
        <f>+D162</f>
        <v>1709</v>
      </c>
    </row>
    <row r="387" spans="1:21">
      <c r="A387" s="254">
        <f>A47</f>
        <v>2013</v>
      </c>
      <c r="B387" s="222"/>
      <c r="C387" s="40">
        <f t="shared" si="102"/>
        <v>65</v>
      </c>
      <c r="D387" s="40">
        <f t="shared" si="102"/>
        <v>65</v>
      </c>
      <c r="E387" s="222">
        <f t="shared" si="102"/>
        <v>65</v>
      </c>
      <c r="F387" s="222">
        <f t="shared" si="102"/>
        <v>65</v>
      </c>
      <c r="G387" s="222">
        <f t="shared" si="102"/>
        <v>65</v>
      </c>
      <c r="H387" s="222">
        <f t="shared" si="102"/>
        <v>65</v>
      </c>
      <c r="I387" s="222">
        <f t="shared" si="102"/>
        <v>65</v>
      </c>
      <c r="J387" s="222">
        <f t="shared" si="102"/>
        <v>65</v>
      </c>
      <c r="K387" s="222">
        <f t="shared" si="102"/>
        <v>65</v>
      </c>
      <c r="L387" s="222">
        <f t="shared" si="102"/>
        <v>65</v>
      </c>
      <c r="M387" s="222">
        <f t="shared" si="102"/>
        <v>65</v>
      </c>
      <c r="O387" s="1">
        <f t="shared" si="99"/>
        <v>7</v>
      </c>
      <c r="P387" s="345"/>
      <c r="S387" s="345">
        <f>+D163</f>
        <v>711</v>
      </c>
      <c r="T387" s="225">
        <f>D387</f>
        <v>65</v>
      </c>
    </row>
    <row r="388" spans="1:21">
      <c r="A388" s="254">
        <f>A48</f>
        <v>2014</v>
      </c>
      <c r="B388" s="40">
        <f>IF(B316&lt;=65,65-B316," ")</f>
        <v>65</v>
      </c>
      <c r="C388" s="253">
        <f>IF(C316&lt;=65,65-C316," ")</f>
        <v>65</v>
      </c>
      <c r="D388" s="222">
        <f>IF(D316&lt;=65,65-D316," ")</f>
        <v>65</v>
      </c>
      <c r="E388" s="222">
        <f>IF(E316&lt;=65,65-E316," ")</f>
        <v>65</v>
      </c>
      <c r="F388" s="222">
        <f t="shared" si="102"/>
        <v>65</v>
      </c>
      <c r="G388" s="222">
        <f t="shared" si="102"/>
        <v>65</v>
      </c>
      <c r="H388" s="222">
        <f t="shared" si="102"/>
        <v>65</v>
      </c>
      <c r="I388" s="222">
        <f t="shared" si="102"/>
        <v>65</v>
      </c>
      <c r="J388" s="222">
        <f t="shared" si="102"/>
        <v>65</v>
      </c>
      <c r="K388" s="222">
        <f t="shared" si="102"/>
        <v>65</v>
      </c>
      <c r="L388" s="253">
        <f>IF(L316&lt;=65,65-L316," ")</f>
        <v>65</v>
      </c>
      <c r="M388" s="253">
        <f>IF(M316&lt;=65,65-M316," ")</f>
        <v>65</v>
      </c>
      <c r="O388" s="1">
        <f t="shared" si="99"/>
        <v>6</v>
      </c>
      <c r="P388" s="345"/>
      <c r="Q388" s="225">
        <v>15</v>
      </c>
      <c r="S388" s="345">
        <f>+D164</f>
        <v>1744</v>
      </c>
    </row>
    <row r="389" spans="1:21">
      <c r="A389" s="254">
        <f>A49</f>
        <v>2015</v>
      </c>
      <c r="B389" s="40">
        <f>IF(B317&lt;=65,65-B317," ")</f>
        <v>65</v>
      </c>
      <c r="C389" s="40">
        <f t="shared" ref="C389:L393" si="103">IF(C317&lt;=65,65-C317," ")</f>
        <v>65</v>
      </c>
      <c r="D389" s="222">
        <f t="shared" si="103"/>
        <v>65</v>
      </c>
      <c r="E389" s="222">
        <f t="shared" si="103"/>
        <v>65</v>
      </c>
      <c r="F389" s="222">
        <f t="shared" si="103"/>
        <v>65</v>
      </c>
      <c r="G389" s="222">
        <f t="shared" si="103"/>
        <v>65</v>
      </c>
      <c r="H389" s="222">
        <f t="shared" si="103"/>
        <v>65</v>
      </c>
      <c r="I389" s="222">
        <f t="shared" si="103"/>
        <v>65</v>
      </c>
      <c r="J389" s="222">
        <f t="shared" si="103"/>
        <v>65</v>
      </c>
      <c r="K389" s="222">
        <f t="shared" si="103"/>
        <v>65</v>
      </c>
      <c r="L389" s="222">
        <f t="shared" si="103"/>
        <v>65</v>
      </c>
      <c r="M389" s="222">
        <f>IF(M317&lt;=65,65-M317," ")</f>
        <v>65</v>
      </c>
      <c r="O389" s="1">
        <f t="shared" si="99"/>
        <v>5</v>
      </c>
      <c r="P389" s="345"/>
      <c r="S389" s="345">
        <f>+D165</f>
        <v>1649</v>
      </c>
    </row>
    <row r="390" spans="1:21">
      <c r="A390" s="254">
        <f>A50</f>
        <v>2016</v>
      </c>
      <c r="B390" s="40">
        <f>IF(B318&lt;=65,65-B318," ")</f>
        <v>65</v>
      </c>
      <c r="C390" s="40">
        <f t="shared" si="103"/>
        <v>65</v>
      </c>
      <c r="D390" s="222">
        <f t="shared" si="103"/>
        <v>65</v>
      </c>
      <c r="E390" s="222">
        <f t="shared" si="103"/>
        <v>65</v>
      </c>
      <c r="F390" s="222">
        <f t="shared" si="103"/>
        <v>65</v>
      </c>
      <c r="G390" s="222">
        <f t="shared" si="103"/>
        <v>65</v>
      </c>
      <c r="H390" s="222">
        <f t="shared" si="103"/>
        <v>65</v>
      </c>
      <c r="I390" s="222">
        <f t="shared" si="103"/>
        <v>65</v>
      </c>
      <c r="J390" s="222">
        <f t="shared" si="103"/>
        <v>65</v>
      </c>
      <c r="K390" s="222">
        <f t="shared" si="103"/>
        <v>65</v>
      </c>
      <c r="L390" s="222">
        <f t="shared" si="103"/>
        <v>65</v>
      </c>
      <c r="M390" s="222">
        <f>IF(M318&lt;=65,65-M318," ")</f>
        <v>65</v>
      </c>
      <c r="O390" s="1">
        <f t="shared" si="99"/>
        <v>4</v>
      </c>
      <c r="P390" s="345"/>
      <c r="S390" s="345">
        <f>+D166</f>
        <v>1727</v>
      </c>
    </row>
    <row r="391" spans="1:21">
      <c r="A391" s="254">
        <f>A51</f>
        <v>2017</v>
      </c>
      <c r="B391" s="40">
        <f>IF(B319&lt;=65,65-B319," ")</f>
        <v>65</v>
      </c>
      <c r="C391" s="222">
        <f t="shared" si="103"/>
        <v>65</v>
      </c>
      <c r="D391" s="222">
        <f t="shared" si="103"/>
        <v>65</v>
      </c>
      <c r="E391" s="222">
        <f t="shared" si="103"/>
        <v>65</v>
      </c>
      <c r="F391" s="222">
        <f t="shared" si="103"/>
        <v>65</v>
      </c>
      <c r="G391" s="222">
        <f t="shared" si="103"/>
        <v>65</v>
      </c>
      <c r="H391" s="222">
        <f t="shared" si="103"/>
        <v>65</v>
      </c>
      <c r="I391" s="222">
        <f t="shared" si="103"/>
        <v>65</v>
      </c>
      <c r="J391" s="222">
        <f t="shared" si="103"/>
        <v>65</v>
      </c>
      <c r="K391" s="222">
        <f t="shared" si="103"/>
        <v>65</v>
      </c>
      <c r="L391" s="222">
        <f t="shared" si="103"/>
        <v>65</v>
      </c>
      <c r="M391" s="253">
        <f>IF(M319&lt;=65,65-M319," ")</f>
        <v>65</v>
      </c>
      <c r="O391" s="1">
        <f t="shared" si="99"/>
        <v>3</v>
      </c>
      <c r="P391" s="345"/>
      <c r="S391" s="345">
        <f>+D167</f>
        <v>1629</v>
      </c>
    </row>
    <row r="392" spans="1:21">
      <c r="A392" s="254">
        <f>A52</f>
        <v>2018</v>
      </c>
      <c r="B392" s="40">
        <f>IF(B320&lt;=65,65-B320," ")</f>
        <v>65</v>
      </c>
      <c r="C392" s="222">
        <f t="shared" si="103"/>
        <v>65</v>
      </c>
      <c r="D392" s="222">
        <f t="shared" si="103"/>
        <v>65</v>
      </c>
      <c r="E392" s="222">
        <f t="shared" si="103"/>
        <v>65</v>
      </c>
      <c r="F392" s="222">
        <f t="shared" si="103"/>
        <v>65</v>
      </c>
      <c r="G392" s="222">
        <f t="shared" si="103"/>
        <v>65</v>
      </c>
      <c r="H392" s="222">
        <f t="shared" si="103"/>
        <v>65</v>
      </c>
      <c r="I392" s="222">
        <f t="shared" si="103"/>
        <v>65</v>
      </c>
      <c r="J392" s="222">
        <f t="shared" si="103"/>
        <v>65</v>
      </c>
      <c r="K392" s="222">
        <f t="shared" si="103"/>
        <v>65</v>
      </c>
      <c r="L392" s="222">
        <f t="shared" si="103"/>
        <v>65</v>
      </c>
      <c r="M392" s="222">
        <f>IF(M320&lt;=65,65-M320," ")</f>
        <v>65</v>
      </c>
      <c r="O392" s="1">
        <f t="shared" si="99"/>
        <v>2</v>
      </c>
      <c r="P392" s="345"/>
      <c r="S392" s="345">
        <f>+D168</f>
        <v>1533</v>
      </c>
    </row>
    <row r="393" spans="1:21">
      <c r="A393" s="254">
        <f>A53</f>
        <v>2019</v>
      </c>
      <c r="B393" s="40">
        <f>IF(B321&lt;=65,65-B321," ")</f>
        <v>65</v>
      </c>
      <c r="C393" s="222">
        <f t="shared" si="103"/>
        <v>65</v>
      </c>
      <c r="D393" s="222">
        <f t="shared" si="103"/>
        <v>65</v>
      </c>
      <c r="E393" s="222">
        <f t="shared" si="103"/>
        <v>65</v>
      </c>
      <c r="F393" s="222">
        <f t="shared" si="103"/>
        <v>65</v>
      </c>
      <c r="G393" s="222">
        <f t="shared" si="103"/>
        <v>65</v>
      </c>
      <c r="H393" s="222">
        <f t="shared" si="103"/>
        <v>65</v>
      </c>
      <c r="I393" s="222">
        <f t="shared" si="103"/>
        <v>65</v>
      </c>
      <c r="J393" s="222">
        <f t="shared" si="103"/>
        <v>65</v>
      </c>
      <c r="K393" s="222">
        <f t="shared" si="103"/>
        <v>65</v>
      </c>
      <c r="L393" s="222">
        <f t="shared" si="103"/>
        <v>65</v>
      </c>
      <c r="M393" s="222">
        <f>IF(M321&lt;=65,65-M321," ")</f>
        <v>65</v>
      </c>
      <c r="O393" s="1">
        <v>1</v>
      </c>
      <c r="P393" s="345"/>
      <c r="S393" s="345">
        <f>+D169</f>
        <v>1717</v>
      </c>
    </row>
    <row r="394" spans="1:21">
      <c r="A394" s="254">
        <f>A54</f>
        <v>2020</v>
      </c>
      <c r="B394" s="40"/>
      <c r="C394" s="222"/>
      <c r="D394" s="222"/>
      <c r="E394" s="222"/>
      <c r="F394" s="222"/>
      <c r="G394" s="222"/>
      <c r="H394" s="222"/>
      <c r="I394" s="222"/>
      <c r="J394" s="222"/>
      <c r="K394" s="222"/>
      <c r="L394" s="222"/>
      <c r="M394" s="222"/>
      <c r="P394" s="345"/>
      <c r="S394" s="345"/>
    </row>
    <row r="395" spans="1:21">
      <c r="A395" s="254">
        <f>A55</f>
        <v>2021</v>
      </c>
      <c r="B395" s="40"/>
      <c r="C395" s="222"/>
      <c r="D395" s="222"/>
      <c r="E395" s="222"/>
      <c r="F395" s="222"/>
      <c r="G395" s="222"/>
      <c r="H395" s="222"/>
      <c r="I395" s="222"/>
      <c r="J395" s="222"/>
      <c r="K395" s="222"/>
      <c r="L395" s="222"/>
      <c r="M395" s="222"/>
      <c r="P395" s="345"/>
      <c r="S395" s="345"/>
    </row>
    <row r="396" spans="1:21" customFormat="1">
      <c r="A396" s="254">
        <f>A56</f>
        <v>2022</v>
      </c>
    </row>
    <row r="397" spans="1:21">
      <c r="B397" s="40"/>
      <c r="C397" s="253"/>
    </row>
    <row r="398" spans="1:21" ht="15.75">
      <c r="A398" s="1" t="s">
        <v>67</v>
      </c>
      <c r="B398" s="43">
        <f>AVERAGE(B364:B393)</f>
        <v>65</v>
      </c>
      <c r="C398" s="43">
        <f>AVERAGE(C364:C393)</f>
        <v>65</v>
      </c>
      <c r="D398" s="43">
        <f>AVERAGE(D364:D393)</f>
        <v>65</v>
      </c>
      <c r="E398" s="43"/>
      <c r="F398" s="43"/>
      <c r="G398" s="43"/>
      <c r="H398" s="43"/>
      <c r="I398" s="43"/>
      <c r="J398" s="43"/>
      <c r="K398" s="43"/>
      <c r="L398" s="43">
        <f>AVERAGE(L364:L393)</f>
        <v>65</v>
      </c>
      <c r="M398" s="43">
        <f>AVERAGE(M364:M393)</f>
        <v>65</v>
      </c>
      <c r="Q398" s="302">
        <f>AVERAGE(Q364:Q393)</f>
        <v>48.333333333333336</v>
      </c>
      <c r="R398" s="302" t="e">
        <f>AVERAGE(R364:R393)</f>
        <v>#DIV/0!</v>
      </c>
      <c r="S398" s="225" t="s">
        <v>67</v>
      </c>
      <c r="T398" s="302">
        <f>AVERAGE(T364:T393)</f>
        <v>65</v>
      </c>
      <c r="U398" s="302">
        <f>AVERAGE(U364:U393)</f>
        <v>65</v>
      </c>
    </row>
    <row r="399" spans="1:21" ht="15.75">
      <c r="A399" s="1" t="s">
        <v>69</v>
      </c>
      <c r="B399" s="43">
        <f>AVERAGE(B374:B393)</f>
        <v>65</v>
      </c>
      <c r="C399" s="43">
        <f>AVERAGE(C374:C393)</f>
        <v>65</v>
      </c>
      <c r="D399" s="43">
        <f>AVERAGE(D374:D393)</f>
        <v>65</v>
      </c>
      <c r="E399" s="43"/>
      <c r="F399" s="43"/>
      <c r="G399" s="43"/>
      <c r="H399" s="43"/>
      <c r="I399" s="43"/>
      <c r="J399" s="43"/>
      <c r="K399" s="43"/>
      <c r="L399" s="43">
        <f>AVERAGE(L374:L393)</f>
        <v>65</v>
      </c>
      <c r="M399" s="43">
        <f>AVERAGE(M374:M393)</f>
        <v>65</v>
      </c>
      <c r="Q399" s="302">
        <f>AVERAGE(Q374:Q393)</f>
        <v>40</v>
      </c>
      <c r="R399" s="302" t="e">
        <f>AVERAGE(R374:R393)</f>
        <v>#DIV/0!</v>
      </c>
      <c r="S399" s="225" t="s">
        <v>69</v>
      </c>
      <c r="T399" s="302">
        <f>AVERAGE(T374:T393)</f>
        <v>65</v>
      </c>
      <c r="U399" s="302">
        <f>AVERAGE(U374:U393)</f>
        <v>65</v>
      </c>
    </row>
    <row r="400" spans="1:21" ht="15.75">
      <c r="A400" s="1" t="s">
        <v>68</v>
      </c>
      <c r="B400" s="43">
        <f>AVERAGE(B384:B393)</f>
        <v>65</v>
      </c>
      <c r="C400" s="43">
        <f>AVERAGE(C384:C393)</f>
        <v>65</v>
      </c>
      <c r="D400" s="43">
        <f>AVERAGE(D384:D393)</f>
        <v>65</v>
      </c>
      <c r="E400" s="43"/>
      <c r="F400" s="43"/>
      <c r="G400" s="43"/>
      <c r="H400" s="43"/>
      <c r="I400" s="43"/>
      <c r="J400" s="43"/>
      <c r="K400" s="43"/>
      <c r="L400" s="43">
        <f>AVERAGE(L384:L393)</f>
        <v>65</v>
      </c>
      <c r="M400" s="43">
        <f>AVERAGE(M384:M393)</f>
        <v>65</v>
      </c>
      <c r="Q400" s="302">
        <f>AVERAGE(Q384:Q393)</f>
        <v>15</v>
      </c>
      <c r="R400" s="302" t="e">
        <f>AVERAGE(R384:R393)</f>
        <v>#DIV/0!</v>
      </c>
      <c r="S400" s="225" t="s">
        <v>68</v>
      </c>
      <c r="T400" s="302">
        <f>AVERAGE(T384:T393)</f>
        <v>65</v>
      </c>
      <c r="U400" s="302" t="e">
        <f>AVERAGE(U384:U393)</f>
        <v>#DIV/0!</v>
      </c>
    </row>
    <row r="401" spans="1:21">
      <c r="B401" s="334"/>
    </row>
    <row r="402" spans="1:21">
      <c r="A402" s="235" t="s">
        <v>259</v>
      </c>
      <c r="B402" s="236">
        <v>22</v>
      </c>
      <c r="C402" s="236">
        <v>16</v>
      </c>
      <c r="D402" s="236">
        <v>13</v>
      </c>
      <c r="E402" s="236">
        <v>0</v>
      </c>
      <c r="F402" s="236">
        <v>0</v>
      </c>
      <c r="G402" s="236">
        <v>0</v>
      </c>
      <c r="H402" s="236">
        <v>0</v>
      </c>
      <c r="I402" s="236">
        <v>0</v>
      </c>
      <c r="J402" s="236">
        <v>0</v>
      </c>
      <c r="K402" s="236">
        <v>0</v>
      </c>
      <c r="L402" s="236">
        <v>0</v>
      </c>
      <c r="M402" s="236">
        <v>14</v>
      </c>
      <c r="N402" s="236"/>
      <c r="O402" s="236"/>
      <c r="Q402" s="307"/>
      <c r="R402" s="307"/>
      <c r="S402" s="307"/>
      <c r="T402" s="307"/>
      <c r="U402" s="308"/>
    </row>
    <row r="403" spans="1:21">
      <c r="A403" s="238" t="s">
        <v>260</v>
      </c>
      <c r="B403" s="239">
        <f>65-B402</f>
        <v>43</v>
      </c>
      <c r="C403" s="239">
        <f>65-C402</f>
        <v>49</v>
      </c>
      <c r="D403" s="239">
        <f>65-D402</f>
        <v>52</v>
      </c>
      <c r="E403" s="239"/>
      <c r="F403" s="239"/>
      <c r="G403" s="239"/>
      <c r="H403" s="239"/>
      <c r="I403" s="239"/>
      <c r="J403" s="239"/>
      <c r="K403" s="239"/>
      <c r="L403" s="239"/>
      <c r="M403" s="239">
        <f>65-M402</f>
        <v>51</v>
      </c>
      <c r="N403" s="239"/>
      <c r="O403" s="239"/>
      <c r="Q403" s="313">
        <v>54</v>
      </c>
      <c r="R403" s="346"/>
      <c r="S403" s="313"/>
      <c r="T403" s="313"/>
      <c r="U403" s="347">
        <v>52</v>
      </c>
    </row>
    <row r="404" spans="1:21">
      <c r="B404" s="68">
        <f>65-B399</f>
        <v>0</v>
      </c>
      <c r="C404" s="68">
        <f>65-C399</f>
        <v>0</v>
      </c>
      <c r="D404" s="68">
        <f>65-D399</f>
        <v>0</v>
      </c>
      <c r="M404" s="68">
        <f>65-M399</f>
        <v>0</v>
      </c>
      <c r="Q404" s="291">
        <f>65-Q399</f>
        <v>25</v>
      </c>
      <c r="U404" s="291">
        <f>65-U399</f>
        <v>0</v>
      </c>
    </row>
    <row r="406" spans="1:21">
      <c r="B406" s="1" t="s">
        <v>77</v>
      </c>
    </row>
    <row r="407" spans="1:21">
      <c r="B407" s="165" t="s">
        <v>4</v>
      </c>
      <c r="C407" s="165" t="s">
        <v>8</v>
      </c>
      <c r="D407" s="165" t="s">
        <v>9</v>
      </c>
      <c r="E407" s="165" t="s">
        <v>10</v>
      </c>
      <c r="F407" s="165" t="s">
        <v>11</v>
      </c>
      <c r="G407" s="165" t="s">
        <v>12</v>
      </c>
      <c r="H407" s="165" t="s">
        <v>13</v>
      </c>
      <c r="I407" s="165" t="s">
        <v>15</v>
      </c>
      <c r="J407" s="165" t="s">
        <v>16</v>
      </c>
      <c r="K407" s="165" t="s">
        <v>17</v>
      </c>
      <c r="L407" s="165" t="s">
        <v>18</v>
      </c>
      <c r="M407" s="165" t="s">
        <v>19</v>
      </c>
      <c r="Q407" s="225" t="s">
        <v>93</v>
      </c>
      <c r="S407" s="225" t="s">
        <v>95</v>
      </c>
      <c r="T407" s="225" t="s">
        <v>97</v>
      </c>
    </row>
    <row r="408" spans="1:21">
      <c r="A408" s="1">
        <f>A7</f>
        <v>1973</v>
      </c>
      <c r="B408" s="327" t="str">
        <f t="shared" ref="B408:M423" si="104">IF(B275&gt;=65,B275-65," ")</f>
        <v xml:space="preserve"> </v>
      </c>
      <c r="C408" s="328" t="str">
        <f t="shared" si="104"/>
        <v xml:space="preserve"> </v>
      </c>
      <c r="D408" s="222" t="str">
        <f t="shared" si="104"/>
        <v xml:space="preserve"> </v>
      </c>
      <c r="E408" s="222" t="str">
        <f t="shared" si="104"/>
        <v xml:space="preserve"> </v>
      </c>
      <c r="F408" s="222" t="str">
        <f t="shared" si="104"/>
        <v xml:space="preserve"> </v>
      </c>
      <c r="G408" s="222" t="str">
        <f t="shared" si="104"/>
        <v xml:space="preserve"> </v>
      </c>
      <c r="H408" s="222" t="str">
        <f t="shared" si="104"/>
        <v xml:space="preserve"> </v>
      </c>
      <c r="I408" s="222" t="str">
        <f t="shared" si="104"/>
        <v xml:space="preserve"> </v>
      </c>
      <c r="J408" s="222" t="str">
        <f t="shared" si="104"/>
        <v xml:space="preserve"> </v>
      </c>
      <c r="K408" s="222" t="str">
        <f t="shared" si="104"/>
        <v xml:space="preserve"> </v>
      </c>
      <c r="L408" s="222" t="str">
        <f t="shared" si="104"/>
        <v xml:space="preserve"> </v>
      </c>
      <c r="M408" s="328" t="str">
        <f t="shared" si="104"/>
        <v xml:space="preserve"> </v>
      </c>
      <c r="O408" s="348">
        <f>+L123</f>
        <v>1845</v>
      </c>
      <c r="Q408" s="225" t="str">
        <f>L408</f>
        <v xml:space="preserve"> </v>
      </c>
      <c r="R408" s="345">
        <f>+D123</f>
        <v>1925</v>
      </c>
      <c r="T408" s="225" t="str">
        <f>D408</f>
        <v xml:space="preserve"> </v>
      </c>
    </row>
    <row r="409" spans="1:21">
      <c r="A409" s="1">
        <f>A8</f>
        <v>1974</v>
      </c>
      <c r="B409" s="344" t="str">
        <f t="shared" si="104"/>
        <v xml:space="preserve"> </v>
      </c>
      <c r="C409" s="166" t="str">
        <f t="shared" si="104"/>
        <v xml:space="preserve"> </v>
      </c>
      <c r="D409" s="222" t="str">
        <f t="shared" si="104"/>
        <v xml:space="preserve"> </v>
      </c>
      <c r="E409" s="222" t="str">
        <f t="shared" si="104"/>
        <v xml:space="preserve"> </v>
      </c>
      <c r="F409" s="222" t="str">
        <f t="shared" si="104"/>
        <v xml:space="preserve"> </v>
      </c>
      <c r="G409" s="222" t="str">
        <f t="shared" si="104"/>
        <v xml:space="preserve"> </v>
      </c>
      <c r="H409" s="222" t="str">
        <f t="shared" si="104"/>
        <v xml:space="preserve"> </v>
      </c>
      <c r="I409" s="222" t="str">
        <f t="shared" si="104"/>
        <v xml:space="preserve"> </v>
      </c>
      <c r="J409" s="222" t="str">
        <f t="shared" si="104"/>
        <v xml:space="preserve"> </v>
      </c>
      <c r="K409" s="222" t="str">
        <f t="shared" si="104"/>
        <v xml:space="preserve"> </v>
      </c>
      <c r="L409" s="222" t="str">
        <f t="shared" si="104"/>
        <v xml:space="preserve"> </v>
      </c>
      <c r="M409" s="166" t="str">
        <f t="shared" si="104"/>
        <v xml:space="preserve"> </v>
      </c>
      <c r="O409" s="348">
        <f>+L124</f>
        <v>1825</v>
      </c>
      <c r="Q409" s="225" t="str">
        <f>L409</f>
        <v xml:space="preserve"> </v>
      </c>
      <c r="R409" s="345">
        <f>+D124</f>
        <v>1710</v>
      </c>
      <c r="T409" s="225" t="str">
        <f>D409</f>
        <v xml:space="preserve"> </v>
      </c>
    </row>
    <row r="410" spans="1:21">
      <c r="A410" s="1">
        <f>A9</f>
        <v>1975</v>
      </c>
      <c r="B410" s="331" t="str">
        <f t="shared" si="104"/>
        <v xml:space="preserve"> </v>
      </c>
      <c r="C410" s="166" t="str">
        <f t="shared" si="104"/>
        <v xml:space="preserve"> </v>
      </c>
      <c r="D410" s="166" t="str">
        <f t="shared" si="104"/>
        <v xml:space="preserve"> </v>
      </c>
      <c r="E410" s="222" t="str">
        <f t="shared" si="104"/>
        <v xml:space="preserve"> </v>
      </c>
      <c r="F410" s="222" t="str">
        <f t="shared" si="104"/>
        <v xml:space="preserve"> </v>
      </c>
      <c r="G410" s="222" t="str">
        <f t="shared" si="104"/>
        <v xml:space="preserve"> </v>
      </c>
      <c r="H410" s="222" t="str">
        <f t="shared" si="104"/>
        <v xml:space="preserve"> </v>
      </c>
      <c r="I410" s="222" t="str">
        <f t="shared" si="104"/>
        <v xml:space="preserve"> </v>
      </c>
      <c r="J410" s="222" t="str">
        <f t="shared" si="104"/>
        <v xml:space="preserve"> </v>
      </c>
      <c r="K410" s="222" t="str">
        <f t="shared" si="104"/>
        <v xml:space="preserve"> </v>
      </c>
      <c r="L410" s="166" t="str">
        <f t="shared" si="104"/>
        <v xml:space="preserve"> </v>
      </c>
      <c r="M410" s="332" t="str">
        <f t="shared" si="104"/>
        <v xml:space="preserve"> </v>
      </c>
      <c r="O410" s="348">
        <f>+L125</f>
        <v>740</v>
      </c>
      <c r="R410" s="345">
        <f>+D125</f>
        <v>722</v>
      </c>
    </row>
    <row r="411" spans="1:21">
      <c r="A411" s="1">
        <f>A10</f>
        <v>1976</v>
      </c>
      <c r="B411" s="331" t="str">
        <f t="shared" si="104"/>
        <v xml:space="preserve"> </v>
      </c>
      <c r="C411" s="166" t="str">
        <f t="shared" si="104"/>
        <v xml:space="preserve"> </v>
      </c>
      <c r="D411" s="222" t="str">
        <f t="shared" si="104"/>
        <v xml:space="preserve"> </v>
      </c>
      <c r="E411" s="222" t="str">
        <f t="shared" si="104"/>
        <v xml:space="preserve"> </v>
      </c>
      <c r="F411" s="222" t="str">
        <f t="shared" si="104"/>
        <v xml:space="preserve"> </v>
      </c>
      <c r="G411" s="222" t="str">
        <f t="shared" si="104"/>
        <v xml:space="preserve"> </v>
      </c>
      <c r="H411" s="222" t="str">
        <f t="shared" si="104"/>
        <v xml:space="preserve"> </v>
      </c>
      <c r="I411" s="222" t="str">
        <f t="shared" si="104"/>
        <v xml:space="preserve"> </v>
      </c>
      <c r="J411" s="222" t="str">
        <f t="shared" si="104"/>
        <v xml:space="preserve"> </v>
      </c>
      <c r="K411" s="222" t="str">
        <f t="shared" si="104"/>
        <v xml:space="preserve"> </v>
      </c>
      <c r="L411" s="332" t="str">
        <f t="shared" si="104"/>
        <v xml:space="preserve"> </v>
      </c>
      <c r="M411" s="166" t="str">
        <f t="shared" si="104"/>
        <v xml:space="preserve"> </v>
      </c>
      <c r="O411" s="348">
        <f>+L126</f>
        <v>1917</v>
      </c>
      <c r="Q411" s="225" t="str">
        <f>L411</f>
        <v xml:space="preserve"> </v>
      </c>
      <c r="R411" s="345">
        <f>+D126</f>
        <v>1906</v>
      </c>
      <c r="T411" s="225" t="str">
        <f>D411</f>
        <v xml:space="preserve"> </v>
      </c>
    </row>
    <row r="412" spans="1:21">
      <c r="A412" s="1">
        <f>A11</f>
        <v>1977</v>
      </c>
      <c r="B412" s="331" t="str">
        <f t="shared" si="104"/>
        <v xml:space="preserve"> </v>
      </c>
      <c r="C412" s="166" t="str">
        <f t="shared" si="104"/>
        <v xml:space="preserve"> </v>
      </c>
      <c r="D412" s="222" t="str">
        <f t="shared" si="104"/>
        <v xml:space="preserve"> </v>
      </c>
      <c r="E412" s="222" t="str">
        <f t="shared" si="104"/>
        <v xml:space="preserve"> </v>
      </c>
      <c r="F412" s="222" t="str">
        <f t="shared" si="104"/>
        <v xml:space="preserve"> </v>
      </c>
      <c r="G412" s="222" t="str">
        <f t="shared" si="104"/>
        <v xml:space="preserve"> </v>
      </c>
      <c r="H412" s="222" t="str">
        <f t="shared" si="104"/>
        <v xml:space="preserve"> </v>
      </c>
      <c r="I412" s="222" t="str">
        <f t="shared" si="104"/>
        <v xml:space="preserve"> </v>
      </c>
      <c r="J412" s="222" t="str">
        <f t="shared" si="104"/>
        <v xml:space="preserve"> </v>
      </c>
      <c r="K412" s="222" t="str">
        <f t="shared" si="104"/>
        <v xml:space="preserve"> </v>
      </c>
      <c r="L412" s="222" t="str">
        <f t="shared" si="104"/>
        <v xml:space="preserve"> </v>
      </c>
      <c r="M412" s="166" t="str">
        <f t="shared" si="104"/>
        <v xml:space="preserve"> </v>
      </c>
      <c r="O412" s="348">
        <f>+L127</f>
        <v>1823</v>
      </c>
      <c r="Q412" s="225" t="str">
        <f>L412</f>
        <v xml:space="preserve"> </v>
      </c>
      <c r="R412" s="345">
        <f>+D127</f>
        <v>1915</v>
      </c>
      <c r="T412" s="225" t="str">
        <f>D412</f>
        <v xml:space="preserve"> </v>
      </c>
    </row>
    <row r="413" spans="1:21">
      <c r="A413" s="1">
        <f>A12</f>
        <v>1978</v>
      </c>
      <c r="B413" s="331" t="str">
        <f t="shared" si="104"/>
        <v xml:space="preserve"> </v>
      </c>
      <c r="C413" s="166" t="str">
        <f t="shared" si="104"/>
        <v xml:space="preserve"> </v>
      </c>
      <c r="D413" s="166" t="str">
        <f t="shared" si="104"/>
        <v xml:space="preserve"> </v>
      </c>
      <c r="E413" s="222" t="str">
        <f t="shared" si="104"/>
        <v xml:space="preserve"> </v>
      </c>
      <c r="F413" s="222" t="str">
        <f t="shared" si="104"/>
        <v xml:space="preserve"> </v>
      </c>
      <c r="G413" s="222" t="str">
        <f t="shared" si="104"/>
        <v xml:space="preserve"> </v>
      </c>
      <c r="H413" s="222" t="str">
        <f t="shared" si="104"/>
        <v xml:space="preserve"> </v>
      </c>
      <c r="I413" s="222" t="str">
        <f t="shared" si="104"/>
        <v xml:space="preserve"> </v>
      </c>
      <c r="J413" s="222" t="str">
        <f t="shared" si="104"/>
        <v xml:space="preserve"> </v>
      </c>
      <c r="K413" s="222" t="str">
        <f t="shared" si="104"/>
        <v xml:space="preserve"> </v>
      </c>
      <c r="L413" s="222" t="str">
        <f t="shared" si="104"/>
        <v xml:space="preserve"> </v>
      </c>
      <c r="M413" s="332" t="str">
        <f t="shared" si="104"/>
        <v xml:space="preserve"> </v>
      </c>
      <c r="O413" s="348">
        <f>+L128</f>
        <v>1824</v>
      </c>
      <c r="Q413" s="225" t="str">
        <f>L413</f>
        <v xml:space="preserve"> </v>
      </c>
      <c r="R413" s="345">
        <f>+D128</f>
        <v>722</v>
      </c>
    </row>
    <row r="414" spans="1:21">
      <c r="A414" s="1">
        <f>A13</f>
        <v>1979</v>
      </c>
      <c r="B414" s="331" t="str">
        <f t="shared" si="104"/>
        <v xml:space="preserve"> </v>
      </c>
      <c r="C414" s="166" t="str">
        <f t="shared" si="104"/>
        <v xml:space="preserve"> </v>
      </c>
      <c r="D414" s="166" t="str">
        <f t="shared" si="104"/>
        <v xml:space="preserve"> </v>
      </c>
      <c r="E414" s="222" t="str">
        <f t="shared" si="104"/>
        <v xml:space="preserve"> </v>
      </c>
      <c r="F414" s="222" t="str">
        <f t="shared" si="104"/>
        <v xml:space="preserve"> </v>
      </c>
      <c r="G414" s="222" t="str">
        <f t="shared" si="104"/>
        <v xml:space="preserve"> </v>
      </c>
      <c r="H414" s="222" t="str">
        <f t="shared" si="104"/>
        <v xml:space="preserve"> </v>
      </c>
      <c r="I414" s="222" t="str">
        <f t="shared" si="104"/>
        <v xml:space="preserve"> </v>
      </c>
      <c r="J414" s="222" t="str">
        <f t="shared" si="104"/>
        <v xml:space="preserve"> </v>
      </c>
      <c r="K414" s="222" t="str">
        <f t="shared" si="104"/>
        <v xml:space="preserve"> </v>
      </c>
      <c r="L414" s="332" t="str">
        <f t="shared" si="104"/>
        <v xml:space="preserve"> </v>
      </c>
      <c r="M414" s="166" t="str">
        <f t="shared" si="104"/>
        <v xml:space="preserve"> </v>
      </c>
      <c r="O414" s="348">
        <f>+L129</f>
        <v>1855</v>
      </c>
      <c r="Q414" s="225" t="str">
        <f>L414</f>
        <v xml:space="preserve"> </v>
      </c>
      <c r="R414" s="345">
        <f>+D129</f>
        <v>709</v>
      </c>
    </row>
    <row r="415" spans="1:21">
      <c r="A415" s="1">
        <f>A14</f>
        <v>1980</v>
      </c>
      <c r="B415" s="331" t="str">
        <f t="shared" si="104"/>
        <v xml:space="preserve"> </v>
      </c>
      <c r="C415" s="166" t="str">
        <f t="shared" si="104"/>
        <v xml:space="preserve"> </v>
      </c>
      <c r="D415" s="332" t="str">
        <f t="shared" si="104"/>
        <v xml:space="preserve"> </v>
      </c>
      <c r="E415" s="222" t="str">
        <f t="shared" si="104"/>
        <v xml:space="preserve"> </v>
      </c>
      <c r="F415" s="222" t="str">
        <f t="shared" si="104"/>
        <v xml:space="preserve"> </v>
      </c>
      <c r="G415" s="222" t="str">
        <f t="shared" si="104"/>
        <v xml:space="preserve"> </v>
      </c>
      <c r="H415" s="222" t="str">
        <f t="shared" si="104"/>
        <v xml:space="preserve"> </v>
      </c>
      <c r="I415" s="222" t="str">
        <f t="shared" si="104"/>
        <v xml:space="preserve"> </v>
      </c>
      <c r="J415" s="222" t="str">
        <f t="shared" si="104"/>
        <v xml:space="preserve"> </v>
      </c>
      <c r="K415" s="222" t="str">
        <f t="shared" si="104"/>
        <v xml:space="preserve"> </v>
      </c>
      <c r="L415" s="222" t="str">
        <f t="shared" si="104"/>
        <v xml:space="preserve"> </v>
      </c>
      <c r="M415" s="166" t="str">
        <f t="shared" si="104"/>
        <v xml:space="preserve"> </v>
      </c>
      <c r="O415" s="348">
        <f>+L130</f>
        <v>1755</v>
      </c>
      <c r="Q415" s="225" t="str">
        <f>L415</f>
        <v xml:space="preserve"> </v>
      </c>
      <c r="R415" s="345">
        <f>+D130</f>
        <v>1908</v>
      </c>
    </row>
    <row r="416" spans="1:21">
      <c r="A416" s="1">
        <f>A15</f>
        <v>1981</v>
      </c>
      <c r="B416" s="331" t="str">
        <f t="shared" si="104"/>
        <v xml:space="preserve"> </v>
      </c>
      <c r="C416" s="332" t="str">
        <f t="shared" si="104"/>
        <v xml:space="preserve"> </v>
      </c>
      <c r="D416" s="332" t="str">
        <f t="shared" si="104"/>
        <v xml:space="preserve"> </v>
      </c>
      <c r="E416" s="222" t="str">
        <f t="shared" si="104"/>
        <v xml:space="preserve"> </v>
      </c>
      <c r="F416" s="222" t="str">
        <f t="shared" si="104"/>
        <v xml:space="preserve"> </v>
      </c>
      <c r="G416" s="222" t="str">
        <f t="shared" si="104"/>
        <v xml:space="preserve"> </v>
      </c>
      <c r="H416" s="222" t="str">
        <f t="shared" si="104"/>
        <v xml:space="preserve"> </v>
      </c>
      <c r="I416" s="222" t="str">
        <f t="shared" si="104"/>
        <v xml:space="preserve"> </v>
      </c>
      <c r="J416" s="222" t="str">
        <f t="shared" si="104"/>
        <v xml:space="preserve"> </v>
      </c>
      <c r="K416" s="222" t="str">
        <f t="shared" si="104"/>
        <v xml:space="preserve"> </v>
      </c>
      <c r="L416" s="166" t="str">
        <f t="shared" si="104"/>
        <v xml:space="preserve"> </v>
      </c>
      <c r="M416" s="166" t="str">
        <f t="shared" si="104"/>
        <v xml:space="preserve"> </v>
      </c>
      <c r="O416" s="348">
        <f>+L131</f>
        <v>714</v>
      </c>
      <c r="R416" s="345">
        <f>+D131</f>
        <v>1916</v>
      </c>
    </row>
    <row r="417" spans="1:20">
      <c r="A417" s="1">
        <f>A16</f>
        <v>1982</v>
      </c>
      <c r="B417" s="331" t="str">
        <f t="shared" si="104"/>
        <v xml:space="preserve"> </v>
      </c>
      <c r="C417" s="233" t="str">
        <f t="shared" si="104"/>
        <v xml:space="preserve"> </v>
      </c>
      <c r="D417" s="166" t="str">
        <f t="shared" si="104"/>
        <v xml:space="preserve"> </v>
      </c>
      <c r="E417" s="222" t="str">
        <f t="shared" si="104"/>
        <v xml:space="preserve"> </v>
      </c>
      <c r="F417" s="222" t="str">
        <f t="shared" si="104"/>
        <v xml:space="preserve"> </v>
      </c>
      <c r="G417" s="222" t="str">
        <f t="shared" si="104"/>
        <v xml:space="preserve"> </v>
      </c>
      <c r="H417" s="222" t="str">
        <f t="shared" si="104"/>
        <v xml:space="preserve"> </v>
      </c>
      <c r="I417" s="222" t="str">
        <f t="shared" si="104"/>
        <v xml:space="preserve"> </v>
      </c>
      <c r="J417" s="222" t="str">
        <f t="shared" si="104"/>
        <v xml:space="preserve"> </v>
      </c>
      <c r="K417" s="222" t="str">
        <f t="shared" si="104"/>
        <v xml:space="preserve"> </v>
      </c>
      <c r="L417" s="222" t="str">
        <f t="shared" si="104"/>
        <v xml:space="preserve"> </v>
      </c>
      <c r="M417" s="166" t="str">
        <f t="shared" si="104"/>
        <v xml:space="preserve"> </v>
      </c>
      <c r="O417" s="348">
        <f>+L132</f>
        <v>1813</v>
      </c>
      <c r="Q417" s="225" t="str">
        <f>L417</f>
        <v xml:space="preserve"> </v>
      </c>
      <c r="R417" s="345">
        <f>+D132</f>
        <v>728</v>
      </c>
    </row>
    <row r="418" spans="1:20">
      <c r="A418" s="1">
        <f>A17</f>
        <v>1983</v>
      </c>
      <c r="B418" s="331" t="str">
        <f t="shared" si="104"/>
        <v xml:space="preserve"> </v>
      </c>
      <c r="C418" s="166" t="str">
        <f t="shared" si="104"/>
        <v xml:space="preserve"> </v>
      </c>
      <c r="D418" s="332" t="str">
        <f t="shared" si="104"/>
        <v xml:space="preserve"> </v>
      </c>
      <c r="E418" s="222" t="str">
        <f t="shared" si="104"/>
        <v xml:space="preserve"> </v>
      </c>
      <c r="F418" s="222" t="str">
        <f t="shared" si="104"/>
        <v xml:space="preserve"> </v>
      </c>
      <c r="G418" s="222" t="str">
        <f t="shared" si="104"/>
        <v xml:space="preserve"> </v>
      </c>
      <c r="H418" s="222" t="str">
        <f t="shared" si="104"/>
        <v xml:space="preserve"> </v>
      </c>
      <c r="I418" s="222" t="str">
        <f t="shared" si="104"/>
        <v xml:space="preserve"> </v>
      </c>
      <c r="J418" s="222" t="str">
        <f t="shared" si="104"/>
        <v xml:space="preserve"> </v>
      </c>
      <c r="K418" s="222" t="str">
        <f t="shared" si="104"/>
        <v xml:space="preserve"> </v>
      </c>
      <c r="L418" s="166" t="str">
        <f t="shared" si="104"/>
        <v xml:space="preserve"> </v>
      </c>
      <c r="M418" s="166" t="str">
        <f t="shared" si="104"/>
        <v xml:space="preserve"> </v>
      </c>
      <c r="O418" s="348">
        <f>+L133</f>
        <v>706</v>
      </c>
      <c r="R418" s="345">
        <f>+D133</f>
        <v>1912</v>
      </c>
    </row>
    <row r="419" spans="1:20">
      <c r="A419" s="1">
        <f>A18</f>
        <v>1984</v>
      </c>
      <c r="B419" s="331" t="str">
        <f t="shared" si="104"/>
        <v xml:space="preserve"> </v>
      </c>
      <c r="C419" s="166" t="str">
        <f t="shared" si="104"/>
        <v xml:space="preserve"> </v>
      </c>
      <c r="D419" s="166" t="str">
        <f t="shared" si="104"/>
        <v xml:space="preserve"> </v>
      </c>
      <c r="E419" s="222" t="str">
        <f t="shared" si="104"/>
        <v xml:space="preserve"> </v>
      </c>
      <c r="F419" s="222" t="str">
        <f t="shared" si="104"/>
        <v xml:space="preserve"> </v>
      </c>
      <c r="G419" s="222" t="str">
        <f t="shared" si="104"/>
        <v xml:space="preserve"> </v>
      </c>
      <c r="H419" s="222" t="str">
        <f t="shared" si="104"/>
        <v xml:space="preserve"> </v>
      </c>
      <c r="I419" s="222" t="str">
        <f t="shared" si="104"/>
        <v xml:space="preserve"> </v>
      </c>
      <c r="J419" s="222" t="str">
        <f t="shared" si="104"/>
        <v xml:space="preserve"> </v>
      </c>
      <c r="K419" s="222" t="str">
        <f t="shared" si="104"/>
        <v xml:space="preserve"> </v>
      </c>
      <c r="L419" s="166" t="str">
        <f t="shared" si="104"/>
        <v xml:space="preserve"> </v>
      </c>
      <c r="M419" s="166" t="str">
        <f t="shared" si="104"/>
        <v xml:space="preserve"> </v>
      </c>
      <c r="O419" s="348">
        <f>+L134</f>
        <v>709</v>
      </c>
      <c r="R419" s="345">
        <f>+D134</f>
        <v>708</v>
      </c>
    </row>
    <row r="420" spans="1:20">
      <c r="A420" s="1">
        <f>A19</f>
        <v>1985</v>
      </c>
      <c r="B420" s="331" t="str">
        <f t="shared" si="104"/>
        <v xml:space="preserve"> </v>
      </c>
      <c r="C420" s="166" t="str">
        <f t="shared" si="104"/>
        <v xml:space="preserve"> </v>
      </c>
      <c r="D420" s="166" t="str">
        <f t="shared" si="104"/>
        <v xml:space="preserve"> </v>
      </c>
      <c r="E420" s="222" t="str">
        <f t="shared" si="104"/>
        <v xml:space="preserve"> </v>
      </c>
      <c r="F420" s="222" t="str">
        <f t="shared" si="104"/>
        <v xml:space="preserve"> </v>
      </c>
      <c r="G420" s="222" t="str">
        <f t="shared" si="104"/>
        <v xml:space="preserve"> </v>
      </c>
      <c r="H420" s="222" t="str">
        <f t="shared" si="104"/>
        <v xml:space="preserve"> </v>
      </c>
      <c r="I420" s="222" t="str">
        <f t="shared" si="104"/>
        <v xml:space="preserve"> </v>
      </c>
      <c r="J420" s="222" t="str">
        <f t="shared" si="104"/>
        <v xml:space="preserve"> </v>
      </c>
      <c r="K420" s="222" t="str">
        <f t="shared" si="104"/>
        <v xml:space="preserve"> </v>
      </c>
      <c r="L420" s="222" t="str">
        <f t="shared" si="104"/>
        <v xml:space="preserve"> </v>
      </c>
      <c r="M420" s="166" t="str">
        <f t="shared" si="104"/>
        <v xml:space="preserve"> </v>
      </c>
      <c r="O420" s="348">
        <f>+L135</f>
        <v>1815</v>
      </c>
      <c r="Q420" s="225" t="str">
        <f t="shared" ref="Q420:Q425" si="105">L420</f>
        <v xml:space="preserve"> </v>
      </c>
      <c r="R420" s="345">
        <f>+D135</f>
        <v>718</v>
      </c>
    </row>
    <row r="421" spans="1:20">
      <c r="A421" s="1">
        <f>A20</f>
        <v>1986</v>
      </c>
      <c r="B421" s="331" t="str">
        <f t="shared" si="104"/>
        <v xml:space="preserve"> </v>
      </c>
      <c r="C421" s="166" t="str">
        <f t="shared" si="104"/>
        <v xml:space="preserve"> </v>
      </c>
      <c r="D421" s="166" t="str">
        <f t="shared" si="104"/>
        <v xml:space="preserve"> </v>
      </c>
      <c r="E421" s="222" t="str">
        <f t="shared" si="104"/>
        <v xml:space="preserve"> </v>
      </c>
      <c r="F421" s="222" t="str">
        <f t="shared" si="104"/>
        <v xml:space="preserve"> </v>
      </c>
      <c r="G421" s="222" t="str">
        <f t="shared" si="104"/>
        <v xml:space="preserve"> </v>
      </c>
      <c r="H421" s="222" t="str">
        <f t="shared" si="104"/>
        <v xml:space="preserve"> </v>
      </c>
      <c r="I421" s="222" t="str">
        <f t="shared" si="104"/>
        <v xml:space="preserve"> </v>
      </c>
      <c r="J421" s="222" t="str">
        <f t="shared" si="104"/>
        <v xml:space="preserve"> </v>
      </c>
      <c r="K421" s="222" t="str">
        <f t="shared" si="104"/>
        <v xml:space="preserve"> </v>
      </c>
      <c r="L421" s="222" t="str">
        <f t="shared" si="104"/>
        <v xml:space="preserve"> </v>
      </c>
      <c r="M421" s="222" t="str">
        <f t="shared" si="104"/>
        <v xml:space="preserve"> </v>
      </c>
      <c r="O421" s="348">
        <f>+L136</f>
        <v>1815</v>
      </c>
      <c r="Q421" s="225" t="str">
        <f t="shared" si="105"/>
        <v xml:space="preserve"> </v>
      </c>
      <c r="R421" s="345">
        <f>+D136</f>
        <v>655</v>
      </c>
    </row>
    <row r="422" spans="1:20">
      <c r="A422" s="1">
        <f>A21</f>
        <v>1987</v>
      </c>
      <c r="B422" s="331" t="str">
        <f t="shared" si="104"/>
        <v xml:space="preserve"> </v>
      </c>
      <c r="C422" s="166" t="str">
        <f t="shared" si="104"/>
        <v xml:space="preserve"> </v>
      </c>
      <c r="D422" s="332" t="str">
        <f t="shared" si="104"/>
        <v xml:space="preserve"> </v>
      </c>
      <c r="E422" s="166" t="str">
        <f t="shared" si="104"/>
        <v xml:space="preserve"> </v>
      </c>
      <c r="F422" s="222" t="str">
        <f t="shared" si="104"/>
        <v xml:space="preserve"> </v>
      </c>
      <c r="G422" s="222" t="str">
        <f t="shared" si="104"/>
        <v xml:space="preserve"> </v>
      </c>
      <c r="H422" s="222" t="str">
        <f t="shared" si="104"/>
        <v xml:space="preserve"> </v>
      </c>
      <c r="I422" s="222" t="str">
        <f t="shared" si="104"/>
        <v xml:space="preserve"> </v>
      </c>
      <c r="J422" s="222" t="str">
        <f t="shared" si="104"/>
        <v xml:space="preserve"> </v>
      </c>
      <c r="K422" s="222" t="str">
        <f t="shared" si="104"/>
        <v xml:space="preserve"> </v>
      </c>
      <c r="L422" s="222" t="str">
        <f t="shared" si="104"/>
        <v xml:space="preserve"> </v>
      </c>
      <c r="M422" s="166" t="str">
        <f t="shared" si="104"/>
        <v xml:space="preserve"> </v>
      </c>
      <c r="O422" s="348">
        <f>+L137</f>
        <v>1837</v>
      </c>
      <c r="Q422" s="225" t="str">
        <f t="shared" si="105"/>
        <v xml:space="preserve"> </v>
      </c>
      <c r="R422" s="345">
        <f>+D137</f>
        <v>1935</v>
      </c>
    </row>
    <row r="423" spans="1:20">
      <c r="A423" s="1">
        <f>A22</f>
        <v>1988</v>
      </c>
      <c r="B423" s="331" t="str">
        <f t="shared" si="104"/>
        <v xml:space="preserve"> </v>
      </c>
      <c r="C423" s="166" t="str">
        <f t="shared" si="104"/>
        <v xml:space="preserve"> </v>
      </c>
      <c r="D423" s="166" t="str">
        <f t="shared" si="104"/>
        <v xml:space="preserve"> </v>
      </c>
      <c r="E423" s="222" t="str">
        <f t="shared" si="104"/>
        <v xml:space="preserve"> </v>
      </c>
      <c r="F423" s="222" t="str">
        <f t="shared" si="104"/>
        <v xml:space="preserve"> </v>
      </c>
      <c r="G423" s="222" t="str">
        <f t="shared" si="104"/>
        <v xml:space="preserve"> </v>
      </c>
      <c r="H423" s="222" t="str">
        <f t="shared" si="104"/>
        <v xml:space="preserve"> </v>
      </c>
      <c r="I423" s="222" t="str">
        <f t="shared" si="104"/>
        <v xml:space="preserve"> </v>
      </c>
      <c r="J423" s="222" t="str">
        <f t="shared" si="104"/>
        <v xml:space="preserve"> </v>
      </c>
      <c r="K423" s="222" t="str">
        <f t="shared" si="104"/>
        <v xml:space="preserve"> </v>
      </c>
      <c r="L423" s="222" t="str">
        <f t="shared" si="104"/>
        <v xml:space="preserve"> </v>
      </c>
      <c r="M423" s="166" t="str">
        <f t="shared" si="104"/>
        <v xml:space="preserve"> </v>
      </c>
      <c r="O423" s="348">
        <f>+L138</f>
        <v>1818</v>
      </c>
      <c r="Q423" s="225" t="str">
        <f t="shared" si="105"/>
        <v xml:space="preserve"> </v>
      </c>
      <c r="R423" s="345">
        <f>+D138</f>
        <v>712</v>
      </c>
    </row>
    <row r="424" spans="1:20">
      <c r="A424" s="1">
        <f>A23</f>
        <v>1989</v>
      </c>
      <c r="B424" s="331" t="str">
        <f t="shared" ref="B424:M439" si="106">IF(B291&gt;=65,B291-65," ")</f>
        <v xml:space="preserve"> </v>
      </c>
      <c r="C424" s="166" t="str">
        <f t="shared" si="106"/>
        <v xml:space="preserve"> </v>
      </c>
      <c r="D424" s="166" t="str">
        <f t="shared" si="106"/>
        <v xml:space="preserve"> </v>
      </c>
      <c r="E424" s="222" t="str">
        <f t="shared" si="106"/>
        <v xml:space="preserve"> </v>
      </c>
      <c r="F424" s="222" t="str">
        <f t="shared" si="106"/>
        <v xml:space="preserve"> </v>
      </c>
      <c r="G424" s="222" t="str">
        <f t="shared" si="106"/>
        <v xml:space="preserve"> </v>
      </c>
      <c r="H424" s="222" t="str">
        <f t="shared" si="106"/>
        <v xml:space="preserve"> </v>
      </c>
      <c r="I424" s="222" t="str">
        <f t="shared" si="106"/>
        <v xml:space="preserve"> </v>
      </c>
      <c r="J424" s="222" t="str">
        <f t="shared" si="106"/>
        <v xml:space="preserve"> </v>
      </c>
      <c r="K424" s="222" t="str">
        <f t="shared" si="106"/>
        <v xml:space="preserve"> </v>
      </c>
      <c r="L424" s="222" t="str">
        <f t="shared" si="106"/>
        <v xml:space="preserve"> </v>
      </c>
      <c r="M424" s="332" t="str">
        <f t="shared" si="106"/>
        <v xml:space="preserve"> </v>
      </c>
      <c r="O424" s="348">
        <f>+L139</f>
        <v>1826</v>
      </c>
      <c r="Q424" s="225" t="str">
        <f t="shared" si="105"/>
        <v xml:space="preserve"> </v>
      </c>
      <c r="R424" s="345">
        <f>+D139</f>
        <v>725</v>
      </c>
    </row>
    <row r="425" spans="1:20">
      <c r="A425" s="1">
        <f>A24</f>
        <v>1990</v>
      </c>
      <c r="B425" s="331" t="str">
        <f t="shared" si="106"/>
        <v xml:space="preserve"> </v>
      </c>
      <c r="C425" s="166" t="str">
        <f t="shared" si="106"/>
        <v xml:space="preserve"> </v>
      </c>
      <c r="D425" s="222" t="str">
        <f t="shared" si="106"/>
        <v xml:space="preserve"> </v>
      </c>
      <c r="E425" s="222" t="str">
        <f t="shared" si="106"/>
        <v xml:space="preserve"> </v>
      </c>
      <c r="F425" s="222" t="str">
        <f t="shared" si="106"/>
        <v xml:space="preserve"> </v>
      </c>
      <c r="G425" s="222" t="str">
        <f t="shared" si="106"/>
        <v xml:space="preserve"> </v>
      </c>
      <c r="H425" s="222" t="str">
        <f t="shared" si="106"/>
        <v xml:space="preserve"> </v>
      </c>
      <c r="I425" s="222" t="str">
        <f t="shared" si="106"/>
        <v xml:space="preserve"> </v>
      </c>
      <c r="J425" s="222" t="str">
        <f t="shared" si="106"/>
        <v xml:space="preserve"> </v>
      </c>
      <c r="K425" s="222" t="str">
        <f t="shared" si="106"/>
        <v xml:space="preserve"> </v>
      </c>
      <c r="L425" s="222" t="str">
        <f t="shared" si="106"/>
        <v xml:space="preserve"> </v>
      </c>
      <c r="M425" s="166" t="str">
        <f t="shared" si="106"/>
        <v xml:space="preserve"> </v>
      </c>
      <c r="O425" s="348">
        <f>+L140</f>
        <v>1821</v>
      </c>
      <c r="Q425" s="225" t="str">
        <f t="shared" si="105"/>
        <v xml:space="preserve"> </v>
      </c>
      <c r="R425" s="345">
        <f>+D140</f>
        <v>1608</v>
      </c>
      <c r="T425" s="225" t="str">
        <f>D425</f>
        <v xml:space="preserve"> </v>
      </c>
    </row>
    <row r="426" spans="1:20">
      <c r="A426" s="1">
        <f>A25</f>
        <v>1991</v>
      </c>
      <c r="B426" s="331" t="str">
        <f t="shared" si="106"/>
        <v xml:space="preserve"> </v>
      </c>
      <c r="C426" s="166" t="str">
        <f t="shared" si="106"/>
        <v xml:space="preserve"> </v>
      </c>
      <c r="D426" s="166" t="str">
        <f t="shared" si="106"/>
        <v xml:space="preserve"> </v>
      </c>
      <c r="E426" s="222" t="str">
        <f t="shared" si="106"/>
        <v xml:space="preserve"> </v>
      </c>
      <c r="F426" s="222" t="str">
        <f t="shared" si="106"/>
        <v xml:space="preserve"> </v>
      </c>
      <c r="G426" s="222" t="str">
        <f t="shared" si="106"/>
        <v xml:space="preserve"> </v>
      </c>
      <c r="H426" s="222" t="str">
        <f t="shared" si="106"/>
        <v xml:space="preserve"> </v>
      </c>
      <c r="I426" s="222" t="str">
        <f t="shared" si="106"/>
        <v xml:space="preserve"> </v>
      </c>
      <c r="J426" s="222" t="str">
        <f t="shared" si="106"/>
        <v xml:space="preserve"> </v>
      </c>
      <c r="K426" s="222" t="str">
        <f t="shared" si="106"/>
        <v xml:space="preserve"> </v>
      </c>
      <c r="L426" s="166" t="str">
        <f t="shared" si="106"/>
        <v xml:space="preserve"> </v>
      </c>
      <c r="M426" s="166" t="str">
        <f t="shared" si="106"/>
        <v xml:space="preserve"> </v>
      </c>
      <c r="O426" s="348">
        <f>+L141</f>
        <v>715</v>
      </c>
      <c r="R426" s="345">
        <f>+D141</f>
        <v>730</v>
      </c>
    </row>
    <row r="427" spans="1:20">
      <c r="A427" s="1">
        <f>A26</f>
        <v>1992</v>
      </c>
      <c r="B427" s="331" t="str">
        <f t="shared" si="106"/>
        <v xml:space="preserve"> </v>
      </c>
      <c r="C427" s="166" t="str">
        <f t="shared" si="106"/>
        <v xml:space="preserve"> </v>
      </c>
      <c r="D427" s="332" t="str">
        <f t="shared" si="106"/>
        <v xml:space="preserve"> </v>
      </c>
      <c r="E427" s="222" t="str">
        <f t="shared" si="106"/>
        <v xml:space="preserve"> </v>
      </c>
      <c r="F427" s="222" t="str">
        <f t="shared" si="106"/>
        <v xml:space="preserve"> </v>
      </c>
      <c r="G427" s="222" t="str">
        <f t="shared" si="106"/>
        <v xml:space="preserve"> </v>
      </c>
      <c r="H427" s="222" t="str">
        <f t="shared" si="106"/>
        <v xml:space="preserve"> </v>
      </c>
      <c r="I427" s="222" t="str">
        <f t="shared" si="106"/>
        <v xml:space="preserve"> </v>
      </c>
      <c r="J427" s="222" t="str">
        <f t="shared" si="106"/>
        <v xml:space="preserve"> </v>
      </c>
      <c r="K427" s="222" t="str">
        <f t="shared" si="106"/>
        <v xml:space="preserve"> </v>
      </c>
      <c r="L427" s="222" t="str">
        <f t="shared" si="106"/>
        <v xml:space="preserve"> </v>
      </c>
      <c r="M427" s="166" t="str">
        <f t="shared" si="106"/>
        <v xml:space="preserve"> </v>
      </c>
      <c r="O427" s="348">
        <f>+L142</f>
        <v>1819</v>
      </c>
      <c r="Q427" s="225" t="str">
        <f>L427</f>
        <v xml:space="preserve"> </v>
      </c>
      <c r="R427" s="345">
        <f>+D142</f>
        <v>1902</v>
      </c>
    </row>
    <row r="428" spans="1:20">
      <c r="A428" s="1">
        <f>A27</f>
        <v>1993</v>
      </c>
      <c r="B428" s="331" t="str">
        <f t="shared" si="106"/>
        <v xml:space="preserve"> </v>
      </c>
      <c r="C428" s="166" t="str">
        <f t="shared" si="106"/>
        <v xml:space="preserve"> </v>
      </c>
      <c r="D428" s="166" t="str">
        <f t="shared" si="106"/>
        <v xml:space="preserve"> </v>
      </c>
      <c r="E428" s="222" t="str">
        <f t="shared" si="106"/>
        <v xml:space="preserve"> </v>
      </c>
      <c r="F428" s="222" t="str">
        <f t="shared" si="106"/>
        <v xml:space="preserve"> </v>
      </c>
      <c r="G428" s="222" t="str">
        <f t="shared" si="106"/>
        <v xml:space="preserve"> </v>
      </c>
      <c r="H428" s="222" t="str">
        <f t="shared" si="106"/>
        <v xml:space="preserve"> </v>
      </c>
      <c r="I428" s="222" t="str">
        <f t="shared" si="106"/>
        <v xml:space="preserve"> </v>
      </c>
      <c r="J428" s="222" t="str">
        <f t="shared" si="106"/>
        <v xml:space="preserve"> </v>
      </c>
      <c r="K428" s="222" t="str">
        <f t="shared" si="106"/>
        <v xml:space="preserve"> </v>
      </c>
      <c r="L428" s="222" t="str">
        <f t="shared" si="106"/>
        <v xml:space="preserve"> </v>
      </c>
      <c r="M428" s="166" t="str">
        <f t="shared" si="106"/>
        <v xml:space="preserve"> </v>
      </c>
      <c r="O428" s="348">
        <f>+L143</f>
        <v>1816</v>
      </c>
      <c r="Q428" s="225" t="str">
        <f>L428</f>
        <v xml:space="preserve"> </v>
      </c>
      <c r="R428" s="345">
        <f>+D143</f>
        <v>658</v>
      </c>
    </row>
    <row r="429" spans="1:20">
      <c r="A429" s="1">
        <f>A28</f>
        <v>1994</v>
      </c>
      <c r="B429" s="331" t="str">
        <f t="shared" si="106"/>
        <v xml:space="preserve"> </v>
      </c>
      <c r="C429" s="166" t="str">
        <f t="shared" si="106"/>
        <v xml:space="preserve"> </v>
      </c>
      <c r="D429" s="222" t="str">
        <f t="shared" si="106"/>
        <v xml:space="preserve"> </v>
      </c>
      <c r="E429" s="222" t="str">
        <f t="shared" si="106"/>
        <v xml:space="preserve"> </v>
      </c>
      <c r="F429" s="222" t="str">
        <f t="shared" si="106"/>
        <v xml:space="preserve"> </v>
      </c>
      <c r="G429" s="222" t="str">
        <f t="shared" si="106"/>
        <v xml:space="preserve"> </v>
      </c>
      <c r="H429" s="222" t="str">
        <f t="shared" si="106"/>
        <v xml:space="preserve"> </v>
      </c>
      <c r="I429" s="222" t="str">
        <f t="shared" si="106"/>
        <v xml:space="preserve"> </v>
      </c>
      <c r="J429" s="222" t="str">
        <f t="shared" si="106"/>
        <v xml:space="preserve"> </v>
      </c>
      <c r="K429" s="222" t="str">
        <f t="shared" si="106"/>
        <v xml:space="preserve"> </v>
      </c>
      <c r="L429" s="222" t="str">
        <f t="shared" si="106"/>
        <v xml:space="preserve"> </v>
      </c>
      <c r="M429" s="222" t="str">
        <f t="shared" si="106"/>
        <v xml:space="preserve"> </v>
      </c>
      <c r="O429" s="348">
        <f>+L144</f>
        <v>1820</v>
      </c>
      <c r="Q429" s="225" t="str">
        <f>L429</f>
        <v xml:space="preserve"> </v>
      </c>
      <c r="R429" s="345">
        <f>+D144</f>
        <v>1620</v>
      </c>
      <c r="T429" s="225" t="str">
        <f>D429</f>
        <v xml:space="preserve"> </v>
      </c>
    </row>
    <row r="430" spans="1:20">
      <c r="A430" s="1">
        <f>A29</f>
        <v>1995</v>
      </c>
      <c r="B430" s="331" t="str">
        <f t="shared" si="106"/>
        <v xml:space="preserve"> </v>
      </c>
      <c r="C430" s="166" t="str">
        <f t="shared" si="106"/>
        <v xml:space="preserve"> </v>
      </c>
      <c r="D430" s="166" t="str">
        <f t="shared" si="106"/>
        <v xml:space="preserve"> </v>
      </c>
      <c r="E430" s="222" t="str">
        <f t="shared" si="106"/>
        <v xml:space="preserve"> </v>
      </c>
      <c r="F430" s="222" t="str">
        <f t="shared" si="106"/>
        <v xml:space="preserve"> </v>
      </c>
      <c r="G430" s="222" t="str">
        <f t="shared" si="106"/>
        <v xml:space="preserve"> </v>
      </c>
      <c r="H430" s="222" t="str">
        <f t="shared" si="106"/>
        <v xml:space="preserve"> </v>
      </c>
      <c r="I430" s="222" t="str">
        <f t="shared" si="106"/>
        <v xml:space="preserve"> </v>
      </c>
      <c r="J430" s="222" t="str">
        <f t="shared" si="106"/>
        <v xml:space="preserve"> </v>
      </c>
      <c r="K430" s="222" t="str">
        <f t="shared" si="106"/>
        <v xml:space="preserve"> </v>
      </c>
      <c r="L430" s="222" t="str">
        <f t="shared" si="106"/>
        <v xml:space="preserve"> </v>
      </c>
      <c r="M430" s="166" t="str">
        <f t="shared" si="106"/>
        <v xml:space="preserve"> </v>
      </c>
      <c r="O430" s="348">
        <f>+L145</f>
        <v>1542</v>
      </c>
      <c r="Q430" s="225" t="str">
        <f>L430</f>
        <v xml:space="preserve"> </v>
      </c>
      <c r="R430" s="345">
        <f>+D145</f>
        <v>711</v>
      </c>
    </row>
    <row r="431" spans="1:20">
      <c r="A431" s="1">
        <f>A30</f>
        <v>1996</v>
      </c>
      <c r="B431" s="331" t="str">
        <f t="shared" si="106"/>
        <v xml:space="preserve"> </v>
      </c>
      <c r="C431" s="166" t="str">
        <f t="shared" si="106"/>
        <v xml:space="preserve"> </v>
      </c>
      <c r="D431" s="166" t="str">
        <f t="shared" si="106"/>
        <v xml:space="preserve"> </v>
      </c>
      <c r="E431" s="222" t="str">
        <f t="shared" si="106"/>
        <v xml:space="preserve"> </v>
      </c>
      <c r="F431" s="222" t="str">
        <f t="shared" si="106"/>
        <v xml:space="preserve"> </v>
      </c>
      <c r="G431" s="222" t="str">
        <f t="shared" si="106"/>
        <v xml:space="preserve"> </v>
      </c>
      <c r="H431" s="222" t="str">
        <f t="shared" si="106"/>
        <v xml:space="preserve"> </v>
      </c>
      <c r="I431" s="222" t="str">
        <f t="shared" si="106"/>
        <v xml:space="preserve"> </v>
      </c>
      <c r="J431" s="222" t="str">
        <f t="shared" si="106"/>
        <v xml:space="preserve"> </v>
      </c>
      <c r="K431" s="222" t="str">
        <f t="shared" si="106"/>
        <v xml:space="preserve"> </v>
      </c>
      <c r="L431" s="222" t="str">
        <f t="shared" si="106"/>
        <v xml:space="preserve"> </v>
      </c>
      <c r="M431" s="166" t="str">
        <f t="shared" si="106"/>
        <v xml:space="preserve"> </v>
      </c>
      <c r="O431" s="348">
        <f>+L146</f>
        <v>1531</v>
      </c>
      <c r="Q431" s="225" t="str">
        <f>L431</f>
        <v xml:space="preserve"> </v>
      </c>
      <c r="R431" s="345">
        <f>+D146</f>
        <v>821</v>
      </c>
    </row>
    <row r="432" spans="1:20">
      <c r="A432" s="1">
        <f>A31</f>
        <v>1997</v>
      </c>
      <c r="B432" s="331" t="str">
        <f t="shared" si="106"/>
        <v xml:space="preserve"> </v>
      </c>
      <c r="C432" s="166" t="str">
        <f t="shared" si="106"/>
        <v xml:space="preserve"> </v>
      </c>
      <c r="D432" s="222" t="str">
        <f t="shared" si="106"/>
        <v xml:space="preserve"> </v>
      </c>
      <c r="E432" s="222" t="str">
        <f t="shared" si="106"/>
        <v xml:space="preserve"> </v>
      </c>
      <c r="F432" s="222" t="str">
        <f t="shared" si="106"/>
        <v xml:space="preserve"> </v>
      </c>
      <c r="G432" s="222" t="str">
        <f t="shared" si="106"/>
        <v xml:space="preserve"> </v>
      </c>
      <c r="H432" s="222" t="str">
        <f t="shared" si="106"/>
        <v xml:space="preserve"> </v>
      </c>
      <c r="I432" s="222" t="str">
        <f t="shared" si="106"/>
        <v xml:space="preserve"> </v>
      </c>
      <c r="J432" s="222" t="str">
        <f t="shared" si="106"/>
        <v xml:space="preserve"> </v>
      </c>
      <c r="K432" s="222" t="str">
        <f t="shared" si="106"/>
        <v xml:space="preserve"> </v>
      </c>
      <c r="L432" s="222" t="str">
        <f>IF(L299&gt;=65,L299-65," ")</f>
        <v xml:space="preserve"> </v>
      </c>
      <c r="M432" s="332" t="str">
        <f t="shared" si="106"/>
        <v xml:space="preserve"> </v>
      </c>
      <c r="O432" s="348">
        <f>+L147</f>
        <v>1424</v>
      </c>
      <c r="P432" s="291"/>
      <c r="R432" s="345">
        <f>+D147</f>
        <v>1857</v>
      </c>
      <c r="T432" s="225" t="str">
        <f>D432</f>
        <v xml:space="preserve"> </v>
      </c>
    </row>
    <row r="433" spans="1:20">
      <c r="A433" s="1">
        <f>A32</f>
        <v>1998</v>
      </c>
      <c r="B433" s="331" t="str">
        <f t="shared" si="106"/>
        <v xml:space="preserve"> </v>
      </c>
      <c r="C433" s="166" t="str">
        <f t="shared" si="106"/>
        <v xml:space="preserve"> </v>
      </c>
      <c r="D433" s="166" t="str">
        <f t="shared" si="106"/>
        <v xml:space="preserve"> </v>
      </c>
      <c r="E433" s="222" t="str">
        <f t="shared" si="106"/>
        <v xml:space="preserve"> </v>
      </c>
      <c r="F433" s="222" t="str">
        <f t="shared" si="106"/>
        <v xml:space="preserve"> </v>
      </c>
      <c r="G433" s="222" t="str">
        <f t="shared" si="106"/>
        <v xml:space="preserve"> </v>
      </c>
      <c r="H433" s="222" t="str">
        <f t="shared" si="106"/>
        <v xml:space="preserve"> </v>
      </c>
      <c r="I433" s="222" t="str">
        <f t="shared" si="106"/>
        <v xml:space="preserve"> </v>
      </c>
      <c r="J433" s="222" t="str">
        <f t="shared" si="106"/>
        <v xml:space="preserve"> </v>
      </c>
      <c r="K433" s="222" t="str">
        <f t="shared" si="106"/>
        <v xml:space="preserve"> </v>
      </c>
      <c r="L433" s="222" t="str">
        <f t="shared" si="106"/>
        <v xml:space="preserve"> </v>
      </c>
      <c r="M433" s="166" t="str">
        <f t="shared" si="106"/>
        <v xml:space="preserve"> </v>
      </c>
      <c r="O433" s="348">
        <f>+L148</f>
        <v>1833</v>
      </c>
      <c r="Q433" s="225" t="str">
        <f>L433</f>
        <v xml:space="preserve"> </v>
      </c>
      <c r="R433" s="345">
        <f>+D148</f>
        <v>657</v>
      </c>
    </row>
    <row r="434" spans="1:20" ht="15.75">
      <c r="A434" s="1">
        <f>A33</f>
        <v>1999</v>
      </c>
      <c r="B434" s="331" t="str">
        <f t="shared" si="106"/>
        <v xml:space="preserve"> </v>
      </c>
      <c r="C434" s="166" t="str">
        <f t="shared" si="106"/>
        <v xml:space="preserve"> </v>
      </c>
      <c r="D434" s="166" t="str">
        <f t="shared" si="106"/>
        <v xml:space="preserve"> </v>
      </c>
      <c r="E434" s="222" t="str">
        <f t="shared" si="106"/>
        <v xml:space="preserve"> </v>
      </c>
      <c r="F434" s="222" t="str">
        <f t="shared" si="106"/>
        <v xml:space="preserve"> </v>
      </c>
      <c r="G434" s="222" t="str">
        <f t="shared" si="106"/>
        <v xml:space="preserve"> </v>
      </c>
      <c r="H434" s="222" t="str">
        <f t="shared" si="106"/>
        <v xml:space="preserve"> </v>
      </c>
      <c r="I434" s="222" t="str">
        <f t="shared" si="106"/>
        <v xml:space="preserve"> </v>
      </c>
      <c r="J434" s="222" t="str">
        <f t="shared" si="106"/>
        <v xml:space="preserve"> </v>
      </c>
      <c r="K434" s="222" t="str">
        <f t="shared" si="106"/>
        <v xml:space="preserve"> </v>
      </c>
      <c r="L434" s="222" t="str">
        <f t="shared" si="106"/>
        <v xml:space="preserve"> </v>
      </c>
      <c r="M434" s="38" t="str">
        <f t="shared" si="106"/>
        <v xml:space="preserve"> </v>
      </c>
      <c r="O434" s="348">
        <f>+L149</f>
        <v>1800</v>
      </c>
      <c r="Q434" s="225" t="str">
        <f>L434</f>
        <v xml:space="preserve"> </v>
      </c>
      <c r="R434" s="345">
        <f>+D149</f>
        <v>709</v>
      </c>
    </row>
    <row r="435" spans="1:20">
      <c r="A435" s="1">
        <f>A34</f>
        <v>2000</v>
      </c>
      <c r="B435" s="331" t="str">
        <f t="shared" si="106"/>
        <v xml:space="preserve"> </v>
      </c>
      <c r="C435" s="166" t="str">
        <f t="shared" si="106"/>
        <v xml:space="preserve"> </v>
      </c>
      <c r="D435" s="222" t="str">
        <f t="shared" si="106"/>
        <v xml:space="preserve"> </v>
      </c>
      <c r="E435" s="222" t="str">
        <f t="shared" si="106"/>
        <v xml:space="preserve"> </v>
      </c>
      <c r="F435" s="222" t="str">
        <f t="shared" si="106"/>
        <v xml:space="preserve"> </v>
      </c>
      <c r="G435" s="222" t="str">
        <f t="shared" si="106"/>
        <v xml:space="preserve"> </v>
      </c>
      <c r="H435" s="222" t="str">
        <f t="shared" si="106"/>
        <v xml:space="preserve"> </v>
      </c>
      <c r="I435" s="222" t="str">
        <f t="shared" si="106"/>
        <v xml:space="preserve"> </v>
      </c>
      <c r="J435" s="222" t="str">
        <f t="shared" si="106"/>
        <v xml:space="preserve"> </v>
      </c>
      <c r="K435" s="222" t="str">
        <f t="shared" si="106"/>
        <v xml:space="preserve"> </v>
      </c>
      <c r="L435" s="166" t="str">
        <f t="shared" si="106"/>
        <v xml:space="preserve"> </v>
      </c>
      <c r="M435" s="166" t="str">
        <f t="shared" si="106"/>
        <v xml:space="preserve"> </v>
      </c>
      <c r="O435" s="348">
        <f>+L150</f>
        <v>1828</v>
      </c>
      <c r="R435" s="345">
        <f>+D150</f>
        <v>1622</v>
      </c>
      <c r="T435" s="225" t="str">
        <f>D435</f>
        <v xml:space="preserve"> </v>
      </c>
    </row>
    <row r="436" spans="1:20">
      <c r="A436" s="1">
        <f>A35</f>
        <v>2001</v>
      </c>
      <c r="B436" s="331" t="str">
        <f t="shared" si="106"/>
        <v xml:space="preserve"> </v>
      </c>
      <c r="C436" s="166" t="str">
        <f t="shared" si="106"/>
        <v xml:space="preserve"> </v>
      </c>
      <c r="D436" s="222" t="str">
        <f t="shared" si="106"/>
        <v xml:space="preserve"> </v>
      </c>
      <c r="E436" s="222" t="str">
        <f t="shared" si="106"/>
        <v xml:space="preserve"> </v>
      </c>
      <c r="F436" s="222" t="str">
        <f t="shared" si="106"/>
        <v xml:space="preserve"> </v>
      </c>
      <c r="G436" s="222" t="str">
        <f t="shared" si="106"/>
        <v xml:space="preserve"> </v>
      </c>
      <c r="H436" s="222" t="str">
        <f t="shared" si="106"/>
        <v xml:space="preserve"> </v>
      </c>
      <c r="I436" s="222" t="str">
        <f t="shared" si="106"/>
        <v xml:space="preserve"> </v>
      </c>
      <c r="J436" s="222" t="str">
        <f t="shared" si="106"/>
        <v xml:space="preserve"> </v>
      </c>
      <c r="K436" s="222" t="str">
        <f t="shared" si="106"/>
        <v xml:space="preserve"> </v>
      </c>
      <c r="L436" s="222" t="str">
        <f t="shared" si="106"/>
        <v xml:space="preserve"> </v>
      </c>
      <c r="M436" s="222" t="str">
        <f t="shared" si="106"/>
        <v xml:space="preserve"> </v>
      </c>
      <c r="O436" s="348">
        <f>+L151</f>
        <v>1831</v>
      </c>
      <c r="Q436" s="291" t="str">
        <f t="shared" ref="Q436:Q448" si="107">+L436</f>
        <v xml:space="preserve"> </v>
      </c>
      <c r="R436" s="345">
        <f>+D151</f>
        <v>1923</v>
      </c>
      <c r="T436" s="225" t="str">
        <f>D436</f>
        <v xml:space="preserve"> </v>
      </c>
    </row>
    <row r="437" spans="1:20">
      <c r="A437" s="1">
        <f>A36</f>
        <v>2002</v>
      </c>
      <c r="B437" s="331" t="str">
        <f t="shared" si="106"/>
        <v xml:space="preserve"> </v>
      </c>
      <c r="C437" s="166" t="str">
        <f t="shared" si="106"/>
        <v xml:space="preserve"> </v>
      </c>
      <c r="D437" s="166" t="str">
        <f t="shared" si="106"/>
        <v xml:space="preserve"> </v>
      </c>
      <c r="E437" s="222" t="str">
        <f t="shared" si="106"/>
        <v xml:space="preserve"> </v>
      </c>
      <c r="F437" s="222" t="str">
        <f t="shared" si="106"/>
        <v xml:space="preserve"> </v>
      </c>
      <c r="G437" s="222" t="str">
        <f t="shared" si="106"/>
        <v xml:space="preserve"> </v>
      </c>
      <c r="H437" s="222" t="str">
        <f t="shared" si="106"/>
        <v xml:space="preserve"> </v>
      </c>
      <c r="I437" s="222" t="str">
        <f t="shared" si="106"/>
        <v xml:space="preserve"> </v>
      </c>
      <c r="J437" s="222" t="str">
        <f t="shared" si="106"/>
        <v xml:space="preserve"> </v>
      </c>
      <c r="K437" s="222" t="str">
        <f t="shared" si="106"/>
        <v xml:space="preserve"> </v>
      </c>
      <c r="L437" s="222" t="str">
        <f t="shared" si="106"/>
        <v xml:space="preserve"> </v>
      </c>
      <c r="M437" s="166" t="str">
        <f t="shared" si="106"/>
        <v xml:space="preserve"> </v>
      </c>
      <c r="O437" s="348">
        <f>+L152</f>
        <v>1412</v>
      </c>
      <c r="Q437" s="291" t="str">
        <f t="shared" si="107"/>
        <v xml:space="preserve"> </v>
      </c>
      <c r="R437" s="345">
        <f>+D152</f>
        <v>721</v>
      </c>
    </row>
    <row r="438" spans="1:20">
      <c r="A438" s="1">
        <f>A37</f>
        <v>2003</v>
      </c>
      <c r="B438" s="39" t="str">
        <f t="shared" si="106"/>
        <v xml:space="preserve"> </v>
      </c>
      <c r="C438" s="40" t="str">
        <f t="shared" si="106"/>
        <v xml:space="preserve"> </v>
      </c>
      <c r="D438" s="222" t="str">
        <f t="shared" si="106"/>
        <v xml:space="preserve"> </v>
      </c>
      <c r="E438" s="222" t="str">
        <f t="shared" si="106"/>
        <v xml:space="preserve"> </v>
      </c>
      <c r="F438" s="222" t="str">
        <f t="shared" si="106"/>
        <v xml:space="preserve"> </v>
      </c>
      <c r="G438" s="222" t="str">
        <f t="shared" si="106"/>
        <v xml:space="preserve"> </v>
      </c>
      <c r="H438" s="222" t="str">
        <f t="shared" si="106"/>
        <v xml:space="preserve"> </v>
      </c>
      <c r="I438" s="222" t="str">
        <f t="shared" si="106"/>
        <v xml:space="preserve"> </v>
      </c>
      <c r="J438" s="222" t="str">
        <f t="shared" si="106"/>
        <v xml:space="preserve"> </v>
      </c>
      <c r="K438" s="222" t="str">
        <f t="shared" si="106"/>
        <v xml:space="preserve"> </v>
      </c>
      <c r="L438" s="222" t="str">
        <f t="shared" si="106"/>
        <v xml:space="preserve"> </v>
      </c>
      <c r="M438" s="166" t="str">
        <f t="shared" si="106"/>
        <v xml:space="preserve"> </v>
      </c>
      <c r="O438" s="348">
        <f>+L153</f>
        <v>1437</v>
      </c>
      <c r="Q438" s="291" t="str">
        <f t="shared" si="107"/>
        <v xml:space="preserve"> </v>
      </c>
      <c r="R438" s="345">
        <f>+D153</f>
        <v>1516</v>
      </c>
      <c r="T438" s="291" t="str">
        <f>+D438</f>
        <v xml:space="preserve"> </v>
      </c>
    </row>
    <row r="439" spans="1:20">
      <c r="A439" s="1">
        <f>A38</f>
        <v>2004</v>
      </c>
      <c r="B439" s="39" t="str">
        <f t="shared" si="106"/>
        <v xml:space="preserve"> </v>
      </c>
      <c r="C439" s="40" t="str">
        <f t="shared" si="106"/>
        <v xml:space="preserve"> </v>
      </c>
      <c r="D439" s="222" t="str">
        <f t="shared" si="106"/>
        <v xml:space="preserve"> </v>
      </c>
      <c r="E439" s="222" t="str">
        <f t="shared" si="106"/>
        <v xml:space="preserve"> </v>
      </c>
      <c r="F439" s="222" t="str">
        <f t="shared" si="106"/>
        <v xml:space="preserve"> </v>
      </c>
      <c r="G439" s="222" t="str">
        <f t="shared" si="106"/>
        <v xml:space="preserve"> </v>
      </c>
      <c r="H439" s="222" t="str">
        <f t="shared" si="106"/>
        <v xml:space="preserve"> </v>
      </c>
      <c r="I439" s="222" t="str">
        <f t="shared" si="106"/>
        <v xml:space="preserve"> </v>
      </c>
      <c r="J439" s="222" t="str">
        <f t="shared" si="106"/>
        <v xml:space="preserve"> </v>
      </c>
      <c r="K439" s="222" t="str">
        <f t="shared" si="106"/>
        <v xml:space="preserve"> </v>
      </c>
      <c r="L439" s="222" t="str">
        <f t="shared" si="106"/>
        <v xml:space="preserve"> </v>
      </c>
      <c r="M439" s="166" t="str">
        <f t="shared" si="106"/>
        <v xml:space="preserve"> </v>
      </c>
      <c r="O439" s="348">
        <f>+L154</f>
        <v>1538</v>
      </c>
      <c r="Q439" s="291" t="str">
        <f t="shared" si="107"/>
        <v xml:space="preserve"> </v>
      </c>
      <c r="R439" s="345">
        <f>+D154</f>
        <v>1648</v>
      </c>
      <c r="T439" s="291" t="str">
        <f>+D439</f>
        <v xml:space="preserve"> </v>
      </c>
    </row>
    <row r="440" spans="1:20">
      <c r="A440" s="254">
        <f>A39</f>
        <v>2005</v>
      </c>
      <c r="B440" s="40" t="str">
        <f t="shared" ref="B440:M452" si="108">IF(B307&gt;=65,B307-65," ")</f>
        <v xml:space="preserve"> </v>
      </c>
      <c r="C440" s="40" t="str">
        <f t="shared" si="108"/>
        <v xml:space="preserve"> </v>
      </c>
      <c r="D440" s="40" t="str">
        <f t="shared" si="108"/>
        <v xml:space="preserve"> </v>
      </c>
      <c r="E440" s="222" t="str">
        <f t="shared" si="108"/>
        <v xml:space="preserve"> </v>
      </c>
      <c r="F440" s="222" t="str">
        <f t="shared" si="108"/>
        <v xml:space="preserve"> </v>
      </c>
      <c r="G440" s="222" t="str">
        <f t="shared" si="108"/>
        <v xml:space="preserve"> </v>
      </c>
      <c r="H440" s="222" t="str">
        <f t="shared" si="108"/>
        <v xml:space="preserve"> </v>
      </c>
      <c r="I440" s="222" t="str">
        <f t="shared" si="108"/>
        <v xml:space="preserve"> </v>
      </c>
      <c r="J440" s="222" t="str">
        <f t="shared" si="108"/>
        <v xml:space="preserve"> </v>
      </c>
      <c r="K440" s="222" t="str">
        <f t="shared" si="108"/>
        <v xml:space="preserve"> </v>
      </c>
      <c r="L440" s="222" t="str">
        <f t="shared" si="108"/>
        <v xml:space="preserve"> </v>
      </c>
      <c r="M440" s="166" t="str">
        <f t="shared" si="108"/>
        <v xml:space="preserve"> </v>
      </c>
      <c r="O440" s="348">
        <f>+L155</f>
        <v>1831</v>
      </c>
      <c r="Q440" s="291" t="str">
        <f t="shared" si="107"/>
        <v xml:space="preserve"> </v>
      </c>
      <c r="R440" s="345">
        <f>+D155</f>
        <v>1642</v>
      </c>
      <c r="T440" s="291"/>
    </row>
    <row r="441" spans="1:20">
      <c r="A441" s="254">
        <f>A40</f>
        <v>2006</v>
      </c>
      <c r="B441" s="40" t="str">
        <f t="shared" si="108"/>
        <v xml:space="preserve"> </v>
      </c>
      <c r="C441" s="40" t="str">
        <f t="shared" si="108"/>
        <v xml:space="preserve"> </v>
      </c>
      <c r="D441" s="222" t="str">
        <f t="shared" si="108"/>
        <v xml:space="preserve"> </v>
      </c>
      <c r="E441" s="222" t="str">
        <f t="shared" si="108"/>
        <v xml:space="preserve"> </v>
      </c>
      <c r="F441" s="222" t="str">
        <f t="shared" si="108"/>
        <v xml:space="preserve"> </v>
      </c>
      <c r="G441" s="222" t="str">
        <f t="shared" si="108"/>
        <v xml:space="preserve"> </v>
      </c>
      <c r="H441" s="222" t="str">
        <f t="shared" si="108"/>
        <v xml:space="preserve"> </v>
      </c>
      <c r="I441" s="222" t="str">
        <f t="shared" si="108"/>
        <v xml:space="preserve"> </v>
      </c>
      <c r="J441" s="222" t="str">
        <f t="shared" si="108"/>
        <v xml:space="preserve"> </v>
      </c>
      <c r="K441" s="222" t="str">
        <f t="shared" si="108"/>
        <v xml:space="preserve"> </v>
      </c>
      <c r="L441" s="222" t="str">
        <f t="shared" si="108"/>
        <v xml:space="preserve"> </v>
      </c>
      <c r="M441" s="222" t="str">
        <f t="shared" si="108"/>
        <v xml:space="preserve"> </v>
      </c>
      <c r="O441" s="348">
        <f>+L156</f>
        <v>1550</v>
      </c>
      <c r="Q441" s="291" t="str">
        <f t="shared" si="107"/>
        <v xml:space="preserve"> </v>
      </c>
      <c r="R441" s="345">
        <f>+D156</f>
        <v>1923</v>
      </c>
      <c r="T441" s="291" t="str">
        <f>+D441</f>
        <v xml:space="preserve"> </v>
      </c>
    </row>
    <row r="442" spans="1:20">
      <c r="A442" s="254">
        <f>A41</f>
        <v>2007</v>
      </c>
      <c r="B442" s="40" t="str">
        <f t="shared" si="108"/>
        <v xml:space="preserve"> </v>
      </c>
      <c r="C442" s="40" t="str">
        <f t="shared" si="108"/>
        <v xml:space="preserve"> </v>
      </c>
      <c r="D442" s="222" t="str">
        <f t="shared" si="108"/>
        <v xml:space="preserve"> </v>
      </c>
      <c r="E442" s="222" t="str">
        <f t="shared" si="108"/>
        <v xml:space="preserve"> </v>
      </c>
      <c r="F442" s="222" t="str">
        <f t="shared" si="108"/>
        <v xml:space="preserve"> </v>
      </c>
      <c r="G442" s="222" t="str">
        <f t="shared" si="108"/>
        <v xml:space="preserve"> </v>
      </c>
      <c r="H442" s="222" t="str">
        <f t="shared" si="108"/>
        <v xml:space="preserve"> </v>
      </c>
      <c r="I442" s="222" t="str">
        <f t="shared" si="108"/>
        <v xml:space="preserve"> </v>
      </c>
      <c r="J442" s="222" t="str">
        <f t="shared" si="108"/>
        <v xml:space="preserve"> </v>
      </c>
      <c r="K442" s="222" t="str">
        <f t="shared" si="108"/>
        <v xml:space="preserve"> </v>
      </c>
      <c r="L442" s="222" t="str">
        <f t="shared" si="108"/>
        <v xml:space="preserve"> </v>
      </c>
      <c r="M442" s="332" t="str">
        <f t="shared" si="108"/>
        <v xml:space="preserve"> </v>
      </c>
      <c r="O442" s="348">
        <f>+L157</f>
        <v>1622</v>
      </c>
      <c r="Q442" s="291" t="str">
        <f t="shared" si="107"/>
        <v xml:space="preserve"> </v>
      </c>
      <c r="R442" s="345">
        <f>+D157</f>
        <v>1723</v>
      </c>
      <c r="T442" s="291" t="str">
        <f>+D442</f>
        <v xml:space="preserve"> </v>
      </c>
    </row>
    <row r="443" spans="1:20">
      <c r="A443" s="254">
        <f>A42</f>
        <v>2008</v>
      </c>
      <c r="B443" s="40" t="str">
        <f t="shared" si="108"/>
        <v xml:space="preserve"> </v>
      </c>
      <c r="C443" s="40" t="str">
        <f t="shared" si="108"/>
        <v xml:space="preserve"> </v>
      </c>
      <c r="D443" s="222" t="str">
        <f t="shared" si="108"/>
        <v xml:space="preserve"> </v>
      </c>
      <c r="E443" s="222" t="str">
        <f t="shared" si="108"/>
        <v xml:space="preserve"> </v>
      </c>
      <c r="F443" s="222" t="str">
        <f t="shared" si="108"/>
        <v xml:space="preserve"> </v>
      </c>
      <c r="G443" s="222" t="str">
        <f t="shared" si="108"/>
        <v xml:space="preserve"> </v>
      </c>
      <c r="H443" s="222" t="str">
        <f t="shared" si="108"/>
        <v xml:space="preserve"> </v>
      </c>
      <c r="I443" s="222" t="str">
        <f t="shared" si="108"/>
        <v xml:space="preserve"> </v>
      </c>
      <c r="J443" s="222" t="str">
        <f t="shared" si="108"/>
        <v xml:space="preserve"> </v>
      </c>
      <c r="K443" s="222" t="str">
        <f t="shared" si="108"/>
        <v xml:space="preserve"> </v>
      </c>
      <c r="L443" s="222" t="str">
        <f t="shared" si="108"/>
        <v xml:space="preserve"> </v>
      </c>
      <c r="M443" s="166" t="str">
        <f t="shared" si="108"/>
        <v xml:space="preserve"> </v>
      </c>
      <c r="O443" s="348">
        <f>+L158</f>
        <v>1508</v>
      </c>
      <c r="Q443" s="291" t="str">
        <f t="shared" si="107"/>
        <v xml:space="preserve"> </v>
      </c>
      <c r="R443" s="345">
        <f>+D158</f>
        <v>1638</v>
      </c>
      <c r="T443" s="291" t="str">
        <f>+D443</f>
        <v xml:space="preserve"> </v>
      </c>
    </row>
    <row r="444" spans="1:20">
      <c r="A444" s="254">
        <f>A43</f>
        <v>2009</v>
      </c>
      <c r="B444" s="40" t="str">
        <f t="shared" si="108"/>
        <v xml:space="preserve"> </v>
      </c>
      <c r="C444" s="40" t="str">
        <f t="shared" si="108"/>
        <v xml:space="preserve"> </v>
      </c>
      <c r="D444" s="40" t="str">
        <f t="shared" si="108"/>
        <v xml:space="preserve"> </v>
      </c>
      <c r="E444" s="222" t="str">
        <f t="shared" si="108"/>
        <v xml:space="preserve"> </v>
      </c>
      <c r="F444" s="222" t="str">
        <f t="shared" si="108"/>
        <v xml:space="preserve"> </v>
      </c>
      <c r="G444" s="222" t="str">
        <f t="shared" si="108"/>
        <v xml:space="preserve"> </v>
      </c>
      <c r="H444" s="222" t="str">
        <f t="shared" si="108"/>
        <v xml:space="preserve"> </v>
      </c>
      <c r="I444" s="222" t="str">
        <f t="shared" si="108"/>
        <v xml:space="preserve"> </v>
      </c>
      <c r="J444" s="222" t="str">
        <f t="shared" si="108"/>
        <v xml:space="preserve"> </v>
      </c>
      <c r="K444" s="222" t="str">
        <f t="shared" si="108"/>
        <v xml:space="preserve"> </v>
      </c>
      <c r="L444" s="222" t="str">
        <f t="shared" si="108"/>
        <v xml:space="preserve"> </v>
      </c>
      <c r="M444" s="222" t="str">
        <f t="shared" si="108"/>
        <v xml:space="preserve"> </v>
      </c>
      <c r="O444" s="348">
        <f>+L159</f>
        <v>1451</v>
      </c>
      <c r="Q444" s="291" t="str">
        <f t="shared" si="107"/>
        <v xml:space="preserve"> </v>
      </c>
      <c r="R444" s="345">
        <f>+D159</f>
        <v>714</v>
      </c>
      <c r="S444" s="291"/>
      <c r="T444" s="291"/>
    </row>
    <row r="445" spans="1:20">
      <c r="A445" s="254">
        <f>A44</f>
        <v>2010</v>
      </c>
      <c r="B445" s="40" t="str">
        <f t="shared" si="108"/>
        <v xml:space="preserve"> </v>
      </c>
      <c r="C445" s="40" t="str">
        <f t="shared" si="108"/>
        <v xml:space="preserve"> </v>
      </c>
      <c r="D445" s="40" t="str">
        <f t="shared" si="108"/>
        <v xml:space="preserve"> </v>
      </c>
      <c r="E445" s="222" t="str">
        <f t="shared" si="108"/>
        <v xml:space="preserve"> </v>
      </c>
      <c r="F445" s="222" t="str">
        <f t="shared" si="108"/>
        <v xml:space="preserve"> </v>
      </c>
      <c r="G445" s="222" t="str">
        <f t="shared" si="108"/>
        <v xml:space="preserve"> </v>
      </c>
      <c r="H445" s="222" t="str">
        <f t="shared" si="108"/>
        <v xml:space="preserve"> </v>
      </c>
      <c r="I445" s="222" t="str">
        <f t="shared" si="108"/>
        <v xml:space="preserve"> </v>
      </c>
      <c r="J445" s="222" t="str">
        <f t="shared" si="108"/>
        <v xml:space="preserve"> </v>
      </c>
      <c r="K445" s="222" t="str">
        <f t="shared" si="108"/>
        <v xml:space="preserve"> </v>
      </c>
      <c r="L445" s="222" t="str">
        <f t="shared" si="108"/>
        <v xml:space="preserve"> </v>
      </c>
      <c r="M445" s="166" t="str">
        <f t="shared" si="108"/>
        <v xml:space="preserve"> </v>
      </c>
      <c r="O445" s="348">
        <f>+L160</f>
        <v>1651</v>
      </c>
      <c r="Q445" s="291" t="str">
        <f t="shared" si="107"/>
        <v xml:space="preserve"> </v>
      </c>
      <c r="R445" s="345">
        <f>+D160</f>
        <v>706</v>
      </c>
      <c r="S445" s="291"/>
      <c r="T445" s="291"/>
    </row>
    <row r="446" spans="1:20">
      <c r="A446" s="254">
        <f>A45</f>
        <v>2011</v>
      </c>
      <c r="B446" s="40" t="str">
        <f t="shared" si="108"/>
        <v xml:space="preserve"> </v>
      </c>
      <c r="C446" s="40" t="str">
        <f t="shared" si="108"/>
        <v xml:space="preserve"> </v>
      </c>
      <c r="D446" s="222" t="str">
        <f t="shared" si="108"/>
        <v xml:space="preserve"> </v>
      </c>
      <c r="E446" s="222" t="str">
        <f t="shared" si="108"/>
        <v xml:space="preserve"> </v>
      </c>
      <c r="F446" s="222" t="str">
        <f t="shared" si="108"/>
        <v xml:space="preserve"> </v>
      </c>
      <c r="G446" s="222" t="str">
        <f t="shared" si="108"/>
        <v xml:space="preserve"> </v>
      </c>
      <c r="H446" s="222" t="str">
        <f t="shared" si="108"/>
        <v xml:space="preserve"> </v>
      </c>
      <c r="I446" s="222" t="str">
        <f t="shared" si="108"/>
        <v xml:space="preserve"> </v>
      </c>
      <c r="J446" s="222" t="str">
        <f t="shared" si="108"/>
        <v xml:space="preserve"> </v>
      </c>
      <c r="K446" s="222" t="str">
        <f t="shared" si="108"/>
        <v xml:space="preserve"> </v>
      </c>
      <c r="L446" s="222" t="str">
        <f t="shared" si="108"/>
        <v xml:space="preserve"> </v>
      </c>
      <c r="M446" s="222" t="str">
        <f t="shared" si="108"/>
        <v xml:space="preserve"> </v>
      </c>
      <c r="O446" s="348">
        <f>+L161</f>
        <v>1526</v>
      </c>
      <c r="Q446" s="291" t="str">
        <f t="shared" si="107"/>
        <v xml:space="preserve"> </v>
      </c>
      <c r="R446" s="345">
        <f>+D161</f>
        <v>1730</v>
      </c>
      <c r="S446" s="291"/>
      <c r="T446" s="291" t="str">
        <f t="shared" ref="T446:T454" si="109">+D446</f>
        <v xml:space="preserve"> </v>
      </c>
    </row>
    <row r="447" spans="1:20">
      <c r="A447" s="254">
        <f>A46</f>
        <v>2012</v>
      </c>
      <c r="B447" s="40" t="str">
        <f t="shared" si="108"/>
        <v xml:space="preserve"> </v>
      </c>
      <c r="C447" s="40" t="str">
        <f t="shared" si="108"/>
        <v xml:space="preserve"> </v>
      </c>
      <c r="D447" s="222" t="str">
        <f t="shared" si="108"/>
        <v xml:space="preserve"> </v>
      </c>
      <c r="E447" s="222" t="str">
        <f t="shared" si="108"/>
        <v xml:space="preserve"> </v>
      </c>
      <c r="F447" s="222" t="str">
        <f t="shared" si="108"/>
        <v xml:space="preserve"> </v>
      </c>
      <c r="G447" s="222" t="str">
        <f t="shared" si="108"/>
        <v xml:space="preserve"> </v>
      </c>
      <c r="H447" s="222" t="str">
        <f t="shared" si="108"/>
        <v xml:space="preserve"> </v>
      </c>
      <c r="I447" s="222" t="str">
        <f t="shared" si="108"/>
        <v xml:space="preserve"> </v>
      </c>
      <c r="J447" s="222" t="str">
        <f t="shared" si="108"/>
        <v xml:space="preserve"> </v>
      </c>
      <c r="K447" s="222" t="str">
        <f t="shared" si="108"/>
        <v xml:space="preserve"> </v>
      </c>
      <c r="L447" s="222" t="str">
        <f t="shared" si="108"/>
        <v xml:space="preserve"> </v>
      </c>
      <c r="M447" s="222" t="str">
        <f t="shared" si="108"/>
        <v xml:space="preserve"> </v>
      </c>
      <c r="O447" s="348">
        <f>+L162</f>
        <v>1822</v>
      </c>
      <c r="Q447" s="291" t="str">
        <f t="shared" si="107"/>
        <v xml:space="preserve"> </v>
      </c>
      <c r="R447" s="345">
        <f>+D162</f>
        <v>1709</v>
      </c>
      <c r="S447" s="291"/>
      <c r="T447" s="291" t="str">
        <f t="shared" si="109"/>
        <v xml:space="preserve"> </v>
      </c>
    </row>
    <row r="448" spans="1:20">
      <c r="A448" s="254">
        <f>A47</f>
        <v>2013</v>
      </c>
      <c r="B448" s="222" t="str">
        <f t="shared" si="108"/>
        <v xml:space="preserve"> </v>
      </c>
      <c r="C448" s="40" t="str">
        <f t="shared" si="108"/>
        <v xml:space="preserve"> </v>
      </c>
      <c r="D448" s="40" t="str">
        <f t="shared" si="108"/>
        <v xml:space="preserve"> </v>
      </c>
      <c r="E448" s="222" t="str">
        <f t="shared" si="108"/>
        <v xml:space="preserve"> </v>
      </c>
      <c r="F448" s="222" t="str">
        <f t="shared" si="108"/>
        <v xml:space="preserve"> </v>
      </c>
      <c r="G448" s="222" t="str">
        <f t="shared" si="108"/>
        <v xml:space="preserve"> </v>
      </c>
      <c r="H448" s="222" t="str">
        <f t="shared" si="108"/>
        <v xml:space="preserve"> </v>
      </c>
      <c r="I448" s="222" t="str">
        <f t="shared" si="108"/>
        <v xml:space="preserve"> </v>
      </c>
      <c r="J448" s="222" t="str">
        <f t="shared" si="108"/>
        <v xml:space="preserve"> </v>
      </c>
      <c r="K448" s="222" t="str">
        <f t="shared" si="108"/>
        <v xml:space="preserve"> </v>
      </c>
      <c r="L448" s="222" t="str">
        <f t="shared" si="108"/>
        <v xml:space="preserve"> </v>
      </c>
      <c r="M448" s="222" t="str">
        <f t="shared" si="108"/>
        <v xml:space="preserve"> </v>
      </c>
      <c r="O448" s="348">
        <f>+L163</f>
        <v>1617</v>
      </c>
      <c r="Q448" s="291" t="str">
        <f t="shared" si="107"/>
        <v xml:space="preserve"> </v>
      </c>
      <c r="R448" s="345">
        <f>+D163</f>
        <v>711</v>
      </c>
      <c r="S448" s="291"/>
      <c r="T448" s="291" t="str">
        <f t="shared" si="109"/>
        <v xml:space="preserve"> </v>
      </c>
    </row>
    <row r="449" spans="1:20">
      <c r="A449" s="254">
        <f>A48</f>
        <v>2014</v>
      </c>
      <c r="B449" s="40" t="str">
        <f t="shared" ref="B449:F452" si="110">IF(B316&gt;=65,B316-65," ")</f>
        <v xml:space="preserve"> </v>
      </c>
      <c r="C449" s="40" t="str">
        <f t="shared" si="110"/>
        <v xml:space="preserve"> </v>
      </c>
      <c r="D449" s="222" t="str">
        <f t="shared" si="110"/>
        <v xml:space="preserve"> </v>
      </c>
      <c r="E449" s="222" t="str">
        <f t="shared" si="110"/>
        <v xml:space="preserve"> </v>
      </c>
      <c r="F449" s="222" t="str">
        <f t="shared" si="110"/>
        <v xml:space="preserve"> </v>
      </c>
      <c r="G449" s="222" t="str">
        <f t="shared" si="108"/>
        <v xml:space="preserve"> </v>
      </c>
      <c r="H449" s="222" t="str">
        <f t="shared" si="108"/>
        <v xml:space="preserve"> </v>
      </c>
      <c r="I449" s="222" t="str">
        <f t="shared" si="108"/>
        <v xml:space="preserve"> </v>
      </c>
      <c r="J449" s="222" t="str">
        <f t="shared" si="108"/>
        <v xml:space="preserve"> </v>
      </c>
      <c r="K449" s="222" t="str">
        <f t="shared" si="108"/>
        <v xml:space="preserve"> </v>
      </c>
      <c r="L449" s="40" t="str">
        <f t="shared" si="108"/>
        <v xml:space="preserve"> </v>
      </c>
      <c r="M449" s="40" t="str">
        <f t="shared" si="108"/>
        <v xml:space="preserve"> </v>
      </c>
      <c r="O449" s="348">
        <f>+L164</f>
        <v>647</v>
      </c>
      <c r="R449" s="345">
        <f>+D164</f>
        <v>1744</v>
      </c>
      <c r="T449" s="291" t="str">
        <f t="shared" si="109"/>
        <v xml:space="preserve"> </v>
      </c>
    </row>
    <row r="450" spans="1:20">
      <c r="A450" s="254">
        <f>A49</f>
        <v>2015</v>
      </c>
      <c r="B450" s="40" t="str">
        <f t="shared" si="110"/>
        <v xml:space="preserve"> </v>
      </c>
      <c r="C450" s="40" t="str">
        <f t="shared" si="110"/>
        <v xml:space="preserve"> </v>
      </c>
      <c r="D450" s="222" t="str">
        <f t="shared" si="110"/>
        <v xml:space="preserve"> </v>
      </c>
      <c r="E450" s="222" t="str">
        <f t="shared" si="110"/>
        <v xml:space="preserve"> </v>
      </c>
      <c r="F450" s="222" t="str">
        <f t="shared" si="110"/>
        <v xml:space="preserve"> </v>
      </c>
      <c r="G450" s="222" t="str">
        <f t="shared" si="108"/>
        <v xml:space="preserve"> </v>
      </c>
      <c r="H450" s="222" t="str">
        <f t="shared" si="108"/>
        <v xml:space="preserve"> </v>
      </c>
      <c r="I450" s="222" t="str">
        <f t="shared" si="108"/>
        <v xml:space="preserve"> </v>
      </c>
      <c r="J450" s="222" t="str">
        <f t="shared" si="108"/>
        <v xml:space="preserve"> </v>
      </c>
      <c r="K450" s="222" t="str">
        <f t="shared" si="108"/>
        <v xml:space="preserve"> </v>
      </c>
      <c r="L450" s="222" t="str">
        <f t="shared" si="108"/>
        <v xml:space="preserve"> </v>
      </c>
      <c r="M450" s="222" t="str">
        <f t="shared" si="108"/>
        <v xml:space="preserve"> </v>
      </c>
      <c r="O450" s="348">
        <f>+L165</f>
        <v>1421</v>
      </c>
      <c r="Q450" s="291" t="str">
        <f>+L450</f>
        <v xml:space="preserve"> </v>
      </c>
      <c r="R450" s="345">
        <f>+D165</f>
        <v>1649</v>
      </c>
      <c r="T450" s="291" t="str">
        <f t="shared" si="109"/>
        <v xml:space="preserve"> </v>
      </c>
    </row>
    <row r="451" spans="1:20">
      <c r="A451" s="254">
        <f>A50</f>
        <v>2016</v>
      </c>
      <c r="B451" s="40" t="str">
        <f t="shared" si="110"/>
        <v xml:space="preserve"> </v>
      </c>
      <c r="C451" s="40" t="str">
        <f t="shared" si="110"/>
        <v xml:space="preserve"> </v>
      </c>
      <c r="D451" s="222" t="str">
        <f t="shared" si="110"/>
        <v xml:space="preserve"> </v>
      </c>
      <c r="E451" s="222" t="str">
        <f t="shared" si="110"/>
        <v xml:space="preserve"> </v>
      </c>
      <c r="F451" s="222" t="str">
        <f t="shared" si="110"/>
        <v xml:space="preserve"> </v>
      </c>
      <c r="G451" s="222" t="str">
        <f t="shared" si="108"/>
        <v xml:space="preserve"> </v>
      </c>
      <c r="H451" s="222" t="str">
        <f t="shared" si="108"/>
        <v xml:space="preserve"> </v>
      </c>
      <c r="I451" s="222" t="str">
        <f t="shared" si="108"/>
        <v xml:space="preserve"> </v>
      </c>
      <c r="J451" s="222" t="str">
        <f t="shared" si="108"/>
        <v xml:space="preserve"> </v>
      </c>
      <c r="K451" s="222" t="str">
        <f t="shared" si="108"/>
        <v xml:space="preserve"> </v>
      </c>
      <c r="L451" s="222" t="str">
        <f t="shared" si="108"/>
        <v xml:space="preserve"> </v>
      </c>
      <c r="M451" s="222" t="str">
        <f t="shared" si="108"/>
        <v xml:space="preserve"> </v>
      </c>
      <c r="O451" s="348">
        <f>+L166</f>
        <v>1557</v>
      </c>
      <c r="Q451" s="291" t="str">
        <f>+L451</f>
        <v xml:space="preserve"> </v>
      </c>
      <c r="R451" s="345">
        <f>+D166</f>
        <v>1727</v>
      </c>
      <c r="T451" s="291" t="str">
        <f t="shared" si="109"/>
        <v xml:space="preserve"> </v>
      </c>
    </row>
    <row r="452" spans="1:20">
      <c r="A452" s="254">
        <f>A51</f>
        <v>2017</v>
      </c>
      <c r="B452" s="40" t="str">
        <f t="shared" si="110"/>
        <v xml:space="preserve"> </v>
      </c>
      <c r="C452" s="222" t="str">
        <f t="shared" si="110"/>
        <v xml:space="preserve"> </v>
      </c>
      <c r="D452" s="222" t="str">
        <f t="shared" si="110"/>
        <v xml:space="preserve"> </v>
      </c>
      <c r="E452" s="222" t="str">
        <f t="shared" si="110"/>
        <v xml:space="preserve"> </v>
      </c>
      <c r="F452" s="222" t="str">
        <f t="shared" si="110"/>
        <v xml:space="preserve"> </v>
      </c>
      <c r="G452" s="222" t="str">
        <f t="shared" si="108"/>
        <v xml:space="preserve"> </v>
      </c>
      <c r="H452" s="222" t="str">
        <f t="shared" si="108"/>
        <v xml:space="preserve"> </v>
      </c>
      <c r="I452" s="222" t="str">
        <f t="shared" si="108"/>
        <v xml:space="preserve"> </v>
      </c>
      <c r="J452" s="222" t="str">
        <f t="shared" si="108"/>
        <v xml:space="preserve"> </v>
      </c>
      <c r="K452" s="222" t="str">
        <f t="shared" si="108"/>
        <v xml:space="preserve"> </v>
      </c>
      <c r="L452" s="222" t="str">
        <f t="shared" si="108"/>
        <v xml:space="preserve"> </v>
      </c>
      <c r="M452" s="40" t="str">
        <f t="shared" si="108"/>
        <v xml:space="preserve"> </v>
      </c>
      <c r="O452" s="348">
        <f>+L167</f>
        <v>1609</v>
      </c>
      <c r="Q452" s="291" t="str">
        <f>+L452</f>
        <v xml:space="preserve"> </v>
      </c>
      <c r="R452" s="345">
        <f>+D167</f>
        <v>1629</v>
      </c>
      <c r="T452" s="291" t="str">
        <f t="shared" si="109"/>
        <v xml:space="preserve"> </v>
      </c>
    </row>
    <row r="453" spans="1:20">
      <c r="A453" s="254">
        <f>A52</f>
        <v>2018</v>
      </c>
      <c r="B453" s="40" t="str">
        <f>IF(B320&gt;=65,B320-65," ")</f>
        <v xml:space="preserve"> </v>
      </c>
      <c r="C453" s="222" t="str">
        <f t="shared" ref="C453:M454" si="111">IF(C320&gt;=65,C320-65," ")</f>
        <v xml:space="preserve"> </v>
      </c>
      <c r="D453" s="222" t="str">
        <f t="shared" si="111"/>
        <v xml:space="preserve"> </v>
      </c>
      <c r="E453" s="222" t="str">
        <f t="shared" si="111"/>
        <v xml:space="preserve"> </v>
      </c>
      <c r="F453" s="222" t="str">
        <f t="shared" si="111"/>
        <v xml:space="preserve"> </v>
      </c>
      <c r="G453" s="222" t="str">
        <f t="shared" si="111"/>
        <v xml:space="preserve"> </v>
      </c>
      <c r="H453" s="222" t="str">
        <f t="shared" si="111"/>
        <v xml:space="preserve"> </v>
      </c>
      <c r="I453" s="222" t="str">
        <f t="shared" si="111"/>
        <v xml:space="preserve"> </v>
      </c>
      <c r="J453" s="222" t="str">
        <f t="shared" si="111"/>
        <v xml:space="preserve"> </v>
      </c>
      <c r="K453" s="222" t="str">
        <f t="shared" si="111"/>
        <v xml:space="preserve"> </v>
      </c>
      <c r="L453" s="222" t="str">
        <f t="shared" si="111"/>
        <v xml:space="preserve"> </v>
      </c>
      <c r="M453" s="222" t="str">
        <f t="shared" si="111"/>
        <v xml:space="preserve"> </v>
      </c>
      <c r="O453" s="348">
        <f>+L168</f>
        <v>1428</v>
      </c>
      <c r="Q453" s="291" t="str">
        <f>+L453</f>
        <v xml:space="preserve"> </v>
      </c>
      <c r="R453" s="345">
        <f>+D168</f>
        <v>1533</v>
      </c>
      <c r="T453" s="291" t="str">
        <f t="shared" si="109"/>
        <v xml:space="preserve"> </v>
      </c>
    </row>
    <row r="454" spans="1:20">
      <c r="A454" s="254">
        <f>A53</f>
        <v>2019</v>
      </c>
      <c r="B454" s="40" t="str">
        <f>IF(B321&gt;=65,B321-65," ")</f>
        <v xml:space="preserve"> </v>
      </c>
      <c r="C454" s="222" t="str">
        <f t="shared" si="111"/>
        <v xml:space="preserve"> </v>
      </c>
      <c r="D454" s="222" t="str">
        <f t="shared" si="111"/>
        <v xml:space="preserve"> </v>
      </c>
      <c r="E454" s="222" t="str">
        <f t="shared" si="111"/>
        <v xml:space="preserve"> </v>
      </c>
      <c r="F454" s="222" t="str">
        <f t="shared" si="111"/>
        <v xml:space="preserve"> </v>
      </c>
      <c r="G454" s="222" t="str">
        <f t="shared" si="111"/>
        <v xml:space="preserve"> </v>
      </c>
      <c r="H454" s="222" t="str">
        <f t="shared" si="111"/>
        <v xml:space="preserve"> </v>
      </c>
      <c r="I454" s="222" t="str">
        <f t="shared" si="111"/>
        <v xml:space="preserve"> </v>
      </c>
      <c r="J454" s="222" t="str">
        <f t="shared" si="111"/>
        <v xml:space="preserve"> </v>
      </c>
      <c r="K454" s="222" t="str">
        <f t="shared" si="111"/>
        <v xml:space="preserve"> </v>
      </c>
      <c r="L454" s="222" t="str">
        <f t="shared" si="111"/>
        <v xml:space="preserve"> </v>
      </c>
      <c r="M454" s="222" t="str">
        <f t="shared" si="111"/>
        <v xml:space="preserve"> </v>
      </c>
      <c r="O454" s="348">
        <f>+L169</f>
        <v>1533</v>
      </c>
      <c r="Q454" s="291" t="str">
        <f>+L454</f>
        <v xml:space="preserve"> </v>
      </c>
      <c r="R454" s="345">
        <f>+D169</f>
        <v>1717</v>
      </c>
      <c r="T454" s="291" t="str">
        <f t="shared" si="109"/>
        <v xml:space="preserve"> </v>
      </c>
    </row>
    <row r="455" spans="1:20">
      <c r="A455" s="254">
        <f>A54</f>
        <v>2020</v>
      </c>
      <c r="B455" s="40"/>
      <c r="C455" s="222"/>
      <c r="D455" s="222"/>
      <c r="E455" s="222"/>
      <c r="F455" s="222"/>
      <c r="G455" s="222"/>
      <c r="H455" s="222"/>
      <c r="I455" s="222"/>
      <c r="J455" s="222"/>
      <c r="K455" s="222"/>
      <c r="L455" s="222"/>
      <c r="M455" s="222"/>
      <c r="O455" s="348"/>
      <c r="Q455" s="291"/>
      <c r="R455" s="345"/>
      <c r="T455" s="291"/>
    </row>
    <row r="456" spans="1:20">
      <c r="A456" s="254">
        <f>A55</f>
        <v>2021</v>
      </c>
      <c r="B456" s="40"/>
      <c r="C456" s="222"/>
      <c r="D456" s="222"/>
      <c r="E456" s="222"/>
      <c r="F456" s="222"/>
      <c r="G456" s="222"/>
      <c r="H456" s="222"/>
      <c r="I456" s="222"/>
      <c r="J456" s="222"/>
      <c r="K456" s="222"/>
      <c r="L456" s="222"/>
      <c r="M456" s="222"/>
      <c r="O456" s="348"/>
      <c r="Q456" s="291"/>
      <c r="R456" s="345"/>
      <c r="T456" s="291"/>
    </row>
    <row r="457" spans="1:20" customFormat="1">
      <c r="A457" s="254">
        <f>A56</f>
        <v>2022</v>
      </c>
    </row>
    <row r="459" spans="1:20" ht="15.75">
      <c r="A459" s="1" t="s">
        <v>67</v>
      </c>
      <c r="B459" s="43" t="e">
        <f>AVERAGE(B423:B452)</f>
        <v>#DIV/0!</v>
      </c>
      <c r="C459" s="43" t="e">
        <f t="shared" ref="C459:M459" si="112">AVERAGE(C423:C452)</f>
        <v>#DIV/0!</v>
      </c>
      <c r="D459" s="43" t="e">
        <f t="shared" si="112"/>
        <v>#DIV/0!</v>
      </c>
      <c r="E459" s="43" t="e">
        <f t="shared" si="112"/>
        <v>#DIV/0!</v>
      </c>
      <c r="F459" s="43" t="e">
        <f t="shared" si="112"/>
        <v>#DIV/0!</v>
      </c>
      <c r="G459" s="43" t="e">
        <f t="shared" si="112"/>
        <v>#DIV/0!</v>
      </c>
      <c r="H459" s="43" t="e">
        <f t="shared" si="112"/>
        <v>#DIV/0!</v>
      </c>
      <c r="I459" s="43" t="e">
        <f t="shared" si="112"/>
        <v>#DIV/0!</v>
      </c>
      <c r="J459" s="43" t="e">
        <f t="shared" si="112"/>
        <v>#DIV/0!</v>
      </c>
      <c r="K459" s="43" t="e">
        <f t="shared" si="112"/>
        <v>#DIV/0!</v>
      </c>
      <c r="L459" s="43" t="e">
        <f t="shared" si="112"/>
        <v>#DIV/0!</v>
      </c>
      <c r="M459" s="43" t="e">
        <f t="shared" si="112"/>
        <v>#DIV/0!</v>
      </c>
      <c r="P459" s="302"/>
      <c r="Q459" s="302" t="e">
        <f>AVERAGE(Q423:Q452)</f>
        <v>#DIV/0!</v>
      </c>
      <c r="R459" s="225" t="s">
        <v>67</v>
      </c>
      <c r="S459" s="302" t="e">
        <f>AVERAGE(S423:S452)</f>
        <v>#DIV/0!</v>
      </c>
      <c r="T459" s="302" t="e">
        <f>AVERAGE(T423:T452)</f>
        <v>#DIV/0!</v>
      </c>
    </row>
    <row r="460" spans="1:20" ht="15.75">
      <c r="A460" s="1" t="s">
        <v>69</v>
      </c>
      <c r="B460" s="43" t="e">
        <f>AVERAGE(B433:B452)</f>
        <v>#DIV/0!</v>
      </c>
      <c r="C460" s="43" t="e">
        <f t="shared" ref="C460:M460" si="113">AVERAGE(C433:C452)</f>
        <v>#DIV/0!</v>
      </c>
      <c r="D460" s="43" t="e">
        <f t="shared" si="113"/>
        <v>#DIV/0!</v>
      </c>
      <c r="E460" s="43" t="e">
        <f t="shared" si="113"/>
        <v>#DIV/0!</v>
      </c>
      <c r="F460" s="43" t="e">
        <f t="shared" si="113"/>
        <v>#DIV/0!</v>
      </c>
      <c r="G460" s="43" t="e">
        <f t="shared" si="113"/>
        <v>#DIV/0!</v>
      </c>
      <c r="H460" s="234" t="e">
        <f t="shared" si="113"/>
        <v>#DIV/0!</v>
      </c>
      <c r="I460" s="234" t="e">
        <f t="shared" si="113"/>
        <v>#DIV/0!</v>
      </c>
      <c r="J460" s="43" t="e">
        <f t="shared" si="113"/>
        <v>#DIV/0!</v>
      </c>
      <c r="K460" s="43" t="e">
        <f t="shared" si="113"/>
        <v>#DIV/0!</v>
      </c>
      <c r="L460" s="43" t="e">
        <f t="shared" si="113"/>
        <v>#DIV/0!</v>
      </c>
      <c r="M460" s="43" t="e">
        <f t="shared" si="113"/>
        <v>#DIV/0!</v>
      </c>
      <c r="P460" s="302"/>
      <c r="Q460" s="302" t="e">
        <f>AVERAGE(Q433:Q452)</f>
        <v>#DIV/0!</v>
      </c>
      <c r="R460" s="225" t="s">
        <v>69</v>
      </c>
      <c r="S460" s="302" t="e">
        <f>AVERAGE(S433:S452)</f>
        <v>#DIV/0!</v>
      </c>
      <c r="T460" s="302" t="e">
        <f>AVERAGE(T433:T452)</f>
        <v>#DIV/0!</v>
      </c>
    </row>
    <row r="461" spans="1:20" ht="15.75">
      <c r="A461" s="1" t="s">
        <v>68</v>
      </c>
      <c r="B461" s="43" t="e">
        <f>AVERAGE(B443:B452)</f>
        <v>#DIV/0!</v>
      </c>
      <c r="C461" s="43" t="e">
        <f t="shared" ref="C461:M461" si="114">AVERAGE(C443:C452)</f>
        <v>#DIV/0!</v>
      </c>
      <c r="D461" s="43" t="e">
        <f t="shared" si="114"/>
        <v>#DIV/0!</v>
      </c>
      <c r="E461" s="43" t="e">
        <f t="shared" si="114"/>
        <v>#DIV/0!</v>
      </c>
      <c r="F461" s="43" t="e">
        <f t="shared" si="114"/>
        <v>#DIV/0!</v>
      </c>
      <c r="G461" s="43" t="e">
        <f t="shared" si="114"/>
        <v>#DIV/0!</v>
      </c>
      <c r="H461" s="234" t="e">
        <f t="shared" si="114"/>
        <v>#DIV/0!</v>
      </c>
      <c r="I461" s="234" t="e">
        <f t="shared" si="114"/>
        <v>#DIV/0!</v>
      </c>
      <c r="J461" s="43" t="e">
        <f t="shared" si="114"/>
        <v>#DIV/0!</v>
      </c>
      <c r="K461" s="43" t="e">
        <f t="shared" si="114"/>
        <v>#DIV/0!</v>
      </c>
      <c r="L461" s="43" t="e">
        <f t="shared" si="114"/>
        <v>#DIV/0!</v>
      </c>
      <c r="M461" s="43" t="e">
        <f t="shared" si="114"/>
        <v>#DIV/0!</v>
      </c>
      <c r="P461" s="302"/>
      <c r="Q461" s="302" t="e">
        <f>AVERAGE(Q443:Q452)</f>
        <v>#DIV/0!</v>
      </c>
      <c r="R461" s="225" t="s">
        <v>68</v>
      </c>
      <c r="S461" s="302" t="e">
        <f>AVERAGE(S443:S452)</f>
        <v>#DIV/0!</v>
      </c>
      <c r="T461" s="302" t="e">
        <f>AVERAGE(T443:T452)</f>
        <v>#DIV/0!</v>
      </c>
    </row>
    <row r="462" spans="1:20"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</row>
    <row r="463" spans="1:20" ht="15.75">
      <c r="A463" s="235" t="s">
        <v>259</v>
      </c>
      <c r="B463" s="236">
        <v>0</v>
      </c>
      <c r="C463" s="236">
        <v>0</v>
      </c>
      <c r="D463" s="236">
        <v>0</v>
      </c>
      <c r="E463" s="236">
        <v>11</v>
      </c>
      <c r="F463" s="236">
        <v>16</v>
      </c>
      <c r="G463" s="236">
        <v>19</v>
      </c>
      <c r="H463" s="237">
        <v>20</v>
      </c>
      <c r="I463" s="237">
        <v>20</v>
      </c>
      <c r="J463" s="236">
        <v>18</v>
      </c>
      <c r="K463" s="236">
        <v>15</v>
      </c>
      <c r="L463" s="236">
        <v>0</v>
      </c>
      <c r="M463" s="236">
        <v>0</v>
      </c>
      <c r="N463" s="236"/>
      <c r="O463" s="236"/>
      <c r="P463" s="307"/>
      <c r="Q463" s="307"/>
      <c r="R463" s="307"/>
      <c r="S463" s="307"/>
      <c r="T463" s="308"/>
    </row>
    <row r="464" spans="1:20">
      <c r="A464" s="238" t="s">
        <v>260</v>
      </c>
      <c r="B464" s="239"/>
      <c r="C464" s="239"/>
      <c r="D464" s="239"/>
      <c r="E464" s="239">
        <f>+E463+65</f>
        <v>76</v>
      </c>
      <c r="F464" s="239">
        <f t="shared" ref="F464:K464" si="115">+F463+65</f>
        <v>81</v>
      </c>
      <c r="G464" s="239">
        <f t="shared" si="115"/>
        <v>84</v>
      </c>
      <c r="H464" s="239">
        <f t="shared" si="115"/>
        <v>85</v>
      </c>
      <c r="I464" s="239">
        <f t="shared" si="115"/>
        <v>85</v>
      </c>
      <c r="J464" s="239">
        <f t="shared" si="115"/>
        <v>83</v>
      </c>
      <c r="K464" s="239">
        <f t="shared" si="115"/>
        <v>80</v>
      </c>
      <c r="L464" s="239"/>
      <c r="M464" s="239"/>
      <c r="N464" s="239"/>
      <c r="O464" s="239"/>
      <c r="P464" s="313"/>
      <c r="Q464" s="346">
        <v>76</v>
      </c>
      <c r="R464" s="313"/>
      <c r="S464" s="313"/>
      <c r="T464" s="347">
        <v>77</v>
      </c>
    </row>
    <row r="466" spans="2:20">
      <c r="B466" s="68"/>
      <c r="C466" s="68"/>
      <c r="D466" s="68"/>
      <c r="E466" s="68" t="e">
        <f>+E460+65</f>
        <v>#DIV/0!</v>
      </c>
      <c r="F466" s="68" t="e">
        <f t="shared" ref="F466:K466" si="116">+F460+65</f>
        <v>#DIV/0!</v>
      </c>
      <c r="G466" s="68" t="e">
        <f t="shared" si="116"/>
        <v>#DIV/0!</v>
      </c>
      <c r="H466" s="68" t="e">
        <f t="shared" si="116"/>
        <v>#DIV/0!</v>
      </c>
      <c r="I466" s="68" t="e">
        <f t="shared" si="116"/>
        <v>#DIV/0!</v>
      </c>
      <c r="J466" s="68" t="e">
        <f t="shared" si="116"/>
        <v>#DIV/0!</v>
      </c>
      <c r="K466" s="68" t="e">
        <f t="shared" si="116"/>
        <v>#DIV/0!</v>
      </c>
      <c r="L466" s="68"/>
      <c r="M466" s="68"/>
      <c r="Q466" s="291" t="e">
        <f>+Q460+65</f>
        <v>#DIV/0!</v>
      </c>
      <c r="T466" s="291" t="e">
        <f>+T460+65</f>
        <v>#DIV/0!</v>
      </c>
    </row>
    <row r="467" spans="2:20">
      <c r="E467" s="68" t="e">
        <f>+E464-E466</f>
        <v>#DIV/0!</v>
      </c>
      <c r="F467" s="68" t="e">
        <f t="shared" ref="F467:K467" si="117">+F464-F466</f>
        <v>#DIV/0!</v>
      </c>
      <c r="G467" s="68" t="e">
        <f t="shared" si="117"/>
        <v>#DIV/0!</v>
      </c>
      <c r="H467" s="68" t="e">
        <f t="shared" si="117"/>
        <v>#DIV/0!</v>
      </c>
      <c r="I467" s="68" t="e">
        <f t="shared" si="117"/>
        <v>#DIV/0!</v>
      </c>
      <c r="J467" s="68" t="e">
        <f t="shared" si="117"/>
        <v>#DIV/0!</v>
      </c>
      <c r="K467" s="68" t="e">
        <f t="shared" si="117"/>
        <v>#DIV/0!</v>
      </c>
      <c r="Q467" s="291" t="e">
        <f>+Q464-Q466</f>
        <v>#DIV/0!</v>
      </c>
      <c r="T467" s="291" t="e">
        <f>+T464-T466</f>
        <v>#DIV/0!</v>
      </c>
    </row>
    <row r="469" spans="2:20">
      <c r="I469" s="68"/>
    </row>
  </sheetData>
  <sortState xmlns:xlrd2="http://schemas.microsoft.com/office/spreadsheetml/2017/richdata2" ref="AA198:AB247">
    <sortCondition ref="AB198:AB247"/>
  </sortState>
  <mergeCells count="1">
    <mergeCell ref="T5:U5"/>
  </mergeCells>
  <conditionalFormatting sqref="B230:M249">
    <cfRule type="expression" dxfId="11" priority="4">
      <formula>B155&gt;1100</formula>
    </cfRule>
    <cfRule type="cellIs" dxfId="10" priority="5" operator="lessThan">
      <formula>65</formula>
    </cfRule>
    <cfRule type="cellIs" dxfId="9" priority="6" operator="greaterThan">
      <formula>65</formula>
    </cfRule>
  </conditionalFormatting>
  <conditionalFormatting sqref="B275:M325">
    <cfRule type="expression" dxfId="8" priority="1">
      <formula>B123&gt;1000</formula>
    </cfRule>
    <cfRule type="cellIs" dxfId="7" priority="2" operator="greaterThan">
      <formula>65</formula>
    </cfRule>
    <cfRule type="cellIs" dxfId="6" priority="3" operator="lessThan">
      <formula>65</formula>
    </cfRule>
  </conditionalFormatting>
  <pageMargins left="0.25" right="0.25694444444444442" top="0.25" bottom="0.25" header="0" footer="0"/>
  <pageSetup scale="71" orientation="landscape" r:id="rId1"/>
  <headerFooter alignWithMargins="0"/>
  <customProperties>
    <customPr name="_pios_id" r:id="rId2"/>
    <customPr name="EpmWorksheetKeyString_GUID" r:id="rId3"/>
  </customPropertie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A469"/>
  <sheetViews>
    <sheetView showGridLines="0" topLeftCell="A15" zoomScale="70" zoomScaleNormal="70" workbookViewId="0">
      <selection activeCell="L57" sqref="L57"/>
    </sheetView>
  </sheetViews>
  <sheetFormatPr defaultColWidth="9.6640625" defaultRowHeight="15"/>
  <cols>
    <col min="1" max="1" width="8.33203125" style="1" customWidth="1"/>
    <col min="2" max="13" width="7.21875" style="1" customWidth="1"/>
    <col min="14" max="14" width="19.109375" style="1" customWidth="1"/>
    <col min="15" max="15" width="10.6640625" style="1" customWidth="1"/>
    <col min="16" max="17" width="8.109375" style="225" customWidth="1"/>
    <col min="18" max="19" width="9.44140625" style="225" customWidth="1"/>
    <col min="20" max="27" width="8.109375" style="225" customWidth="1"/>
    <col min="28" max="34" width="6.6640625" style="1" customWidth="1"/>
    <col min="35" max="35" width="7.6640625" style="1" customWidth="1"/>
    <col min="36" max="37" width="6.6640625" style="1" customWidth="1"/>
    <col min="38" max="38" width="7.109375" style="1" customWidth="1"/>
    <col min="39" max="39" width="5.5546875" style="1" bestFit="1" customWidth="1"/>
    <col min="40" max="40" width="5.6640625" style="1" customWidth="1"/>
    <col min="41" max="52" width="6.6640625" style="1" customWidth="1"/>
    <col min="53" max="16384" width="9.6640625" style="1"/>
  </cols>
  <sheetData>
    <row r="1" spans="1:53" ht="15.75" customHeight="1">
      <c r="A1" s="5" t="s">
        <v>59</v>
      </c>
      <c r="H1" s="21" t="s">
        <v>84</v>
      </c>
      <c r="K1" s="22" t="s">
        <v>87</v>
      </c>
    </row>
    <row r="2" spans="1:53" ht="15.75" customHeight="1">
      <c r="A2" s="310"/>
      <c r="H2" s="22" t="s">
        <v>85</v>
      </c>
      <c r="R2" s="225" t="s">
        <v>94</v>
      </c>
    </row>
    <row r="3" spans="1:53" ht="15.75" customHeight="1">
      <c r="A3" s="310"/>
      <c r="H3" s="22"/>
    </row>
    <row r="4" spans="1:53" ht="15.75" customHeight="1">
      <c r="B4" s="5" t="s">
        <v>72</v>
      </c>
      <c r="AA4" s="90" t="s">
        <v>100</v>
      </c>
      <c r="AO4" s="5" t="s">
        <v>101</v>
      </c>
    </row>
    <row r="5" spans="1:53" ht="15.75" customHeight="1">
      <c r="B5" s="5"/>
      <c r="Q5" s="311"/>
      <c r="R5" s="307" t="s">
        <v>48</v>
      </c>
      <c r="S5" s="307" t="s">
        <v>50</v>
      </c>
      <c r="T5" s="451" t="s">
        <v>289</v>
      </c>
      <c r="U5" s="452"/>
      <c r="AA5" s="90"/>
      <c r="AO5" s="5"/>
    </row>
    <row r="6" spans="1:53">
      <c r="A6" s="165"/>
      <c r="B6" s="165" t="s">
        <v>4</v>
      </c>
      <c r="C6" s="165" t="s">
        <v>8</v>
      </c>
      <c r="D6" s="165" t="s">
        <v>9</v>
      </c>
      <c r="E6" s="165" t="s">
        <v>10</v>
      </c>
      <c r="F6" s="165" t="s">
        <v>11</v>
      </c>
      <c r="G6" s="165" t="s">
        <v>12</v>
      </c>
      <c r="H6" s="165" t="s">
        <v>13</v>
      </c>
      <c r="I6" s="165" t="s">
        <v>15</v>
      </c>
      <c r="J6" s="165" t="s">
        <v>16</v>
      </c>
      <c r="K6" s="165" t="s">
        <v>17</v>
      </c>
      <c r="L6" s="165" t="s">
        <v>18</v>
      </c>
      <c r="M6" s="165" t="s">
        <v>19</v>
      </c>
      <c r="N6" s="165"/>
      <c r="O6" s="165"/>
      <c r="Q6" s="312"/>
      <c r="R6" s="313" t="s">
        <v>49</v>
      </c>
      <c r="S6" s="313" t="s">
        <v>49</v>
      </c>
      <c r="T6" s="314" t="s">
        <v>96</v>
      </c>
      <c r="U6" s="315" t="s">
        <v>51</v>
      </c>
      <c r="AA6" s="225" t="s">
        <v>4</v>
      </c>
      <c r="AB6" s="165" t="s">
        <v>8</v>
      </c>
      <c r="AC6" s="165" t="s">
        <v>9</v>
      </c>
      <c r="AD6" s="316" t="s">
        <v>10</v>
      </c>
      <c r="AE6" s="165" t="s">
        <v>11</v>
      </c>
      <c r="AF6" s="165" t="s">
        <v>12</v>
      </c>
      <c r="AG6" s="165" t="s">
        <v>13</v>
      </c>
      <c r="AH6" s="165" t="s">
        <v>15</v>
      </c>
      <c r="AI6" s="165" t="s">
        <v>16</v>
      </c>
      <c r="AJ6" s="165" t="s">
        <v>17</v>
      </c>
      <c r="AK6" s="165" t="s">
        <v>18</v>
      </c>
      <c r="AL6" s="165" t="s">
        <v>19</v>
      </c>
      <c r="AM6" s="165"/>
      <c r="AN6" s="165"/>
      <c r="AO6" s="165" t="s">
        <v>4</v>
      </c>
      <c r="AP6" s="165" t="s">
        <v>8</v>
      </c>
      <c r="AQ6" s="165" t="s">
        <v>9</v>
      </c>
      <c r="AR6" s="165" t="s">
        <v>10</v>
      </c>
      <c r="AS6" s="165" t="s">
        <v>11</v>
      </c>
      <c r="AT6" s="165" t="s">
        <v>12</v>
      </c>
      <c r="AU6" s="165" t="s">
        <v>13</v>
      </c>
      <c r="AV6" s="165" t="s">
        <v>15</v>
      </c>
      <c r="AW6" s="165" t="s">
        <v>16</v>
      </c>
      <c r="AX6" s="165" t="s">
        <v>17</v>
      </c>
      <c r="AY6" s="165" t="s">
        <v>18</v>
      </c>
      <c r="AZ6" s="165" t="s">
        <v>19</v>
      </c>
      <c r="BA6" s="165"/>
    </row>
    <row r="7" spans="1:53" ht="15.75">
      <c r="A7" s="225">
        <f>'Instant Old no Delete'!A7</f>
        <v>1973</v>
      </c>
      <c r="B7" s="30">
        <v>1242</v>
      </c>
      <c r="C7" s="24">
        <v>1300</v>
      </c>
      <c r="D7" s="31">
        <v>1151</v>
      </c>
      <c r="E7" s="31">
        <v>1098</v>
      </c>
      <c r="F7" s="31">
        <v>1371</v>
      </c>
      <c r="G7" s="31">
        <v>1387</v>
      </c>
      <c r="H7" s="31">
        <v>1373</v>
      </c>
      <c r="I7" s="31">
        <v>1434</v>
      </c>
      <c r="J7" s="23">
        <v>1441</v>
      </c>
      <c r="K7" s="31">
        <v>1373</v>
      </c>
      <c r="L7" s="31">
        <v>1237</v>
      </c>
      <c r="M7" s="24">
        <v>1366</v>
      </c>
      <c r="Q7" s="288" t="s">
        <v>20</v>
      </c>
      <c r="R7" s="257"/>
      <c r="S7" s="257">
        <f t="shared" ref="S7:S38" si="0">MAX(E7:K7)</f>
        <v>1441</v>
      </c>
      <c r="T7" s="317"/>
      <c r="U7" s="318">
        <f t="shared" ref="U7:U38" si="1">MAX(B7:D7)</f>
        <v>1300</v>
      </c>
      <c r="Z7" s="225">
        <f t="shared" ref="Z7:Z48" si="2">A7</f>
        <v>1973</v>
      </c>
      <c r="AA7" s="319"/>
      <c r="AB7" s="31"/>
      <c r="AC7" s="31"/>
      <c r="AD7" s="30"/>
      <c r="AE7" s="31"/>
      <c r="AF7" s="31"/>
      <c r="AG7" s="31"/>
      <c r="AH7" s="31"/>
      <c r="AI7" s="31"/>
      <c r="AJ7" s="31"/>
      <c r="AK7" s="31"/>
      <c r="AL7" s="368"/>
      <c r="AN7" s="1">
        <f t="shared" ref="AN7:AN33" si="3">Z7</f>
        <v>1973</v>
      </c>
      <c r="AO7" s="30"/>
      <c r="AP7" s="31"/>
      <c r="AQ7" s="15"/>
      <c r="AR7" s="31"/>
      <c r="AS7" s="31"/>
      <c r="AT7" s="31"/>
      <c r="AU7" s="31"/>
      <c r="AV7" s="31"/>
      <c r="AW7" s="31"/>
      <c r="AX7" s="31"/>
      <c r="AY7" s="31"/>
      <c r="AZ7" s="31"/>
    </row>
    <row r="8" spans="1:53" ht="15.75">
      <c r="A8" s="225">
        <f>'Instant Old no Delete'!A8</f>
        <v>1974</v>
      </c>
      <c r="B8" s="20">
        <v>1158</v>
      </c>
      <c r="C8" s="1">
        <v>1325</v>
      </c>
      <c r="D8" s="1">
        <v>1243</v>
      </c>
      <c r="E8" s="1">
        <v>1334</v>
      </c>
      <c r="F8" s="1">
        <v>1394</v>
      </c>
      <c r="G8" s="1">
        <v>1486</v>
      </c>
      <c r="H8" s="1">
        <v>1411</v>
      </c>
      <c r="I8" s="1">
        <v>1458</v>
      </c>
      <c r="J8" s="22">
        <v>1527</v>
      </c>
      <c r="K8" s="1">
        <v>1299</v>
      </c>
      <c r="L8" s="1">
        <v>1245</v>
      </c>
      <c r="M8" s="1">
        <v>1429</v>
      </c>
      <c r="Q8" s="288" t="s">
        <v>21</v>
      </c>
      <c r="R8" s="257">
        <f t="shared" ref="R8:R36" si="4">MAX(T8:U8)</f>
        <v>1366</v>
      </c>
      <c r="S8" s="257">
        <f t="shared" si="0"/>
        <v>1527</v>
      </c>
      <c r="T8" s="317">
        <f t="shared" ref="T8:T39" si="5">MAX(L7:M7)</f>
        <v>1366</v>
      </c>
      <c r="U8" s="318">
        <f t="shared" si="1"/>
        <v>1325</v>
      </c>
      <c r="Z8" s="225">
        <f t="shared" si="2"/>
        <v>1974</v>
      </c>
      <c r="AA8" s="320" t="str">
        <f t="shared" ref="AA8:AA53" si="6">IF(B124&lt;1000,(B8/$R8)," ")</f>
        <v xml:space="preserve"> </v>
      </c>
      <c r="AB8" s="321">
        <f t="shared" ref="AB8:AB53" si="7">IF(C124&lt;1000,(C8/$R8)," ")</f>
        <v>0.96998535871156666</v>
      </c>
      <c r="AC8" s="321">
        <f t="shared" ref="AC8:AC52" si="8">IF(D124&gt;1200,(D8/$S8)," ")</f>
        <v>0.81401440733464314</v>
      </c>
      <c r="AD8" s="321">
        <f t="shared" ref="AD8:AD52" si="9">IF(E124&gt;1200,(E8/$S8)," ")</f>
        <v>0.87360838244924688</v>
      </c>
      <c r="AE8" s="321">
        <f t="shared" ref="AE8:AE52" si="10">IF(F124&gt;1200,(F8/$S8)," ")</f>
        <v>0.91290111329404056</v>
      </c>
      <c r="AF8" s="321">
        <f t="shared" ref="AF8:AF52" si="11">IF(G124&gt;1200,(G8/$S8)," ")</f>
        <v>0.97314996725605762</v>
      </c>
      <c r="AG8" s="321">
        <f t="shared" ref="AG8:AG52" si="12">IF(H124&gt;1200,(H8/$S8)," ")</f>
        <v>0.92403405370006553</v>
      </c>
      <c r="AH8" s="321">
        <f t="shared" ref="AH8:AH52" si="13">IF(I124&gt;1200,(I8/$S8)," ")</f>
        <v>0.95481335952848723</v>
      </c>
      <c r="AI8" s="321">
        <f t="shared" ref="AI8:AI52" si="14">IF(J124&gt;1200,(J8/$S8)," ")</f>
        <v>1</v>
      </c>
      <c r="AJ8" s="321">
        <f t="shared" ref="AJ8:AJ52" si="15">IF(K124&gt;1200,(K8/$S8)," ")</f>
        <v>0.85068762278978394</v>
      </c>
      <c r="AK8" s="321" t="str">
        <f t="shared" ref="AK8:AK34" si="16">IF(L124&lt;1000,(L8/$R8)," ")</f>
        <v xml:space="preserve"> </v>
      </c>
      <c r="AL8" s="369">
        <f t="shared" ref="AL8:AL52" si="17">IF(M124&lt;1000,(M8/$R9)," ")</f>
        <v>0.98010973936899859</v>
      </c>
      <c r="AN8" s="1">
        <f t="shared" si="3"/>
        <v>1974</v>
      </c>
      <c r="AO8" s="20">
        <f t="shared" ref="AO8:AO39" si="18">B8-B7</f>
        <v>-84</v>
      </c>
      <c r="AP8" s="1">
        <f t="shared" ref="AP8:AP39" si="19">C8-C7</f>
        <v>25</v>
      </c>
      <c r="AQ8" s="1">
        <f t="shared" ref="AQ8:AQ39" si="20">D8-D7</f>
        <v>92</v>
      </c>
      <c r="AR8" s="1">
        <f t="shared" ref="AR8:AR39" si="21">E8-E7</f>
        <v>236</v>
      </c>
      <c r="AS8" s="1">
        <f t="shared" ref="AS8:AS39" si="22">F8-F7</f>
        <v>23</v>
      </c>
      <c r="AT8" s="1">
        <f t="shared" ref="AT8:AT39" si="23">G8-G7</f>
        <v>99</v>
      </c>
      <c r="AU8" s="1">
        <f t="shared" ref="AU8:AU39" si="24">H8-H7</f>
        <v>38</v>
      </c>
      <c r="AV8" s="1">
        <f t="shared" ref="AV8:AV39" si="25">I8-I7</f>
        <v>24</v>
      </c>
      <c r="AW8" s="1">
        <f t="shared" ref="AW8:AW39" si="26">J8-J7</f>
        <v>86</v>
      </c>
      <c r="AX8" s="1">
        <f t="shared" ref="AX8:AX39" si="27">K8-K7</f>
        <v>-74</v>
      </c>
      <c r="AY8" s="1">
        <f t="shared" ref="AY8:AY39" si="28">L8-L7</f>
        <v>8</v>
      </c>
      <c r="AZ8" s="1">
        <f t="shared" ref="AZ8:AZ39" si="29">M8-M7</f>
        <v>63</v>
      </c>
    </row>
    <row r="9" spans="1:53" ht="15.75">
      <c r="A9" s="225">
        <f>'Instant Old no Delete'!A9</f>
        <v>1975</v>
      </c>
      <c r="B9" s="27">
        <v>1458</v>
      </c>
      <c r="C9" s="1">
        <v>1261</v>
      </c>
      <c r="D9" s="1">
        <v>1365</v>
      </c>
      <c r="E9" s="1">
        <v>1463</v>
      </c>
      <c r="F9" s="1">
        <v>1506</v>
      </c>
      <c r="G9" s="22">
        <v>1565</v>
      </c>
      <c r="H9" s="1">
        <v>1508</v>
      </c>
      <c r="I9" s="1">
        <v>1525</v>
      </c>
      <c r="J9" s="1">
        <v>1463</v>
      </c>
      <c r="K9" s="1">
        <v>1435</v>
      </c>
      <c r="L9" s="1">
        <v>1387</v>
      </c>
      <c r="M9" s="1">
        <v>1564</v>
      </c>
      <c r="Q9" s="288" t="s">
        <v>22</v>
      </c>
      <c r="R9" s="257">
        <f t="shared" si="4"/>
        <v>1458</v>
      </c>
      <c r="S9" s="257">
        <f t="shared" si="0"/>
        <v>1565</v>
      </c>
      <c r="T9" s="317">
        <f t="shared" si="5"/>
        <v>1429</v>
      </c>
      <c r="U9" s="318">
        <f t="shared" si="1"/>
        <v>1458</v>
      </c>
      <c r="Z9" s="225">
        <f t="shared" si="2"/>
        <v>1975</v>
      </c>
      <c r="AA9" s="320">
        <f t="shared" si="6"/>
        <v>1</v>
      </c>
      <c r="AB9" s="321">
        <f t="shared" si="7"/>
        <v>0.864883401920439</v>
      </c>
      <c r="AC9" s="321" t="str">
        <f t="shared" si="8"/>
        <v xml:space="preserve"> </v>
      </c>
      <c r="AD9" s="321">
        <f t="shared" si="9"/>
        <v>0.9348242811501597</v>
      </c>
      <c r="AE9" s="321">
        <f t="shared" si="10"/>
        <v>0.96230031948881789</v>
      </c>
      <c r="AF9" s="321">
        <f t="shared" si="11"/>
        <v>1</v>
      </c>
      <c r="AG9" s="321">
        <f t="shared" si="12"/>
        <v>0.96357827476038338</v>
      </c>
      <c r="AH9" s="321">
        <f t="shared" si="13"/>
        <v>0.9744408945686901</v>
      </c>
      <c r="AI9" s="321">
        <f t="shared" si="14"/>
        <v>0.9348242811501597</v>
      </c>
      <c r="AJ9" s="321">
        <f t="shared" si="15"/>
        <v>0.91693290734824284</v>
      </c>
      <c r="AK9" s="321">
        <f t="shared" si="16"/>
        <v>0.95130315500685869</v>
      </c>
      <c r="AL9" s="369" t="str">
        <f t="shared" si="17"/>
        <v xml:space="preserve"> </v>
      </c>
      <c r="AN9" s="1">
        <f t="shared" si="3"/>
        <v>1975</v>
      </c>
      <c r="AO9" s="20">
        <f t="shared" si="18"/>
        <v>300</v>
      </c>
      <c r="AP9" s="1">
        <f t="shared" si="19"/>
        <v>-64</v>
      </c>
      <c r="AQ9" s="1">
        <f t="shared" si="20"/>
        <v>122</v>
      </c>
      <c r="AR9" s="1">
        <f t="shared" si="21"/>
        <v>129</v>
      </c>
      <c r="AS9" s="1">
        <f t="shared" si="22"/>
        <v>112</v>
      </c>
      <c r="AT9" s="1">
        <f t="shared" si="23"/>
        <v>79</v>
      </c>
      <c r="AU9" s="1">
        <f t="shared" si="24"/>
        <v>97</v>
      </c>
      <c r="AV9" s="1">
        <f t="shared" si="25"/>
        <v>67</v>
      </c>
      <c r="AW9" s="1">
        <f t="shared" si="26"/>
        <v>-64</v>
      </c>
      <c r="AX9" s="1">
        <f t="shared" si="27"/>
        <v>136</v>
      </c>
      <c r="AY9" s="1">
        <f t="shared" si="28"/>
        <v>142</v>
      </c>
      <c r="AZ9" s="1">
        <f t="shared" si="29"/>
        <v>135</v>
      </c>
    </row>
    <row r="10" spans="1:53" ht="15.75">
      <c r="A10" s="225">
        <f>'Instant Old no Delete'!A10</f>
        <v>1976</v>
      </c>
      <c r="B10" s="27">
        <v>1693</v>
      </c>
      <c r="C10" s="1">
        <v>1473</v>
      </c>
      <c r="D10" s="1">
        <v>1296</v>
      </c>
      <c r="E10" s="1">
        <v>1283</v>
      </c>
      <c r="F10" s="1">
        <v>1365</v>
      </c>
      <c r="G10" s="1">
        <v>1452</v>
      </c>
      <c r="H10" s="1">
        <v>1553</v>
      </c>
      <c r="I10" s="1">
        <v>1551</v>
      </c>
      <c r="J10" s="22">
        <v>1568</v>
      </c>
      <c r="K10" s="1">
        <v>1506</v>
      </c>
      <c r="L10" s="1">
        <v>1660</v>
      </c>
      <c r="M10" s="1">
        <v>1657</v>
      </c>
      <c r="Q10" s="288" t="s">
        <v>23</v>
      </c>
      <c r="R10" s="257">
        <f t="shared" si="4"/>
        <v>1693</v>
      </c>
      <c r="S10" s="257">
        <f t="shared" si="0"/>
        <v>1568</v>
      </c>
      <c r="T10" s="317">
        <f t="shared" si="5"/>
        <v>1564</v>
      </c>
      <c r="U10" s="318">
        <f t="shared" si="1"/>
        <v>1693</v>
      </c>
      <c r="Z10" s="225">
        <f t="shared" si="2"/>
        <v>1976</v>
      </c>
      <c r="AA10" s="320">
        <f t="shared" si="6"/>
        <v>1</v>
      </c>
      <c r="AB10" s="321">
        <f t="shared" si="7"/>
        <v>0.87005316007088007</v>
      </c>
      <c r="AC10" s="321">
        <f t="shared" si="8"/>
        <v>0.82653061224489799</v>
      </c>
      <c r="AD10" s="321">
        <f t="shared" si="9"/>
        <v>0.81823979591836737</v>
      </c>
      <c r="AE10" s="321">
        <f t="shared" si="10"/>
        <v>0.8705357142857143</v>
      </c>
      <c r="AF10" s="321">
        <f t="shared" si="11"/>
        <v>0.92602040816326525</v>
      </c>
      <c r="AG10" s="321">
        <f t="shared" si="12"/>
        <v>0.99043367346938771</v>
      </c>
      <c r="AH10" s="321">
        <f t="shared" si="13"/>
        <v>0.98915816326530615</v>
      </c>
      <c r="AI10" s="321">
        <f t="shared" si="14"/>
        <v>1</v>
      </c>
      <c r="AJ10" s="321">
        <f t="shared" si="15"/>
        <v>0.96045918367346939</v>
      </c>
      <c r="AK10" s="321" t="str">
        <f t="shared" si="16"/>
        <v xml:space="preserve"> </v>
      </c>
      <c r="AL10" s="369">
        <f t="shared" si="17"/>
        <v>0.92881165919282516</v>
      </c>
      <c r="AN10" s="1">
        <f t="shared" si="3"/>
        <v>1976</v>
      </c>
      <c r="AO10" s="20">
        <f t="shared" si="18"/>
        <v>235</v>
      </c>
      <c r="AP10" s="1">
        <f t="shared" si="19"/>
        <v>212</v>
      </c>
      <c r="AQ10" s="1">
        <f t="shared" si="20"/>
        <v>-69</v>
      </c>
      <c r="AR10" s="1">
        <f t="shared" si="21"/>
        <v>-180</v>
      </c>
      <c r="AS10" s="1">
        <f t="shared" si="22"/>
        <v>-141</v>
      </c>
      <c r="AT10" s="1">
        <f t="shared" si="23"/>
        <v>-113</v>
      </c>
      <c r="AU10" s="1">
        <f t="shared" si="24"/>
        <v>45</v>
      </c>
      <c r="AV10" s="1">
        <f t="shared" si="25"/>
        <v>26</v>
      </c>
      <c r="AW10" s="1">
        <f t="shared" si="26"/>
        <v>105</v>
      </c>
      <c r="AX10" s="1">
        <f t="shared" si="27"/>
        <v>71</v>
      </c>
      <c r="AY10" s="1">
        <f t="shared" si="28"/>
        <v>273</v>
      </c>
      <c r="AZ10" s="1">
        <f t="shared" si="29"/>
        <v>93</v>
      </c>
    </row>
    <row r="11" spans="1:53" ht="15.75">
      <c r="A11" s="225">
        <f>'Instant Old no Delete'!A11</f>
        <v>1977</v>
      </c>
      <c r="B11" s="27">
        <v>1784</v>
      </c>
      <c r="C11" s="1">
        <v>1720</v>
      </c>
      <c r="D11" s="1">
        <v>1412</v>
      </c>
      <c r="E11" s="1">
        <v>1372</v>
      </c>
      <c r="F11" s="1">
        <v>1439</v>
      </c>
      <c r="G11" s="22">
        <v>1720</v>
      </c>
      <c r="H11" s="1">
        <v>1649</v>
      </c>
      <c r="I11" s="1">
        <v>1606</v>
      </c>
      <c r="J11" s="1">
        <v>1686</v>
      </c>
      <c r="K11" s="1">
        <v>1541</v>
      </c>
      <c r="L11" s="1">
        <v>1378</v>
      </c>
      <c r="M11" s="1">
        <v>1685</v>
      </c>
      <c r="Q11" s="288" t="s">
        <v>24</v>
      </c>
      <c r="R11" s="257">
        <f t="shared" si="4"/>
        <v>1784</v>
      </c>
      <c r="S11" s="257">
        <f t="shared" si="0"/>
        <v>1720</v>
      </c>
      <c r="T11" s="317">
        <f t="shared" si="5"/>
        <v>1660</v>
      </c>
      <c r="U11" s="318">
        <f t="shared" si="1"/>
        <v>1784</v>
      </c>
      <c r="Z11" s="225">
        <f t="shared" si="2"/>
        <v>1977</v>
      </c>
      <c r="AA11" s="320">
        <f t="shared" si="6"/>
        <v>1</v>
      </c>
      <c r="AB11" s="321">
        <f t="shared" si="7"/>
        <v>0.9641255605381166</v>
      </c>
      <c r="AC11" s="321">
        <f t="shared" si="8"/>
        <v>0.82093023255813957</v>
      </c>
      <c r="AD11" s="321">
        <f t="shared" si="9"/>
        <v>0.79767441860465116</v>
      </c>
      <c r="AE11" s="321">
        <f t="shared" si="10"/>
        <v>0.83662790697674416</v>
      </c>
      <c r="AF11" s="321">
        <f t="shared" si="11"/>
        <v>1</v>
      </c>
      <c r="AG11" s="321">
        <f t="shared" si="12"/>
        <v>0.95872093023255811</v>
      </c>
      <c r="AH11" s="321">
        <f t="shared" si="13"/>
        <v>0.93372093023255809</v>
      </c>
      <c r="AI11" s="321">
        <f t="shared" si="14"/>
        <v>0.98023255813953492</v>
      </c>
      <c r="AJ11" s="321">
        <f t="shared" si="15"/>
        <v>0.89593023255813953</v>
      </c>
      <c r="AK11" s="321" t="str">
        <f t="shared" si="16"/>
        <v xml:space="preserve"> </v>
      </c>
      <c r="AL11" s="369">
        <f t="shared" si="17"/>
        <v>0.89106292966684297</v>
      </c>
      <c r="AN11" s="1">
        <f t="shared" si="3"/>
        <v>1977</v>
      </c>
      <c r="AO11" s="20">
        <f t="shared" si="18"/>
        <v>91</v>
      </c>
      <c r="AP11" s="1">
        <f t="shared" si="19"/>
        <v>247</v>
      </c>
      <c r="AQ11" s="1">
        <f t="shared" si="20"/>
        <v>116</v>
      </c>
      <c r="AR11" s="1">
        <f t="shared" si="21"/>
        <v>89</v>
      </c>
      <c r="AS11" s="1">
        <f t="shared" si="22"/>
        <v>74</v>
      </c>
      <c r="AT11" s="1">
        <f t="shared" si="23"/>
        <v>268</v>
      </c>
      <c r="AU11" s="1">
        <f t="shared" si="24"/>
        <v>96</v>
      </c>
      <c r="AV11" s="1">
        <f t="shared" si="25"/>
        <v>55</v>
      </c>
      <c r="AW11" s="1">
        <f t="shared" si="26"/>
        <v>118</v>
      </c>
      <c r="AX11" s="1">
        <f t="shared" si="27"/>
        <v>35</v>
      </c>
      <c r="AY11" s="1">
        <f t="shared" si="28"/>
        <v>-282</v>
      </c>
      <c r="AZ11" s="1">
        <f t="shared" si="29"/>
        <v>28</v>
      </c>
    </row>
    <row r="12" spans="1:53" ht="15.75">
      <c r="A12" s="225">
        <f>'Instant Old no Delete'!A12</f>
        <v>1978</v>
      </c>
      <c r="B12" s="20">
        <v>1861</v>
      </c>
      <c r="C12" s="21">
        <v>1891</v>
      </c>
      <c r="D12" s="1">
        <v>1570</v>
      </c>
      <c r="E12" s="1">
        <v>1449</v>
      </c>
      <c r="F12" s="1">
        <v>1736</v>
      </c>
      <c r="G12" s="22">
        <v>1780</v>
      </c>
      <c r="H12" s="1">
        <v>1721</v>
      </c>
      <c r="I12" s="1">
        <v>1763</v>
      </c>
      <c r="J12" s="1">
        <v>1719</v>
      </c>
      <c r="K12" s="1">
        <v>1590</v>
      </c>
      <c r="L12" s="1">
        <v>1484</v>
      </c>
      <c r="M12" s="1">
        <v>1627</v>
      </c>
      <c r="Q12" s="288" t="s">
        <v>25</v>
      </c>
      <c r="R12" s="257">
        <f t="shared" si="4"/>
        <v>1891</v>
      </c>
      <c r="S12" s="257">
        <f t="shared" si="0"/>
        <v>1780</v>
      </c>
      <c r="T12" s="317">
        <f t="shared" si="5"/>
        <v>1685</v>
      </c>
      <c r="U12" s="318">
        <f t="shared" si="1"/>
        <v>1891</v>
      </c>
      <c r="Z12" s="225">
        <f t="shared" si="2"/>
        <v>1978</v>
      </c>
      <c r="AA12" s="320">
        <f t="shared" si="6"/>
        <v>0.98413537810682183</v>
      </c>
      <c r="AB12" s="321">
        <f t="shared" si="7"/>
        <v>1</v>
      </c>
      <c r="AC12" s="321" t="str">
        <f t="shared" si="8"/>
        <v xml:space="preserve"> </v>
      </c>
      <c r="AD12" s="321">
        <f t="shared" si="9"/>
        <v>0.81404494382022474</v>
      </c>
      <c r="AE12" s="321">
        <f t="shared" si="10"/>
        <v>0.97528089887640446</v>
      </c>
      <c r="AF12" s="321">
        <f t="shared" si="11"/>
        <v>1</v>
      </c>
      <c r="AG12" s="321">
        <f t="shared" si="12"/>
        <v>0.96685393258426966</v>
      </c>
      <c r="AH12" s="321">
        <f t="shared" si="13"/>
        <v>0.99044943820224718</v>
      </c>
      <c r="AI12" s="321">
        <f t="shared" si="14"/>
        <v>0.96573033707865163</v>
      </c>
      <c r="AJ12" s="321">
        <f t="shared" si="15"/>
        <v>0.8932584269662921</v>
      </c>
      <c r="AK12" s="321" t="str">
        <f t="shared" si="16"/>
        <v xml:space="preserve"> </v>
      </c>
      <c r="AL12" s="369" t="str">
        <f t="shared" si="17"/>
        <v xml:space="preserve"> </v>
      </c>
      <c r="AN12" s="1">
        <f t="shared" si="3"/>
        <v>1978</v>
      </c>
      <c r="AO12" s="20">
        <f t="shared" si="18"/>
        <v>77</v>
      </c>
      <c r="AP12" s="1">
        <f t="shared" si="19"/>
        <v>171</v>
      </c>
      <c r="AQ12" s="1">
        <f t="shared" si="20"/>
        <v>158</v>
      </c>
      <c r="AR12" s="1">
        <f t="shared" si="21"/>
        <v>77</v>
      </c>
      <c r="AS12" s="1">
        <f t="shared" si="22"/>
        <v>297</v>
      </c>
      <c r="AT12" s="1">
        <f t="shared" si="23"/>
        <v>60</v>
      </c>
      <c r="AU12" s="1">
        <f t="shared" si="24"/>
        <v>72</v>
      </c>
      <c r="AV12" s="1">
        <f t="shared" si="25"/>
        <v>157</v>
      </c>
      <c r="AW12" s="1">
        <f t="shared" si="26"/>
        <v>33</v>
      </c>
      <c r="AX12" s="1">
        <f t="shared" si="27"/>
        <v>49</v>
      </c>
      <c r="AY12" s="1">
        <f t="shared" si="28"/>
        <v>106</v>
      </c>
      <c r="AZ12" s="1">
        <f t="shared" si="29"/>
        <v>-58</v>
      </c>
    </row>
    <row r="13" spans="1:53" ht="15.75">
      <c r="A13" s="225">
        <f>'Instant Old no Delete'!A13</f>
        <v>1979</v>
      </c>
      <c r="B13" s="27">
        <v>1988</v>
      </c>
      <c r="C13" s="1">
        <v>1860</v>
      </c>
      <c r="D13" s="1">
        <v>1512</v>
      </c>
      <c r="E13" s="1">
        <v>1579</v>
      </c>
      <c r="F13" s="1">
        <v>1619</v>
      </c>
      <c r="G13" s="1">
        <v>1768</v>
      </c>
      <c r="H13" s="22">
        <v>1805</v>
      </c>
      <c r="I13" s="1">
        <v>1791</v>
      </c>
      <c r="J13" s="1">
        <v>1801</v>
      </c>
      <c r="K13" s="1">
        <v>1707</v>
      </c>
      <c r="L13" s="1">
        <v>1710</v>
      </c>
      <c r="M13" s="1">
        <v>1628</v>
      </c>
      <c r="Q13" s="288" t="s">
        <v>26</v>
      </c>
      <c r="R13" s="257">
        <f t="shared" si="4"/>
        <v>1988</v>
      </c>
      <c r="S13" s="257">
        <f t="shared" si="0"/>
        <v>1805</v>
      </c>
      <c r="T13" s="317">
        <f t="shared" si="5"/>
        <v>1627</v>
      </c>
      <c r="U13" s="318">
        <f t="shared" si="1"/>
        <v>1988</v>
      </c>
      <c r="Z13" s="225">
        <f t="shared" si="2"/>
        <v>1979</v>
      </c>
      <c r="AA13" s="320">
        <f t="shared" si="6"/>
        <v>1</v>
      </c>
      <c r="AB13" s="321">
        <f t="shared" si="7"/>
        <v>0.93561368209255535</v>
      </c>
      <c r="AC13" s="321" t="str">
        <f t="shared" si="8"/>
        <v xml:space="preserve"> </v>
      </c>
      <c r="AD13" s="321">
        <f t="shared" si="9"/>
        <v>0.87479224376731302</v>
      </c>
      <c r="AE13" s="321">
        <f t="shared" si="10"/>
        <v>0.89695290858725762</v>
      </c>
      <c r="AF13" s="321">
        <f t="shared" si="11"/>
        <v>0.97950138504155126</v>
      </c>
      <c r="AG13" s="321">
        <f t="shared" si="12"/>
        <v>1</v>
      </c>
      <c r="AH13" s="321">
        <f t="shared" si="13"/>
        <v>0.99224376731301944</v>
      </c>
      <c r="AI13" s="321">
        <f t="shared" si="14"/>
        <v>0.99778393351800554</v>
      </c>
      <c r="AJ13" s="321">
        <f t="shared" si="15"/>
        <v>0.94570637119113576</v>
      </c>
      <c r="AK13" s="321" t="str">
        <f t="shared" si="16"/>
        <v xml:space="preserve"> </v>
      </c>
      <c r="AL13" s="369">
        <f t="shared" si="17"/>
        <v>0.83572895277207393</v>
      </c>
      <c r="AN13" s="1">
        <f t="shared" si="3"/>
        <v>1979</v>
      </c>
      <c r="AO13" s="20">
        <f t="shared" si="18"/>
        <v>127</v>
      </c>
      <c r="AP13" s="1">
        <f t="shared" si="19"/>
        <v>-31</v>
      </c>
      <c r="AQ13" s="1">
        <f t="shared" si="20"/>
        <v>-58</v>
      </c>
      <c r="AR13" s="1">
        <f t="shared" si="21"/>
        <v>130</v>
      </c>
      <c r="AS13" s="1">
        <f t="shared" si="22"/>
        <v>-117</v>
      </c>
      <c r="AT13" s="1">
        <f t="shared" si="23"/>
        <v>-12</v>
      </c>
      <c r="AU13" s="1">
        <f t="shared" si="24"/>
        <v>84</v>
      </c>
      <c r="AV13" s="1">
        <f t="shared" si="25"/>
        <v>28</v>
      </c>
      <c r="AW13" s="1">
        <f t="shared" si="26"/>
        <v>82</v>
      </c>
      <c r="AX13" s="1">
        <f t="shared" si="27"/>
        <v>117</v>
      </c>
      <c r="AY13" s="1">
        <f t="shared" si="28"/>
        <v>226</v>
      </c>
      <c r="AZ13" s="1">
        <f t="shared" si="29"/>
        <v>1</v>
      </c>
    </row>
    <row r="14" spans="1:53" ht="15.75">
      <c r="A14" s="225">
        <f>'Instant Old no Delete'!A14</f>
        <v>1980</v>
      </c>
      <c r="B14" s="20">
        <v>1899</v>
      </c>
      <c r="C14" s="1">
        <v>1938</v>
      </c>
      <c r="D14" s="21">
        <v>1948</v>
      </c>
      <c r="E14" s="1">
        <v>1510</v>
      </c>
      <c r="F14" s="1">
        <v>1766</v>
      </c>
      <c r="G14" s="1">
        <v>1814</v>
      </c>
      <c r="H14" s="1">
        <v>1906</v>
      </c>
      <c r="I14" s="22">
        <v>1932</v>
      </c>
      <c r="J14" s="1">
        <v>1848</v>
      </c>
      <c r="K14" s="1">
        <v>1633</v>
      </c>
      <c r="L14" s="1">
        <v>1505</v>
      </c>
      <c r="M14" s="1">
        <v>1818</v>
      </c>
      <c r="Q14" s="288" t="s">
        <v>27</v>
      </c>
      <c r="R14" s="257">
        <f t="shared" si="4"/>
        <v>1948</v>
      </c>
      <c r="S14" s="257">
        <f t="shared" si="0"/>
        <v>1932</v>
      </c>
      <c r="T14" s="317">
        <f t="shared" si="5"/>
        <v>1710</v>
      </c>
      <c r="U14" s="318">
        <f t="shared" si="1"/>
        <v>1948</v>
      </c>
      <c r="Z14" s="225">
        <f t="shared" si="2"/>
        <v>1980</v>
      </c>
      <c r="AA14" s="320">
        <f t="shared" si="6"/>
        <v>0.97484599589322385</v>
      </c>
      <c r="AB14" s="321" t="str">
        <f t="shared" si="7"/>
        <v xml:space="preserve"> </v>
      </c>
      <c r="AC14" s="321">
        <f t="shared" si="8"/>
        <v>1.0082815734989647</v>
      </c>
      <c r="AD14" s="321">
        <f t="shared" si="9"/>
        <v>0.78157349896480333</v>
      </c>
      <c r="AE14" s="321">
        <f t="shared" si="10"/>
        <v>0.91407867494824013</v>
      </c>
      <c r="AF14" s="321">
        <f t="shared" si="11"/>
        <v>0.93892339544513459</v>
      </c>
      <c r="AG14" s="321">
        <f t="shared" si="12"/>
        <v>0.98654244306418215</v>
      </c>
      <c r="AH14" s="321">
        <f t="shared" si="13"/>
        <v>1</v>
      </c>
      <c r="AI14" s="321">
        <f t="shared" si="14"/>
        <v>0.95652173913043481</v>
      </c>
      <c r="AJ14" s="321">
        <f t="shared" si="15"/>
        <v>0.84523809523809523</v>
      </c>
      <c r="AK14" s="321" t="str">
        <f t="shared" si="16"/>
        <v xml:space="preserve"> </v>
      </c>
      <c r="AL14" s="369">
        <f t="shared" si="17"/>
        <v>0.76611883691529714</v>
      </c>
      <c r="AN14" s="1">
        <f t="shared" si="3"/>
        <v>1980</v>
      </c>
      <c r="AO14" s="20">
        <f t="shared" si="18"/>
        <v>-89</v>
      </c>
      <c r="AP14" s="1">
        <f t="shared" si="19"/>
        <v>78</v>
      </c>
      <c r="AQ14" s="1">
        <f t="shared" si="20"/>
        <v>436</v>
      </c>
      <c r="AR14" s="1">
        <f t="shared" si="21"/>
        <v>-69</v>
      </c>
      <c r="AS14" s="1">
        <f t="shared" si="22"/>
        <v>147</v>
      </c>
      <c r="AT14" s="1">
        <f t="shared" si="23"/>
        <v>46</v>
      </c>
      <c r="AU14" s="1">
        <f t="shared" si="24"/>
        <v>101</v>
      </c>
      <c r="AV14" s="1">
        <f t="shared" si="25"/>
        <v>141</v>
      </c>
      <c r="AW14" s="1">
        <f t="shared" si="26"/>
        <v>47</v>
      </c>
      <c r="AX14" s="1">
        <f t="shared" si="27"/>
        <v>-74</v>
      </c>
      <c r="AY14" s="1">
        <f t="shared" si="28"/>
        <v>-205</v>
      </c>
      <c r="AZ14" s="1">
        <f t="shared" si="29"/>
        <v>190</v>
      </c>
    </row>
    <row r="15" spans="1:53" ht="15.75">
      <c r="A15" s="225">
        <f>'Instant Old no Delete'!A15</f>
        <v>1981</v>
      </c>
      <c r="B15" s="27">
        <v>2373</v>
      </c>
      <c r="C15" s="1">
        <v>1986</v>
      </c>
      <c r="D15" s="1">
        <v>1547</v>
      </c>
      <c r="E15" s="1">
        <v>1601</v>
      </c>
      <c r="F15" s="1">
        <v>1819</v>
      </c>
      <c r="G15" s="22">
        <v>2054</v>
      </c>
      <c r="H15" s="1">
        <v>1972</v>
      </c>
      <c r="I15" s="1">
        <v>1883</v>
      </c>
      <c r="J15" s="1">
        <v>1889</v>
      </c>
      <c r="K15" s="1">
        <v>1690</v>
      </c>
      <c r="L15" s="1">
        <v>1671</v>
      </c>
      <c r="M15" s="1">
        <v>2008</v>
      </c>
      <c r="Q15" s="288" t="s">
        <v>28</v>
      </c>
      <c r="R15" s="257">
        <f t="shared" si="4"/>
        <v>2373</v>
      </c>
      <c r="S15" s="257">
        <f t="shared" si="0"/>
        <v>2054</v>
      </c>
      <c r="T15" s="317">
        <f t="shared" si="5"/>
        <v>1818</v>
      </c>
      <c r="U15" s="318">
        <f t="shared" si="1"/>
        <v>2373</v>
      </c>
      <c r="Z15" s="225">
        <f t="shared" si="2"/>
        <v>1981</v>
      </c>
      <c r="AA15" s="320">
        <f t="shared" si="6"/>
        <v>1</v>
      </c>
      <c r="AB15" s="321" t="str">
        <f t="shared" si="7"/>
        <v xml:space="preserve"> </v>
      </c>
      <c r="AC15" s="321">
        <f t="shared" si="8"/>
        <v>0.75316455696202533</v>
      </c>
      <c r="AD15" s="321">
        <f t="shared" si="9"/>
        <v>0.77945472249269721</v>
      </c>
      <c r="AE15" s="321">
        <f t="shared" si="10"/>
        <v>0.8855890944498539</v>
      </c>
      <c r="AF15" s="321">
        <f t="shared" si="11"/>
        <v>1</v>
      </c>
      <c r="AG15" s="321">
        <f t="shared" si="12"/>
        <v>0.96007789678675759</v>
      </c>
      <c r="AH15" s="321">
        <f t="shared" si="13"/>
        <v>0.91674780915287246</v>
      </c>
      <c r="AI15" s="321">
        <f t="shared" si="14"/>
        <v>0.91966893865628041</v>
      </c>
      <c r="AJ15" s="321">
        <f t="shared" si="15"/>
        <v>0.82278481012658233</v>
      </c>
      <c r="AK15" s="321">
        <f t="shared" si="16"/>
        <v>0.70417193426042979</v>
      </c>
      <c r="AL15" s="369">
        <f t="shared" si="17"/>
        <v>0.88928255093002662</v>
      </c>
      <c r="AN15" s="1">
        <f t="shared" si="3"/>
        <v>1981</v>
      </c>
      <c r="AO15" s="20">
        <f t="shared" si="18"/>
        <v>474</v>
      </c>
      <c r="AP15" s="1">
        <f t="shared" si="19"/>
        <v>48</v>
      </c>
      <c r="AQ15" s="1">
        <f t="shared" si="20"/>
        <v>-401</v>
      </c>
      <c r="AR15" s="1">
        <f t="shared" si="21"/>
        <v>91</v>
      </c>
      <c r="AS15" s="1">
        <f t="shared" si="22"/>
        <v>53</v>
      </c>
      <c r="AT15" s="1">
        <f t="shared" si="23"/>
        <v>240</v>
      </c>
      <c r="AU15" s="1">
        <f t="shared" si="24"/>
        <v>66</v>
      </c>
      <c r="AV15" s="1">
        <f t="shared" si="25"/>
        <v>-49</v>
      </c>
      <c r="AW15" s="1">
        <f t="shared" si="26"/>
        <v>41</v>
      </c>
      <c r="AX15" s="1">
        <f t="shared" si="27"/>
        <v>57</v>
      </c>
      <c r="AY15" s="1">
        <f t="shared" si="28"/>
        <v>166</v>
      </c>
      <c r="AZ15" s="1">
        <f t="shared" si="29"/>
        <v>190</v>
      </c>
    </row>
    <row r="16" spans="1:53" ht="15.75">
      <c r="A16" s="225">
        <f>'Instant Old no Delete'!A16</f>
        <v>1982</v>
      </c>
      <c r="B16" s="27">
        <v>2258</v>
      </c>
      <c r="C16" s="1">
        <v>1496</v>
      </c>
      <c r="D16" s="1">
        <v>1597</v>
      </c>
      <c r="E16" s="1">
        <v>1699</v>
      </c>
      <c r="F16" s="1">
        <v>1687</v>
      </c>
      <c r="G16" s="1">
        <v>1838</v>
      </c>
      <c r="H16" s="1">
        <v>1804</v>
      </c>
      <c r="I16" s="1">
        <v>1847</v>
      </c>
      <c r="J16" s="22">
        <v>1904</v>
      </c>
      <c r="K16" s="1">
        <v>1750</v>
      </c>
      <c r="L16" s="1">
        <v>1533</v>
      </c>
      <c r="M16" s="1">
        <v>1642</v>
      </c>
      <c r="Q16" s="288" t="s">
        <v>29</v>
      </c>
      <c r="R16" s="257">
        <f t="shared" si="4"/>
        <v>2258</v>
      </c>
      <c r="S16" s="257">
        <f t="shared" si="0"/>
        <v>1904</v>
      </c>
      <c r="T16" s="317">
        <f t="shared" si="5"/>
        <v>2008</v>
      </c>
      <c r="U16" s="318">
        <f t="shared" si="1"/>
        <v>2258</v>
      </c>
      <c r="Z16" s="225">
        <f t="shared" si="2"/>
        <v>1982</v>
      </c>
      <c r="AA16" s="320">
        <f t="shared" si="6"/>
        <v>1</v>
      </c>
      <c r="AB16" s="321" t="str">
        <f t="shared" si="7"/>
        <v xml:space="preserve"> </v>
      </c>
      <c r="AC16" s="321" t="str">
        <f t="shared" si="8"/>
        <v xml:space="preserve"> </v>
      </c>
      <c r="AD16" s="321">
        <f t="shared" si="9"/>
        <v>0.89233193277310929</v>
      </c>
      <c r="AE16" s="321">
        <f t="shared" si="10"/>
        <v>0.88602941176470584</v>
      </c>
      <c r="AF16" s="321">
        <f t="shared" si="11"/>
        <v>0.96533613445378152</v>
      </c>
      <c r="AG16" s="321">
        <f t="shared" si="12"/>
        <v>0.94747899159663862</v>
      </c>
      <c r="AH16" s="321">
        <f t="shared" si="13"/>
        <v>0.97006302521008403</v>
      </c>
      <c r="AI16" s="321">
        <f t="shared" si="14"/>
        <v>1</v>
      </c>
      <c r="AJ16" s="321">
        <f t="shared" si="15"/>
        <v>0.91911764705882348</v>
      </c>
      <c r="AK16" s="321" t="str">
        <f t="shared" si="16"/>
        <v xml:space="preserve"> </v>
      </c>
      <c r="AL16" s="369">
        <f t="shared" si="17"/>
        <v>0.79285369386769677</v>
      </c>
      <c r="AN16" s="1">
        <f t="shared" si="3"/>
        <v>1982</v>
      </c>
      <c r="AO16" s="20">
        <f t="shared" si="18"/>
        <v>-115</v>
      </c>
      <c r="AP16" s="1">
        <f t="shared" si="19"/>
        <v>-490</v>
      </c>
      <c r="AQ16" s="1">
        <f t="shared" si="20"/>
        <v>50</v>
      </c>
      <c r="AR16" s="1">
        <f t="shared" si="21"/>
        <v>98</v>
      </c>
      <c r="AS16" s="1">
        <f t="shared" si="22"/>
        <v>-132</v>
      </c>
      <c r="AT16" s="1">
        <f t="shared" si="23"/>
        <v>-216</v>
      </c>
      <c r="AU16" s="1">
        <f t="shared" si="24"/>
        <v>-168</v>
      </c>
      <c r="AV16" s="1">
        <f t="shared" si="25"/>
        <v>-36</v>
      </c>
      <c r="AW16" s="1">
        <f t="shared" si="26"/>
        <v>15</v>
      </c>
      <c r="AX16" s="1">
        <f t="shared" si="27"/>
        <v>60</v>
      </c>
      <c r="AY16" s="1">
        <f t="shared" si="28"/>
        <v>-138</v>
      </c>
      <c r="AZ16" s="1">
        <f t="shared" si="29"/>
        <v>-366</v>
      </c>
    </row>
    <row r="17" spans="1:52" ht="15.75">
      <c r="A17" s="225">
        <f>'Instant Old no Delete'!A17</f>
        <v>1983</v>
      </c>
      <c r="B17" s="27">
        <v>2071</v>
      </c>
      <c r="C17" s="1">
        <v>1944</v>
      </c>
      <c r="D17" s="1">
        <v>1729</v>
      </c>
      <c r="E17" s="1">
        <v>1553</v>
      </c>
      <c r="F17" s="1">
        <v>1786</v>
      </c>
      <c r="G17" s="1">
        <v>1886</v>
      </c>
      <c r="H17" s="22">
        <v>2057</v>
      </c>
      <c r="I17" s="1">
        <v>1991</v>
      </c>
      <c r="J17" s="1">
        <v>2038</v>
      </c>
      <c r="K17" s="1">
        <v>1814</v>
      </c>
      <c r="L17" s="1">
        <v>1698</v>
      </c>
      <c r="M17" s="1">
        <v>2092</v>
      </c>
      <c r="Q17" s="288" t="s">
        <v>30</v>
      </c>
      <c r="R17" s="257">
        <f t="shared" si="4"/>
        <v>2071</v>
      </c>
      <c r="S17" s="257">
        <f t="shared" si="0"/>
        <v>2057</v>
      </c>
      <c r="T17" s="317">
        <f t="shared" si="5"/>
        <v>1642</v>
      </c>
      <c r="U17" s="318">
        <f t="shared" si="1"/>
        <v>2071</v>
      </c>
      <c r="Z17" s="225">
        <f t="shared" si="2"/>
        <v>1983</v>
      </c>
      <c r="AA17" s="320">
        <f t="shared" si="6"/>
        <v>1</v>
      </c>
      <c r="AB17" s="321">
        <f t="shared" si="7"/>
        <v>0.93867696764847897</v>
      </c>
      <c r="AC17" s="321">
        <f t="shared" si="8"/>
        <v>0.84054448225571221</v>
      </c>
      <c r="AD17" s="321">
        <f t="shared" si="9"/>
        <v>0.75498298492950899</v>
      </c>
      <c r="AE17" s="321">
        <f t="shared" si="10"/>
        <v>0.86825473991249391</v>
      </c>
      <c r="AF17" s="321">
        <f t="shared" si="11"/>
        <v>0.91686922702965479</v>
      </c>
      <c r="AG17" s="321">
        <f t="shared" si="12"/>
        <v>1</v>
      </c>
      <c r="AH17" s="321">
        <f t="shared" si="13"/>
        <v>0.96791443850267378</v>
      </c>
      <c r="AI17" s="321">
        <f t="shared" si="14"/>
        <v>0.99076324744773947</v>
      </c>
      <c r="AJ17" s="321">
        <f t="shared" si="15"/>
        <v>0.88186679630529896</v>
      </c>
      <c r="AK17" s="321">
        <f t="shared" si="16"/>
        <v>0.81989377112506034</v>
      </c>
      <c r="AL17" s="369" t="str">
        <f t="shared" si="17"/>
        <v xml:space="preserve"> </v>
      </c>
      <c r="AN17" s="1">
        <f t="shared" si="3"/>
        <v>1983</v>
      </c>
      <c r="AO17" s="20">
        <f t="shared" si="18"/>
        <v>-187</v>
      </c>
      <c r="AP17" s="1">
        <f t="shared" si="19"/>
        <v>448</v>
      </c>
      <c r="AQ17" s="1">
        <f t="shared" si="20"/>
        <v>132</v>
      </c>
      <c r="AR17" s="1">
        <f t="shared" si="21"/>
        <v>-146</v>
      </c>
      <c r="AS17" s="1">
        <f t="shared" si="22"/>
        <v>99</v>
      </c>
      <c r="AT17" s="1">
        <f t="shared" si="23"/>
        <v>48</v>
      </c>
      <c r="AU17" s="1">
        <f t="shared" si="24"/>
        <v>253</v>
      </c>
      <c r="AV17" s="1">
        <f t="shared" si="25"/>
        <v>144</v>
      </c>
      <c r="AW17" s="1">
        <f t="shared" si="26"/>
        <v>134</v>
      </c>
      <c r="AX17" s="1">
        <f t="shared" si="27"/>
        <v>64</v>
      </c>
      <c r="AY17" s="1">
        <f t="shared" si="28"/>
        <v>165</v>
      </c>
      <c r="AZ17" s="1">
        <f t="shared" si="29"/>
        <v>450</v>
      </c>
    </row>
    <row r="18" spans="1:52" ht="15.75">
      <c r="A18" s="225">
        <f>'Instant Old no Delete'!A18</f>
        <v>1984</v>
      </c>
      <c r="B18" s="20">
        <v>2101</v>
      </c>
      <c r="C18" s="21">
        <v>2172</v>
      </c>
      <c r="D18" s="1">
        <v>2069</v>
      </c>
      <c r="E18" s="1">
        <v>1695</v>
      </c>
      <c r="F18" s="1">
        <v>2005</v>
      </c>
      <c r="G18" s="1">
        <v>2039</v>
      </c>
      <c r="H18" s="22">
        <v>2103</v>
      </c>
      <c r="I18" s="1">
        <v>2099</v>
      </c>
      <c r="J18" s="1">
        <v>2090</v>
      </c>
      <c r="K18" s="1">
        <v>1939</v>
      </c>
      <c r="L18" s="1">
        <v>1808</v>
      </c>
      <c r="M18" s="1">
        <v>2045</v>
      </c>
      <c r="N18" s="290" t="s">
        <v>89</v>
      </c>
      <c r="O18" s="290"/>
      <c r="Q18" s="288" t="s">
        <v>31</v>
      </c>
      <c r="R18" s="258">
        <f>MAX(T18:U18)</f>
        <v>2172</v>
      </c>
      <c r="S18" s="257">
        <f t="shared" si="0"/>
        <v>2103</v>
      </c>
      <c r="T18" s="317">
        <f t="shared" si="5"/>
        <v>2092</v>
      </c>
      <c r="U18" s="318">
        <f t="shared" si="1"/>
        <v>2172</v>
      </c>
      <c r="Z18" s="225">
        <f t="shared" si="2"/>
        <v>1984</v>
      </c>
      <c r="AA18" s="320" t="str">
        <f t="shared" si="6"/>
        <v xml:space="preserve"> </v>
      </c>
      <c r="AB18" s="321">
        <f t="shared" si="7"/>
        <v>1</v>
      </c>
      <c r="AC18" s="321" t="str">
        <f t="shared" si="8"/>
        <v xml:space="preserve"> </v>
      </c>
      <c r="AD18" s="321">
        <f t="shared" si="9"/>
        <v>0.80599144079885876</v>
      </c>
      <c r="AE18" s="321">
        <f t="shared" si="10"/>
        <v>0.95339990489776505</v>
      </c>
      <c r="AF18" s="321">
        <f t="shared" si="11"/>
        <v>0.96956728483119359</v>
      </c>
      <c r="AG18" s="321">
        <f t="shared" si="12"/>
        <v>1</v>
      </c>
      <c r="AH18" s="321">
        <f t="shared" si="13"/>
        <v>0.99809795530194956</v>
      </c>
      <c r="AI18" s="321">
        <f t="shared" si="14"/>
        <v>0.99381835473133617</v>
      </c>
      <c r="AJ18" s="321">
        <f t="shared" si="15"/>
        <v>0.92201616737993342</v>
      </c>
      <c r="AK18" s="321">
        <f t="shared" si="16"/>
        <v>0.83241252302025781</v>
      </c>
      <c r="AL18" s="369">
        <f t="shared" si="17"/>
        <v>0.74689554419284154</v>
      </c>
      <c r="AN18" s="1">
        <f t="shared" si="3"/>
        <v>1984</v>
      </c>
      <c r="AO18" s="20">
        <f t="shared" si="18"/>
        <v>30</v>
      </c>
      <c r="AP18" s="1">
        <f t="shared" si="19"/>
        <v>228</v>
      </c>
      <c r="AQ18" s="1">
        <f t="shared" si="20"/>
        <v>340</v>
      </c>
      <c r="AR18" s="1">
        <f t="shared" si="21"/>
        <v>142</v>
      </c>
      <c r="AS18" s="1">
        <f t="shared" si="22"/>
        <v>219</v>
      </c>
      <c r="AT18" s="1">
        <f t="shared" si="23"/>
        <v>153</v>
      </c>
      <c r="AU18" s="1">
        <f t="shared" si="24"/>
        <v>46</v>
      </c>
      <c r="AV18" s="1">
        <f t="shared" si="25"/>
        <v>108</v>
      </c>
      <c r="AW18" s="1">
        <f t="shared" si="26"/>
        <v>52</v>
      </c>
      <c r="AX18" s="1">
        <f t="shared" si="27"/>
        <v>125</v>
      </c>
      <c r="AY18" s="1">
        <f t="shared" si="28"/>
        <v>110</v>
      </c>
      <c r="AZ18" s="1">
        <f t="shared" si="29"/>
        <v>-47</v>
      </c>
    </row>
    <row r="19" spans="1:52" ht="15.75">
      <c r="A19" s="225">
        <f>'Instant Old no Delete'!A19</f>
        <v>1985</v>
      </c>
      <c r="B19" s="27">
        <v>2738</v>
      </c>
      <c r="C19" s="1">
        <v>2214</v>
      </c>
      <c r="D19" s="1">
        <v>1752</v>
      </c>
      <c r="E19" s="1">
        <v>1778</v>
      </c>
      <c r="F19" s="1">
        <v>2119</v>
      </c>
      <c r="G19" s="22">
        <v>2388</v>
      </c>
      <c r="H19" s="1">
        <v>2153</v>
      </c>
      <c r="I19" s="1">
        <v>2165</v>
      </c>
      <c r="J19" s="1">
        <v>2149</v>
      </c>
      <c r="K19" s="1">
        <v>2081</v>
      </c>
      <c r="L19" s="1">
        <v>1814</v>
      </c>
      <c r="M19" s="1">
        <v>2314</v>
      </c>
      <c r="N19" s="290" t="s">
        <v>90</v>
      </c>
      <c r="O19" s="290"/>
      <c r="Q19" s="288" t="s">
        <v>32</v>
      </c>
      <c r="R19" s="258">
        <f t="shared" si="4"/>
        <v>2738</v>
      </c>
      <c r="S19" s="257">
        <f t="shared" si="0"/>
        <v>2388</v>
      </c>
      <c r="T19" s="317">
        <f t="shared" si="5"/>
        <v>2045</v>
      </c>
      <c r="U19" s="318">
        <f t="shared" si="1"/>
        <v>2738</v>
      </c>
      <c r="Z19" s="225">
        <f t="shared" si="2"/>
        <v>1985</v>
      </c>
      <c r="AA19" s="320">
        <f t="shared" si="6"/>
        <v>1</v>
      </c>
      <c r="AB19" s="321">
        <f t="shared" si="7"/>
        <v>0.80861943024105187</v>
      </c>
      <c r="AC19" s="321" t="str">
        <f t="shared" si="8"/>
        <v xml:space="preserve"> </v>
      </c>
      <c r="AD19" s="321">
        <f t="shared" si="9"/>
        <v>0.74455611390284759</v>
      </c>
      <c r="AE19" s="321">
        <f t="shared" si="10"/>
        <v>0.88735343383584586</v>
      </c>
      <c r="AF19" s="321">
        <f t="shared" si="11"/>
        <v>1</v>
      </c>
      <c r="AG19" s="321">
        <f t="shared" si="12"/>
        <v>0.90159128978224456</v>
      </c>
      <c r="AH19" s="321">
        <f t="shared" si="13"/>
        <v>0.90661641541038529</v>
      </c>
      <c r="AI19" s="321">
        <f t="shared" si="14"/>
        <v>0.89991624790619762</v>
      </c>
      <c r="AJ19" s="321">
        <f t="shared" si="15"/>
        <v>0.87144053601340032</v>
      </c>
      <c r="AK19" s="321" t="str">
        <f t="shared" si="16"/>
        <v xml:space="preserve"> </v>
      </c>
      <c r="AL19" s="369">
        <f t="shared" si="17"/>
        <v>0.89068514241724406</v>
      </c>
      <c r="AN19" s="1">
        <f t="shared" si="3"/>
        <v>1985</v>
      </c>
      <c r="AO19" s="20">
        <f t="shared" si="18"/>
        <v>637</v>
      </c>
      <c r="AP19" s="1">
        <f t="shared" si="19"/>
        <v>42</v>
      </c>
      <c r="AQ19" s="1">
        <f t="shared" si="20"/>
        <v>-317</v>
      </c>
      <c r="AR19" s="1">
        <f t="shared" si="21"/>
        <v>83</v>
      </c>
      <c r="AS19" s="1">
        <f t="shared" si="22"/>
        <v>114</v>
      </c>
      <c r="AT19" s="1">
        <f t="shared" si="23"/>
        <v>349</v>
      </c>
      <c r="AU19" s="1">
        <f t="shared" si="24"/>
        <v>50</v>
      </c>
      <c r="AV19" s="1">
        <f t="shared" si="25"/>
        <v>66</v>
      </c>
      <c r="AW19" s="1">
        <f t="shared" si="26"/>
        <v>59</v>
      </c>
      <c r="AX19" s="1">
        <f t="shared" si="27"/>
        <v>142</v>
      </c>
      <c r="AY19" s="1">
        <f t="shared" si="28"/>
        <v>6</v>
      </c>
      <c r="AZ19" s="1">
        <f t="shared" si="29"/>
        <v>269</v>
      </c>
    </row>
    <row r="20" spans="1:52" ht="15.75">
      <c r="A20" s="225">
        <f>'Instant Old no Delete'!A20</f>
        <v>1986</v>
      </c>
      <c r="B20" s="27">
        <v>2598</v>
      </c>
      <c r="C20" s="1">
        <v>2225</v>
      </c>
      <c r="D20" s="1">
        <v>1871</v>
      </c>
      <c r="E20" s="1">
        <v>1730</v>
      </c>
      <c r="F20" s="1">
        <v>2102</v>
      </c>
      <c r="G20" s="1">
        <v>2122</v>
      </c>
      <c r="H20" s="1">
        <v>2119</v>
      </c>
      <c r="I20" s="22">
        <v>2200</v>
      </c>
      <c r="J20" s="1">
        <v>2163</v>
      </c>
      <c r="K20" s="1">
        <v>2168</v>
      </c>
      <c r="L20" s="1">
        <v>1833</v>
      </c>
      <c r="M20" s="1">
        <v>1714</v>
      </c>
      <c r="Q20" s="288" t="s">
        <v>33</v>
      </c>
      <c r="R20" s="257">
        <f t="shared" si="4"/>
        <v>2598</v>
      </c>
      <c r="S20" s="257">
        <f t="shared" si="0"/>
        <v>2200</v>
      </c>
      <c r="T20" s="317">
        <f t="shared" si="5"/>
        <v>2314</v>
      </c>
      <c r="U20" s="318">
        <f t="shared" si="1"/>
        <v>2598</v>
      </c>
      <c r="Z20" s="225">
        <f t="shared" si="2"/>
        <v>1986</v>
      </c>
      <c r="AA20" s="320">
        <f t="shared" si="6"/>
        <v>1</v>
      </c>
      <c r="AB20" s="321">
        <f t="shared" si="7"/>
        <v>0.85642802155504238</v>
      </c>
      <c r="AC20" s="321" t="str">
        <f t="shared" si="8"/>
        <v xml:space="preserve"> </v>
      </c>
      <c r="AD20" s="321">
        <f t="shared" si="9"/>
        <v>0.78636363636363638</v>
      </c>
      <c r="AE20" s="321">
        <f t="shared" si="10"/>
        <v>0.95545454545454545</v>
      </c>
      <c r="AF20" s="321">
        <f t="shared" si="11"/>
        <v>0.96454545454545459</v>
      </c>
      <c r="AG20" s="321">
        <f t="shared" si="12"/>
        <v>0.96318181818181814</v>
      </c>
      <c r="AH20" s="321">
        <f t="shared" si="13"/>
        <v>1</v>
      </c>
      <c r="AI20" s="321">
        <f t="shared" si="14"/>
        <v>0.98318181818181816</v>
      </c>
      <c r="AJ20" s="321">
        <f t="shared" si="15"/>
        <v>0.98545454545454547</v>
      </c>
      <c r="AK20" s="321" t="str">
        <f t="shared" si="16"/>
        <v xml:space="preserve"> </v>
      </c>
      <c r="AL20" s="369" t="str">
        <f t="shared" si="17"/>
        <v xml:space="preserve"> </v>
      </c>
      <c r="AN20" s="1">
        <f t="shared" si="3"/>
        <v>1986</v>
      </c>
      <c r="AO20" s="20">
        <f t="shared" si="18"/>
        <v>-140</v>
      </c>
      <c r="AP20" s="1">
        <f t="shared" si="19"/>
        <v>11</v>
      </c>
      <c r="AQ20" s="1">
        <f t="shared" si="20"/>
        <v>119</v>
      </c>
      <c r="AR20" s="1">
        <f t="shared" si="21"/>
        <v>-48</v>
      </c>
      <c r="AS20" s="1">
        <f t="shared" si="22"/>
        <v>-17</v>
      </c>
      <c r="AT20" s="1">
        <f t="shared" si="23"/>
        <v>-266</v>
      </c>
      <c r="AU20" s="1">
        <f t="shared" si="24"/>
        <v>-34</v>
      </c>
      <c r="AV20" s="1">
        <f t="shared" si="25"/>
        <v>35</v>
      </c>
      <c r="AW20" s="1">
        <f t="shared" si="26"/>
        <v>14</v>
      </c>
      <c r="AX20" s="1">
        <f t="shared" si="27"/>
        <v>87</v>
      </c>
      <c r="AY20" s="1">
        <f t="shared" si="28"/>
        <v>19</v>
      </c>
      <c r="AZ20" s="1">
        <f t="shared" si="29"/>
        <v>-600</v>
      </c>
    </row>
    <row r="21" spans="1:52" ht="15.75">
      <c r="A21" s="225">
        <f>'Instant Old no Delete'!A21</f>
        <v>1987</v>
      </c>
      <c r="B21" s="20">
        <v>2179</v>
      </c>
      <c r="C21" s="21">
        <v>2268</v>
      </c>
      <c r="D21" s="1">
        <v>1718</v>
      </c>
      <c r="E21" s="1">
        <v>1865</v>
      </c>
      <c r="F21" s="1">
        <v>2015</v>
      </c>
      <c r="G21" s="1">
        <v>2253</v>
      </c>
      <c r="H21" s="1">
        <v>2336</v>
      </c>
      <c r="I21" s="22">
        <v>2402</v>
      </c>
      <c r="J21" s="1">
        <v>2297</v>
      </c>
      <c r="K21" s="1">
        <v>1921</v>
      </c>
      <c r="L21" s="1">
        <v>1732</v>
      </c>
      <c r="M21" s="1">
        <v>2254</v>
      </c>
      <c r="Q21" s="288" t="s">
        <v>34</v>
      </c>
      <c r="R21" s="257">
        <f t="shared" si="4"/>
        <v>2268</v>
      </c>
      <c r="S21" s="257">
        <f t="shared" si="0"/>
        <v>2402</v>
      </c>
      <c r="T21" s="317">
        <f t="shared" si="5"/>
        <v>1833</v>
      </c>
      <c r="U21" s="318">
        <f t="shared" si="1"/>
        <v>2268</v>
      </c>
      <c r="Z21" s="225">
        <f t="shared" si="2"/>
        <v>1987</v>
      </c>
      <c r="AA21" s="320">
        <f t="shared" si="6"/>
        <v>0.96075837742504411</v>
      </c>
      <c r="AB21" s="321">
        <f t="shared" si="7"/>
        <v>1</v>
      </c>
      <c r="AC21" s="321">
        <f t="shared" si="8"/>
        <v>0.71523730224812654</v>
      </c>
      <c r="AD21" s="321" t="str">
        <f t="shared" si="9"/>
        <v xml:space="preserve"> </v>
      </c>
      <c r="AE21" s="321">
        <f t="shared" si="10"/>
        <v>0.8388842631140716</v>
      </c>
      <c r="AF21" s="321">
        <f t="shared" si="11"/>
        <v>0.93796835970024983</v>
      </c>
      <c r="AG21" s="321">
        <f t="shared" si="12"/>
        <v>0.97252289758534549</v>
      </c>
      <c r="AH21" s="321">
        <f t="shared" si="13"/>
        <v>1</v>
      </c>
      <c r="AI21" s="321">
        <f t="shared" si="14"/>
        <v>0.95628642797668606</v>
      </c>
      <c r="AJ21" s="321">
        <f t="shared" si="15"/>
        <v>0.79975020815986675</v>
      </c>
      <c r="AK21" s="321" t="str">
        <f t="shared" si="16"/>
        <v xml:space="preserve"> </v>
      </c>
      <c r="AL21" s="369">
        <f t="shared" si="17"/>
        <v>0.86030534351145038</v>
      </c>
      <c r="AN21" s="1">
        <f t="shared" si="3"/>
        <v>1987</v>
      </c>
      <c r="AO21" s="20">
        <f t="shared" si="18"/>
        <v>-419</v>
      </c>
      <c r="AP21" s="1">
        <f t="shared" si="19"/>
        <v>43</v>
      </c>
      <c r="AQ21" s="1">
        <f t="shared" si="20"/>
        <v>-153</v>
      </c>
      <c r="AR21" s="1">
        <f t="shared" si="21"/>
        <v>135</v>
      </c>
      <c r="AS21" s="1">
        <f t="shared" si="22"/>
        <v>-87</v>
      </c>
      <c r="AT21" s="1">
        <f t="shared" si="23"/>
        <v>131</v>
      </c>
      <c r="AU21" s="1">
        <f t="shared" si="24"/>
        <v>217</v>
      </c>
      <c r="AV21" s="1">
        <f t="shared" si="25"/>
        <v>202</v>
      </c>
      <c r="AW21" s="1">
        <f t="shared" si="26"/>
        <v>134</v>
      </c>
      <c r="AX21" s="1">
        <f t="shared" si="27"/>
        <v>-247</v>
      </c>
      <c r="AY21" s="1">
        <f t="shared" si="28"/>
        <v>-101</v>
      </c>
      <c r="AZ21" s="1">
        <f t="shared" si="29"/>
        <v>540</v>
      </c>
    </row>
    <row r="22" spans="1:52" ht="15.75">
      <c r="A22" s="225">
        <f>'Instant Old no Delete'!A22</f>
        <v>1988</v>
      </c>
      <c r="B22" s="27">
        <v>2620</v>
      </c>
      <c r="C22" s="1">
        <v>2222</v>
      </c>
      <c r="D22" s="1">
        <v>2222</v>
      </c>
      <c r="E22" s="1">
        <v>2006</v>
      </c>
      <c r="F22" s="1">
        <v>2289</v>
      </c>
      <c r="G22" s="1">
        <v>2332</v>
      </c>
      <c r="H22" s="22">
        <v>2476</v>
      </c>
      <c r="I22" s="1">
        <v>2442</v>
      </c>
      <c r="J22" s="1">
        <v>2357</v>
      </c>
      <c r="K22" s="1">
        <v>2082</v>
      </c>
      <c r="L22" s="1">
        <v>1907</v>
      </c>
      <c r="M22" s="1">
        <v>2556</v>
      </c>
      <c r="Q22" s="288" t="s">
        <v>35</v>
      </c>
      <c r="R22" s="257">
        <f t="shared" si="4"/>
        <v>2620</v>
      </c>
      <c r="S22" s="257">
        <f t="shared" si="0"/>
        <v>2476</v>
      </c>
      <c r="T22" s="317">
        <f t="shared" si="5"/>
        <v>2254</v>
      </c>
      <c r="U22" s="318">
        <f t="shared" si="1"/>
        <v>2620</v>
      </c>
      <c r="Z22" s="225">
        <f t="shared" si="2"/>
        <v>1988</v>
      </c>
      <c r="AA22" s="320">
        <f t="shared" si="6"/>
        <v>1</v>
      </c>
      <c r="AB22" s="321">
        <f t="shared" si="7"/>
        <v>0.84809160305343512</v>
      </c>
      <c r="AC22" s="321" t="str">
        <f t="shared" si="8"/>
        <v xml:space="preserve"> </v>
      </c>
      <c r="AD22" s="321">
        <f t="shared" si="9"/>
        <v>0.81017770597738292</v>
      </c>
      <c r="AE22" s="321">
        <f t="shared" si="10"/>
        <v>0.92447495961227788</v>
      </c>
      <c r="AF22" s="321">
        <f t="shared" si="11"/>
        <v>0.94184168012924074</v>
      </c>
      <c r="AG22" s="321">
        <f t="shared" si="12"/>
        <v>1</v>
      </c>
      <c r="AH22" s="321">
        <f t="shared" si="13"/>
        <v>0.98626817447495962</v>
      </c>
      <c r="AI22" s="321">
        <f t="shared" si="14"/>
        <v>0.95193861066235863</v>
      </c>
      <c r="AJ22" s="321">
        <f t="shared" si="15"/>
        <v>0.84087237479806143</v>
      </c>
      <c r="AK22" s="321" t="str">
        <f t="shared" si="16"/>
        <v xml:space="preserve"> </v>
      </c>
      <c r="AL22" s="369">
        <f t="shared" si="17"/>
        <v>0.98916408668730649</v>
      </c>
      <c r="AN22" s="1">
        <f t="shared" si="3"/>
        <v>1988</v>
      </c>
      <c r="AO22" s="20">
        <f t="shared" si="18"/>
        <v>441</v>
      </c>
      <c r="AP22" s="1">
        <f t="shared" si="19"/>
        <v>-46</v>
      </c>
      <c r="AQ22" s="1">
        <f t="shared" si="20"/>
        <v>504</v>
      </c>
      <c r="AR22" s="1">
        <f t="shared" si="21"/>
        <v>141</v>
      </c>
      <c r="AS22" s="1">
        <f t="shared" si="22"/>
        <v>274</v>
      </c>
      <c r="AT22" s="1">
        <f t="shared" si="23"/>
        <v>79</v>
      </c>
      <c r="AU22" s="1">
        <f t="shared" si="24"/>
        <v>140</v>
      </c>
      <c r="AV22" s="1">
        <f t="shared" si="25"/>
        <v>40</v>
      </c>
      <c r="AW22" s="1">
        <f t="shared" si="26"/>
        <v>60</v>
      </c>
      <c r="AX22" s="1">
        <f t="shared" si="27"/>
        <v>161</v>
      </c>
      <c r="AY22" s="1">
        <f t="shared" si="28"/>
        <v>175</v>
      </c>
      <c r="AZ22" s="1">
        <f t="shared" si="29"/>
        <v>302</v>
      </c>
    </row>
    <row r="23" spans="1:52" ht="15.75">
      <c r="A23" s="225">
        <f>'Instant Old no Delete'!A23</f>
        <v>1989</v>
      </c>
      <c r="B23" s="20">
        <v>1944</v>
      </c>
      <c r="C23" s="21">
        <v>2584</v>
      </c>
      <c r="D23" s="1">
        <v>2126</v>
      </c>
      <c r="E23" s="1">
        <v>2063</v>
      </c>
      <c r="F23" s="1">
        <v>2397</v>
      </c>
      <c r="G23" s="22">
        <v>2555</v>
      </c>
      <c r="H23" s="1">
        <v>2544</v>
      </c>
      <c r="I23" s="1">
        <v>2554</v>
      </c>
      <c r="J23" s="1">
        <v>2445</v>
      </c>
      <c r="K23" s="1">
        <v>2296</v>
      </c>
      <c r="L23" s="1">
        <v>1946</v>
      </c>
      <c r="M23" s="21">
        <v>2712</v>
      </c>
      <c r="N23" s="21" t="s">
        <v>304</v>
      </c>
      <c r="Q23" s="288" t="s">
        <v>36</v>
      </c>
      <c r="R23" s="257">
        <f t="shared" si="4"/>
        <v>2584</v>
      </c>
      <c r="S23" s="257">
        <f t="shared" si="0"/>
        <v>2555</v>
      </c>
      <c r="T23" s="317">
        <f t="shared" si="5"/>
        <v>2556</v>
      </c>
      <c r="U23" s="318">
        <f t="shared" si="1"/>
        <v>2584</v>
      </c>
      <c r="Z23" s="225">
        <f t="shared" si="2"/>
        <v>1989</v>
      </c>
      <c r="AA23" s="320">
        <f t="shared" si="6"/>
        <v>0.75232198142414863</v>
      </c>
      <c r="AB23" s="321">
        <f t="shared" si="7"/>
        <v>1</v>
      </c>
      <c r="AC23" s="321" t="str">
        <f t="shared" si="8"/>
        <v xml:space="preserve"> </v>
      </c>
      <c r="AD23" s="321">
        <f t="shared" si="9"/>
        <v>0.8074363992172211</v>
      </c>
      <c r="AE23" s="321">
        <f t="shared" si="10"/>
        <v>0.93816046966731903</v>
      </c>
      <c r="AF23" s="321">
        <f t="shared" si="11"/>
        <v>1</v>
      </c>
      <c r="AG23" s="321">
        <f t="shared" si="12"/>
        <v>0.99569471624266148</v>
      </c>
      <c r="AH23" s="321">
        <f t="shared" si="13"/>
        <v>0.99960861056751471</v>
      </c>
      <c r="AI23" s="321">
        <f t="shared" si="14"/>
        <v>0.95694716242661448</v>
      </c>
      <c r="AJ23" s="321">
        <f t="shared" si="15"/>
        <v>0.89863013698630134</v>
      </c>
      <c r="AK23" s="321" t="str">
        <f t="shared" si="16"/>
        <v xml:space="preserve"> </v>
      </c>
      <c r="AL23" s="369" t="str">
        <f t="shared" si="17"/>
        <v xml:space="preserve"> </v>
      </c>
      <c r="AN23" s="1">
        <f t="shared" si="3"/>
        <v>1989</v>
      </c>
      <c r="AO23" s="20">
        <f t="shared" si="18"/>
        <v>-676</v>
      </c>
      <c r="AP23" s="1">
        <f t="shared" si="19"/>
        <v>362</v>
      </c>
      <c r="AQ23" s="1">
        <f t="shared" si="20"/>
        <v>-96</v>
      </c>
      <c r="AR23" s="1">
        <f t="shared" si="21"/>
        <v>57</v>
      </c>
      <c r="AS23" s="1">
        <f t="shared" si="22"/>
        <v>108</v>
      </c>
      <c r="AT23" s="1">
        <f t="shared" si="23"/>
        <v>223</v>
      </c>
      <c r="AU23" s="1">
        <f t="shared" si="24"/>
        <v>68</v>
      </c>
      <c r="AV23" s="1">
        <f t="shared" si="25"/>
        <v>112</v>
      </c>
      <c r="AW23" s="1">
        <f t="shared" si="26"/>
        <v>88</v>
      </c>
      <c r="AX23" s="1">
        <f t="shared" si="27"/>
        <v>214</v>
      </c>
      <c r="AY23" s="1">
        <f t="shared" si="28"/>
        <v>39</v>
      </c>
      <c r="AZ23" s="1">
        <f t="shared" si="29"/>
        <v>156</v>
      </c>
    </row>
    <row r="24" spans="1:52" ht="15.75">
      <c r="A24" s="225">
        <f>'Instant Old no Delete'!A24</f>
        <v>1990</v>
      </c>
      <c r="B24" s="20">
        <v>2052</v>
      </c>
      <c r="C24" s="1">
        <v>1911</v>
      </c>
      <c r="D24" s="1">
        <v>1922</v>
      </c>
      <c r="E24" s="1">
        <v>2264</v>
      </c>
      <c r="F24" s="1">
        <v>2516</v>
      </c>
      <c r="G24" s="22">
        <v>2630</v>
      </c>
      <c r="H24" s="1">
        <v>2562</v>
      </c>
      <c r="I24" s="1">
        <v>2608</v>
      </c>
      <c r="J24" s="1">
        <v>2587</v>
      </c>
      <c r="K24" s="1">
        <v>2538</v>
      </c>
      <c r="L24" s="1">
        <v>2080</v>
      </c>
      <c r="M24" s="202">
        <v>2153</v>
      </c>
      <c r="N24" s="21" t="s">
        <v>305</v>
      </c>
      <c r="Q24" s="288" t="s">
        <v>37</v>
      </c>
      <c r="R24" s="257">
        <f t="shared" si="4"/>
        <v>2712</v>
      </c>
      <c r="S24" s="257">
        <f t="shared" si="0"/>
        <v>2630</v>
      </c>
      <c r="T24" s="317">
        <f t="shared" si="5"/>
        <v>2712</v>
      </c>
      <c r="U24" s="318">
        <f t="shared" si="1"/>
        <v>2052</v>
      </c>
      <c r="Z24" s="225">
        <f t="shared" si="2"/>
        <v>1990</v>
      </c>
      <c r="AA24" s="320" t="str">
        <f t="shared" si="6"/>
        <v xml:space="preserve"> </v>
      </c>
      <c r="AB24" s="321">
        <f t="shared" si="7"/>
        <v>0.70464601769911506</v>
      </c>
      <c r="AC24" s="321">
        <f t="shared" si="8"/>
        <v>0.73079847908745244</v>
      </c>
      <c r="AD24" s="321">
        <f t="shared" si="9"/>
        <v>0.86083650190114069</v>
      </c>
      <c r="AE24" s="321">
        <f t="shared" si="10"/>
        <v>0.95665399239543725</v>
      </c>
      <c r="AF24" s="321">
        <f t="shared" si="11"/>
        <v>1</v>
      </c>
      <c r="AG24" s="321">
        <f t="shared" si="12"/>
        <v>0.97414448669201525</v>
      </c>
      <c r="AH24" s="321">
        <f t="shared" si="13"/>
        <v>0.99163498098859315</v>
      </c>
      <c r="AI24" s="321">
        <f t="shared" si="14"/>
        <v>0.9836501901140684</v>
      </c>
      <c r="AJ24" s="321">
        <f t="shared" si="15"/>
        <v>0.9650190114068441</v>
      </c>
      <c r="AK24" s="321" t="str">
        <f t="shared" si="16"/>
        <v xml:space="preserve"> </v>
      </c>
      <c r="AL24" s="369">
        <f t="shared" si="17"/>
        <v>0.88893476465730803</v>
      </c>
      <c r="AN24" s="1">
        <f t="shared" si="3"/>
        <v>1990</v>
      </c>
      <c r="AO24" s="20">
        <f t="shared" si="18"/>
        <v>108</v>
      </c>
      <c r="AP24" s="1">
        <f t="shared" si="19"/>
        <v>-673</v>
      </c>
      <c r="AQ24" s="1">
        <f t="shared" si="20"/>
        <v>-204</v>
      </c>
      <c r="AR24" s="1">
        <f t="shared" si="21"/>
        <v>201</v>
      </c>
      <c r="AS24" s="1">
        <f t="shared" si="22"/>
        <v>119</v>
      </c>
      <c r="AT24" s="1">
        <f t="shared" si="23"/>
        <v>75</v>
      </c>
      <c r="AU24" s="1">
        <f t="shared" si="24"/>
        <v>18</v>
      </c>
      <c r="AV24" s="1">
        <f t="shared" si="25"/>
        <v>54</v>
      </c>
      <c r="AW24" s="1">
        <f t="shared" si="26"/>
        <v>142</v>
      </c>
      <c r="AX24" s="1">
        <f t="shared" si="27"/>
        <v>242</v>
      </c>
      <c r="AY24" s="1">
        <f t="shared" si="28"/>
        <v>134</v>
      </c>
      <c r="AZ24" s="1">
        <f t="shared" si="29"/>
        <v>-559</v>
      </c>
    </row>
    <row r="25" spans="1:52" ht="15.75">
      <c r="A25" s="225">
        <f>'Instant Old no Delete'!A25</f>
        <v>1991</v>
      </c>
      <c r="B25" s="20">
        <v>2263</v>
      </c>
      <c r="C25" s="21">
        <v>2422</v>
      </c>
      <c r="D25" s="1">
        <v>2240</v>
      </c>
      <c r="E25" s="1">
        <v>2463</v>
      </c>
      <c r="F25" s="1">
        <v>2478</v>
      </c>
      <c r="G25" s="1">
        <v>2494</v>
      </c>
      <c r="H25" s="1">
        <v>2577</v>
      </c>
      <c r="I25" s="22">
        <v>2678</v>
      </c>
      <c r="J25" s="1">
        <v>2644</v>
      </c>
      <c r="K25" s="1">
        <v>2374</v>
      </c>
      <c r="L25" s="1">
        <v>2364</v>
      </c>
      <c r="M25" s="1">
        <v>2321</v>
      </c>
      <c r="N25" s="399">
        <f t="shared" ref="N25:N47" si="30">SUM(B25:M25)</f>
        <v>29318</v>
      </c>
      <c r="O25" s="400"/>
      <c r="P25" s="398">
        <f t="shared" ref="P25:P44" si="31">N25-O25</f>
        <v>29318</v>
      </c>
      <c r="Q25" s="288" t="s">
        <v>38</v>
      </c>
      <c r="R25" s="257">
        <f t="shared" si="4"/>
        <v>2422</v>
      </c>
      <c r="S25" s="257">
        <f t="shared" si="0"/>
        <v>2678</v>
      </c>
      <c r="T25" s="317">
        <f t="shared" si="5"/>
        <v>2153</v>
      </c>
      <c r="U25" s="318">
        <f t="shared" si="1"/>
        <v>2422</v>
      </c>
      <c r="Z25" s="225">
        <f t="shared" si="2"/>
        <v>1991</v>
      </c>
      <c r="AA25" s="320">
        <f t="shared" si="6"/>
        <v>0.93435177539223779</v>
      </c>
      <c r="AB25" s="321">
        <f t="shared" si="7"/>
        <v>1</v>
      </c>
      <c r="AC25" s="321" t="str">
        <f t="shared" si="8"/>
        <v xml:space="preserve"> </v>
      </c>
      <c r="AD25" s="321">
        <f t="shared" si="9"/>
        <v>0.91971620612397309</v>
      </c>
      <c r="AE25" s="321">
        <f t="shared" si="10"/>
        <v>0.92531740104555638</v>
      </c>
      <c r="AF25" s="321">
        <f t="shared" si="11"/>
        <v>0.93129200896191189</v>
      </c>
      <c r="AG25" s="321">
        <f t="shared" si="12"/>
        <v>0.96228528752800602</v>
      </c>
      <c r="AH25" s="321">
        <f t="shared" si="13"/>
        <v>1</v>
      </c>
      <c r="AI25" s="321">
        <f t="shared" si="14"/>
        <v>0.98730395817774463</v>
      </c>
      <c r="AJ25" s="321">
        <f t="shared" si="15"/>
        <v>0.88648244958924571</v>
      </c>
      <c r="AK25" s="321">
        <f t="shared" si="16"/>
        <v>0.97605284888521882</v>
      </c>
      <c r="AL25" s="369">
        <f t="shared" si="17"/>
        <v>0.84033309196234618</v>
      </c>
      <c r="AN25" s="1">
        <f t="shared" si="3"/>
        <v>1991</v>
      </c>
      <c r="AO25" s="20">
        <f t="shared" si="18"/>
        <v>211</v>
      </c>
      <c r="AP25" s="1">
        <f t="shared" si="19"/>
        <v>511</v>
      </c>
      <c r="AQ25" s="1">
        <f t="shared" si="20"/>
        <v>318</v>
      </c>
      <c r="AR25" s="1">
        <f t="shared" si="21"/>
        <v>199</v>
      </c>
      <c r="AS25" s="1">
        <f t="shared" si="22"/>
        <v>-38</v>
      </c>
      <c r="AT25" s="1">
        <f t="shared" si="23"/>
        <v>-136</v>
      </c>
      <c r="AU25" s="1">
        <f t="shared" si="24"/>
        <v>15</v>
      </c>
      <c r="AV25" s="1">
        <f t="shared" si="25"/>
        <v>70</v>
      </c>
      <c r="AW25" s="1">
        <f t="shared" si="26"/>
        <v>57</v>
      </c>
      <c r="AX25" s="1">
        <f t="shared" si="27"/>
        <v>-164</v>
      </c>
      <c r="AY25" s="1">
        <f t="shared" si="28"/>
        <v>284</v>
      </c>
      <c r="AZ25" s="1">
        <f t="shared" si="29"/>
        <v>168</v>
      </c>
    </row>
    <row r="26" spans="1:52" ht="15.75">
      <c r="A26" s="225">
        <f>'Instant Old no Delete'!A26</f>
        <v>1992</v>
      </c>
      <c r="B26" s="27">
        <v>2762</v>
      </c>
      <c r="C26" s="1">
        <v>2149</v>
      </c>
      <c r="D26" s="1">
        <v>2122</v>
      </c>
      <c r="E26" s="1">
        <v>2199</v>
      </c>
      <c r="F26" s="1">
        <v>2392</v>
      </c>
      <c r="G26" s="1">
        <v>2627</v>
      </c>
      <c r="H26" s="22">
        <v>2771</v>
      </c>
      <c r="I26" s="1">
        <v>2710</v>
      </c>
      <c r="J26" s="1">
        <v>2618</v>
      </c>
      <c r="K26" s="1">
        <v>2262</v>
      </c>
      <c r="L26" s="1">
        <v>2208</v>
      </c>
      <c r="M26" s="1">
        <v>2172</v>
      </c>
      <c r="N26" s="399">
        <f t="shared" si="30"/>
        <v>28992</v>
      </c>
      <c r="O26" s="400"/>
      <c r="P26" s="398">
        <f t="shared" si="31"/>
        <v>28992</v>
      </c>
      <c r="Q26" s="288" t="s">
        <v>39</v>
      </c>
      <c r="R26" s="257">
        <f t="shared" si="4"/>
        <v>2762</v>
      </c>
      <c r="S26" s="257">
        <f t="shared" si="0"/>
        <v>2771</v>
      </c>
      <c r="T26" s="317">
        <f t="shared" si="5"/>
        <v>2364</v>
      </c>
      <c r="U26" s="318">
        <f t="shared" si="1"/>
        <v>2762</v>
      </c>
      <c r="Z26" s="225">
        <f t="shared" si="2"/>
        <v>1992</v>
      </c>
      <c r="AA26" s="320">
        <f t="shared" si="6"/>
        <v>1</v>
      </c>
      <c r="AB26" s="321">
        <f t="shared" si="7"/>
        <v>0.77805937726285301</v>
      </c>
      <c r="AC26" s="321">
        <f t="shared" si="8"/>
        <v>0.76578852399855646</v>
      </c>
      <c r="AD26" s="321">
        <f t="shared" si="9"/>
        <v>0.79357632623601593</v>
      </c>
      <c r="AE26" s="321">
        <f t="shared" si="10"/>
        <v>0.86322627210393355</v>
      </c>
      <c r="AF26" s="321">
        <f t="shared" si="11"/>
        <v>0.94803320101046551</v>
      </c>
      <c r="AG26" s="321">
        <f t="shared" si="12"/>
        <v>1</v>
      </c>
      <c r="AH26" s="321">
        <f t="shared" si="13"/>
        <v>0.97798628653915554</v>
      </c>
      <c r="AI26" s="321">
        <f t="shared" si="14"/>
        <v>0.94478527607361962</v>
      </c>
      <c r="AJ26" s="321">
        <f t="shared" si="15"/>
        <v>0.81631180079393717</v>
      </c>
      <c r="AK26" s="321" t="str">
        <f t="shared" si="16"/>
        <v xml:space="preserve"> </v>
      </c>
      <c r="AL26" s="369">
        <f t="shared" si="17"/>
        <v>0.76939426142401701</v>
      </c>
      <c r="AN26" s="1">
        <f t="shared" si="3"/>
        <v>1992</v>
      </c>
      <c r="AO26" s="20">
        <f t="shared" si="18"/>
        <v>499</v>
      </c>
      <c r="AP26" s="1">
        <f t="shared" si="19"/>
        <v>-273</v>
      </c>
      <c r="AQ26" s="1">
        <f t="shared" si="20"/>
        <v>-118</v>
      </c>
      <c r="AR26" s="1">
        <f t="shared" si="21"/>
        <v>-264</v>
      </c>
      <c r="AS26" s="1">
        <f t="shared" si="22"/>
        <v>-86</v>
      </c>
      <c r="AT26" s="1">
        <f t="shared" si="23"/>
        <v>133</v>
      </c>
      <c r="AU26" s="1">
        <f t="shared" si="24"/>
        <v>194</v>
      </c>
      <c r="AV26" s="1">
        <f t="shared" si="25"/>
        <v>32</v>
      </c>
      <c r="AW26" s="1">
        <f t="shared" si="26"/>
        <v>-26</v>
      </c>
      <c r="AX26" s="1">
        <f t="shared" si="27"/>
        <v>-112</v>
      </c>
      <c r="AY26" s="1">
        <f t="shared" si="28"/>
        <v>-156</v>
      </c>
      <c r="AZ26" s="1">
        <f t="shared" si="29"/>
        <v>-149</v>
      </c>
    </row>
    <row r="27" spans="1:52" ht="15.75">
      <c r="A27" s="225">
        <f>'Instant Old no Delete'!A27</f>
        <v>1993</v>
      </c>
      <c r="B27" s="20">
        <v>2302</v>
      </c>
      <c r="C27" s="1">
        <v>2437</v>
      </c>
      <c r="D27" s="21">
        <v>2823</v>
      </c>
      <c r="E27" s="1">
        <v>1969</v>
      </c>
      <c r="F27" s="1">
        <v>2298</v>
      </c>
      <c r="G27" s="1">
        <v>2661</v>
      </c>
      <c r="H27" s="1">
        <v>2777</v>
      </c>
      <c r="I27" s="22">
        <v>2852</v>
      </c>
      <c r="J27" s="1">
        <v>2643</v>
      </c>
      <c r="K27" s="1">
        <v>2430</v>
      </c>
      <c r="L27" s="1">
        <v>2216</v>
      </c>
      <c r="M27" s="1">
        <v>2495</v>
      </c>
      <c r="N27" s="399">
        <f t="shared" si="30"/>
        <v>29903</v>
      </c>
      <c r="O27" s="400"/>
      <c r="P27" s="398">
        <f t="shared" si="31"/>
        <v>29903</v>
      </c>
      <c r="Q27" s="288" t="s">
        <v>40</v>
      </c>
      <c r="R27" s="257">
        <f t="shared" si="4"/>
        <v>2823</v>
      </c>
      <c r="S27" s="257">
        <f t="shared" si="0"/>
        <v>2852</v>
      </c>
      <c r="T27" s="317">
        <f t="shared" si="5"/>
        <v>2208</v>
      </c>
      <c r="U27" s="318">
        <f t="shared" si="1"/>
        <v>2823</v>
      </c>
      <c r="Z27" s="225">
        <f t="shared" si="2"/>
        <v>1993</v>
      </c>
      <c r="AA27" s="320">
        <f t="shared" si="6"/>
        <v>0.81544456252213959</v>
      </c>
      <c r="AB27" s="321">
        <f t="shared" si="7"/>
        <v>0.86326602904711303</v>
      </c>
      <c r="AC27" s="321" t="str">
        <f t="shared" si="8"/>
        <v xml:space="preserve"> </v>
      </c>
      <c r="AD27" s="321">
        <f t="shared" si="9"/>
        <v>0.69039270687237031</v>
      </c>
      <c r="AE27" s="321">
        <f t="shared" si="10"/>
        <v>0.80575035063113609</v>
      </c>
      <c r="AF27" s="321">
        <f t="shared" si="11"/>
        <v>0.93302945301542772</v>
      </c>
      <c r="AG27" s="321">
        <f t="shared" si="12"/>
        <v>0.97370266479663392</v>
      </c>
      <c r="AH27" s="321">
        <f t="shared" si="13"/>
        <v>1</v>
      </c>
      <c r="AI27" s="321">
        <f t="shared" si="14"/>
        <v>0.92671809256661997</v>
      </c>
      <c r="AJ27" s="321">
        <f t="shared" si="15"/>
        <v>0.85203366058906027</v>
      </c>
      <c r="AK27" s="321" t="str">
        <f t="shared" si="16"/>
        <v xml:space="preserve"> </v>
      </c>
      <c r="AL27" s="369">
        <f t="shared" si="17"/>
        <v>0.93515742128935531</v>
      </c>
      <c r="AN27" s="1">
        <f t="shared" si="3"/>
        <v>1993</v>
      </c>
      <c r="AO27" s="20">
        <f t="shared" si="18"/>
        <v>-460</v>
      </c>
      <c r="AP27" s="1">
        <f t="shared" si="19"/>
        <v>288</v>
      </c>
      <c r="AQ27" s="1">
        <f t="shared" si="20"/>
        <v>701</v>
      </c>
      <c r="AR27" s="1">
        <f t="shared" si="21"/>
        <v>-230</v>
      </c>
      <c r="AS27" s="1">
        <f t="shared" si="22"/>
        <v>-94</v>
      </c>
      <c r="AT27" s="1">
        <f t="shared" si="23"/>
        <v>34</v>
      </c>
      <c r="AU27" s="1">
        <f t="shared" si="24"/>
        <v>6</v>
      </c>
      <c r="AV27" s="1">
        <f t="shared" si="25"/>
        <v>142</v>
      </c>
      <c r="AW27" s="1">
        <f t="shared" si="26"/>
        <v>25</v>
      </c>
      <c r="AX27" s="1">
        <f t="shared" si="27"/>
        <v>168</v>
      </c>
      <c r="AY27" s="1">
        <f t="shared" si="28"/>
        <v>8</v>
      </c>
      <c r="AZ27" s="1">
        <f t="shared" si="29"/>
        <v>323</v>
      </c>
    </row>
    <row r="28" spans="1:52" ht="15.75">
      <c r="A28" s="225">
        <f>'Instant Old no Delete'!A28</f>
        <v>1994</v>
      </c>
      <c r="B28" s="20">
        <v>2536</v>
      </c>
      <c r="C28" s="21">
        <v>2668</v>
      </c>
      <c r="D28" s="1">
        <v>2360</v>
      </c>
      <c r="E28" s="1">
        <v>2378</v>
      </c>
      <c r="F28" s="1">
        <v>2565</v>
      </c>
      <c r="G28" s="22">
        <v>2754</v>
      </c>
      <c r="H28" s="1">
        <v>2657</v>
      </c>
      <c r="I28" s="1">
        <v>2619</v>
      </c>
      <c r="J28" s="1">
        <v>2633</v>
      </c>
      <c r="K28" s="1">
        <v>2414</v>
      </c>
      <c r="L28" s="1">
        <v>2230</v>
      </c>
      <c r="M28" s="1">
        <v>2056</v>
      </c>
      <c r="N28" s="399">
        <f t="shared" si="30"/>
        <v>29870</v>
      </c>
      <c r="O28" s="400"/>
      <c r="P28" s="398">
        <f t="shared" si="31"/>
        <v>29870</v>
      </c>
      <c r="Q28" s="288" t="s">
        <v>41</v>
      </c>
      <c r="R28" s="257">
        <f t="shared" si="4"/>
        <v>2668</v>
      </c>
      <c r="S28" s="257">
        <f t="shared" si="0"/>
        <v>2754</v>
      </c>
      <c r="T28" s="317">
        <f t="shared" si="5"/>
        <v>2495</v>
      </c>
      <c r="U28" s="318">
        <f t="shared" si="1"/>
        <v>2668</v>
      </c>
      <c r="Z28" s="225">
        <f t="shared" si="2"/>
        <v>1994</v>
      </c>
      <c r="AA28" s="320">
        <f t="shared" si="6"/>
        <v>0.95052473763118439</v>
      </c>
      <c r="AB28" s="321">
        <f t="shared" si="7"/>
        <v>1</v>
      </c>
      <c r="AC28" s="321">
        <f t="shared" si="8"/>
        <v>0.85693536673928827</v>
      </c>
      <c r="AD28" s="321">
        <f t="shared" si="9"/>
        <v>0.86347131445170666</v>
      </c>
      <c r="AE28" s="321">
        <f t="shared" si="10"/>
        <v>0.93137254901960786</v>
      </c>
      <c r="AF28" s="321">
        <f t="shared" si="11"/>
        <v>1</v>
      </c>
      <c r="AG28" s="321">
        <f t="shared" si="12"/>
        <v>0.9647785039941903</v>
      </c>
      <c r="AH28" s="321">
        <f t="shared" si="13"/>
        <v>0.9509803921568627</v>
      </c>
      <c r="AI28" s="321">
        <f t="shared" si="14"/>
        <v>0.95606390704429922</v>
      </c>
      <c r="AJ28" s="321">
        <f t="shared" si="15"/>
        <v>0.87654320987654322</v>
      </c>
      <c r="AK28" s="321" t="str">
        <f t="shared" si="16"/>
        <v xml:space="preserve"> </v>
      </c>
      <c r="AL28" s="369" t="str">
        <f t="shared" si="17"/>
        <v xml:space="preserve"> </v>
      </c>
      <c r="AN28" s="1">
        <f t="shared" si="3"/>
        <v>1994</v>
      </c>
      <c r="AO28" s="20">
        <f t="shared" si="18"/>
        <v>234</v>
      </c>
      <c r="AP28" s="1">
        <f t="shared" si="19"/>
        <v>231</v>
      </c>
      <c r="AQ28" s="1">
        <f t="shared" si="20"/>
        <v>-463</v>
      </c>
      <c r="AR28" s="1">
        <f t="shared" si="21"/>
        <v>409</v>
      </c>
      <c r="AS28" s="1">
        <f t="shared" si="22"/>
        <v>267</v>
      </c>
      <c r="AT28" s="1">
        <f t="shared" si="23"/>
        <v>93</v>
      </c>
      <c r="AU28" s="1">
        <f t="shared" si="24"/>
        <v>-120</v>
      </c>
      <c r="AV28" s="1">
        <f t="shared" si="25"/>
        <v>-233</v>
      </c>
      <c r="AW28" s="1">
        <f t="shared" si="26"/>
        <v>-10</v>
      </c>
      <c r="AX28" s="1">
        <f t="shared" si="27"/>
        <v>-16</v>
      </c>
      <c r="AY28" s="1">
        <f t="shared" si="28"/>
        <v>14</v>
      </c>
      <c r="AZ28" s="1">
        <f t="shared" si="29"/>
        <v>-439</v>
      </c>
    </row>
    <row r="29" spans="1:52" ht="15.75">
      <c r="A29" s="225">
        <f>'Instant Old no Delete'!A29</f>
        <v>1995</v>
      </c>
      <c r="B29" s="20">
        <v>2760</v>
      </c>
      <c r="C29" s="21">
        <v>3170</v>
      </c>
      <c r="D29" s="1">
        <v>2113</v>
      </c>
      <c r="E29" s="1">
        <v>2502</v>
      </c>
      <c r="F29" s="1">
        <v>2899</v>
      </c>
      <c r="G29" s="1">
        <v>2817</v>
      </c>
      <c r="H29" s="1">
        <v>2888</v>
      </c>
      <c r="I29" s="22">
        <v>2900</v>
      </c>
      <c r="J29" s="1">
        <v>2805</v>
      </c>
      <c r="K29" s="1">
        <v>2678</v>
      </c>
      <c r="L29" s="1">
        <v>2401</v>
      </c>
      <c r="M29" s="1">
        <v>2691</v>
      </c>
      <c r="N29" s="399">
        <f t="shared" si="30"/>
        <v>32624</v>
      </c>
      <c r="O29" s="400"/>
      <c r="P29" s="398">
        <f t="shared" si="31"/>
        <v>32624</v>
      </c>
      <c r="Q29" s="288" t="s">
        <v>42</v>
      </c>
      <c r="R29" s="257">
        <f t="shared" si="4"/>
        <v>3170</v>
      </c>
      <c r="S29" s="257">
        <f t="shared" si="0"/>
        <v>2900</v>
      </c>
      <c r="T29" s="317">
        <f t="shared" si="5"/>
        <v>2230</v>
      </c>
      <c r="U29" s="318">
        <f t="shared" si="1"/>
        <v>3170</v>
      </c>
      <c r="Z29" s="225">
        <f t="shared" si="2"/>
        <v>1995</v>
      </c>
      <c r="AA29" s="320">
        <f t="shared" si="6"/>
        <v>0.87066246056782337</v>
      </c>
      <c r="AB29" s="321">
        <f t="shared" si="7"/>
        <v>1</v>
      </c>
      <c r="AC29" s="321" t="str">
        <f t="shared" si="8"/>
        <v xml:space="preserve"> </v>
      </c>
      <c r="AD29" s="321">
        <f t="shared" si="9"/>
        <v>0.86275862068965514</v>
      </c>
      <c r="AE29" s="321">
        <f t="shared" si="10"/>
        <v>0.99965517241379309</v>
      </c>
      <c r="AF29" s="321">
        <f t="shared" si="11"/>
        <v>0.97137931034482761</v>
      </c>
      <c r="AG29" s="321">
        <f t="shared" si="12"/>
        <v>0.99586206896551721</v>
      </c>
      <c r="AH29" s="321">
        <f t="shared" si="13"/>
        <v>1</v>
      </c>
      <c r="AI29" s="321">
        <f t="shared" si="14"/>
        <v>0.96724137931034482</v>
      </c>
      <c r="AJ29" s="321">
        <f t="shared" si="15"/>
        <v>0.92344827586206901</v>
      </c>
      <c r="AK29" s="321" t="str">
        <f t="shared" si="16"/>
        <v xml:space="preserve"> </v>
      </c>
      <c r="AL29" s="369">
        <f t="shared" si="17"/>
        <v>0.80304386750223811</v>
      </c>
      <c r="AN29" s="1">
        <f t="shared" si="3"/>
        <v>1995</v>
      </c>
      <c r="AO29" s="20">
        <f t="shared" si="18"/>
        <v>224</v>
      </c>
      <c r="AP29" s="1">
        <f t="shared" si="19"/>
        <v>502</v>
      </c>
      <c r="AQ29" s="1">
        <f t="shared" si="20"/>
        <v>-247</v>
      </c>
      <c r="AR29" s="1">
        <f t="shared" si="21"/>
        <v>124</v>
      </c>
      <c r="AS29" s="1">
        <f t="shared" si="22"/>
        <v>334</v>
      </c>
      <c r="AT29" s="1">
        <f t="shared" si="23"/>
        <v>63</v>
      </c>
      <c r="AU29" s="1">
        <f t="shared" si="24"/>
        <v>231</v>
      </c>
      <c r="AV29" s="1">
        <f t="shared" si="25"/>
        <v>281</v>
      </c>
      <c r="AW29" s="1">
        <f t="shared" si="26"/>
        <v>172</v>
      </c>
      <c r="AX29" s="1">
        <f t="shared" si="27"/>
        <v>264</v>
      </c>
      <c r="AY29" s="1">
        <f t="shared" si="28"/>
        <v>171</v>
      </c>
      <c r="AZ29" s="1">
        <f t="shared" si="29"/>
        <v>635</v>
      </c>
    </row>
    <row r="30" spans="1:52" ht="15.75">
      <c r="A30" s="225">
        <f>'Instant Old no Delete'!A30</f>
        <v>1996</v>
      </c>
      <c r="B30" s="20">
        <v>3257</v>
      </c>
      <c r="C30" s="21">
        <v>3351</v>
      </c>
      <c r="D30" s="1">
        <v>2681</v>
      </c>
      <c r="E30" s="1">
        <v>2568</v>
      </c>
      <c r="F30" s="1">
        <v>2709</v>
      </c>
      <c r="G30" s="1">
        <v>2810</v>
      </c>
      <c r="H30" s="22">
        <v>2997</v>
      </c>
      <c r="I30" s="1">
        <v>2940</v>
      </c>
      <c r="J30" s="1">
        <v>2979</v>
      </c>
      <c r="K30" s="1">
        <v>2699</v>
      </c>
      <c r="L30" s="1">
        <v>2575</v>
      </c>
      <c r="M30" s="1">
        <v>2977</v>
      </c>
      <c r="N30" s="399">
        <f t="shared" si="30"/>
        <v>34543</v>
      </c>
      <c r="O30" s="400"/>
      <c r="P30" s="398">
        <f t="shared" si="31"/>
        <v>34543</v>
      </c>
      <c r="Q30" s="288" t="s">
        <v>43</v>
      </c>
      <c r="R30" s="257">
        <f t="shared" si="4"/>
        <v>3351</v>
      </c>
      <c r="S30" s="257">
        <f t="shared" si="0"/>
        <v>2997</v>
      </c>
      <c r="T30" s="317">
        <f t="shared" si="5"/>
        <v>2691</v>
      </c>
      <c r="U30" s="318">
        <f t="shared" si="1"/>
        <v>3351</v>
      </c>
      <c r="Z30" s="225">
        <f t="shared" si="2"/>
        <v>1996</v>
      </c>
      <c r="AA30" s="320">
        <f t="shared" si="6"/>
        <v>0.97194867203819757</v>
      </c>
      <c r="AB30" s="321">
        <f t="shared" si="7"/>
        <v>1</v>
      </c>
      <c r="AC30" s="321" t="str">
        <f t="shared" si="8"/>
        <v xml:space="preserve"> </v>
      </c>
      <c r="AD30" s="321">
        <f t="shared" si="9"/>
        <v>0.85685685685685686</v>
      </c>
      <c r="AE30" s="321">
        <f t="shared" si="10"/>
        <v>0.90390390390390385</v>
      </c>
      <c r="AF30" s="321">
        <f t="shared" si="11"/>
        <v>0.93760427093760423</v>
      </c>
      <c r="AG30" s="321">
        <f t="shared" si="12"/>
        <v>1</v>
      </c>
      <c r="AH30" s="321">
        <f t="shared" si="13"/>
        <v>0.98098098098098097</v>
      </c>
      <c r="AI30" s="321">
        <f t="shared" si="14"/>
        <v>0.99399399399399402</v>
      </c>
      <c r="AJ30" s="321">
        <f t="shared" si="15"/>
        <v>0.90056723390056725</v>
      </c>
      <c r="AK30" s="321" t="str">
        <f t="shared" si="16"/>
        <v xml:space="preserve"> </v>
      </c>
      <c r="AL30" s="369">
        <f t="shared" si="17"/>
        <v>0.95477870429762668</v>
      </c>
      <c r="AN30" s="1">
        <f t="shared" si="3"/>
        <v>1996</v>
      </c>
      <c r="AO30" s="20">
        <f t="shared" si="18"/>
        <v>497</v>
      </c>
      <c r="AP30" s="1">
        <f t="shared" si="19"/>
        <v>181</v>
      </c>
      <c r="AQ30" s="1">
        <f t="shared" si="20"/>
        <v>568</v>
      </c>
      <c r="AR30" s="1">
        <f t="shared" si="21"/>
        <v>66</v>
      </c>
      <c r="AS30" s="1">
        <f t="shared" si="22"/>
        <v>-190</v>
      </c>
      <c r="AT30" s="1">
        <f t="shared" si="23"/>
        <v>-7</v>
      </c>
      <c r="AU30" s="1">
        <f t="shared" si="24"/>
        <v>109</v>
      </c>
      <c r="AV30" s="1">
        <f t="shared" si="25"/>
        <v>40</v>
      </c>
      <c r="AW30" s="1">
        <f t="shared" si="26"/>
        <v>174</v>
      </c>
      <c r="AX30" s="1">
        <f t="shared" si="27"/>
        <v>21</v>
      </c>
      <c r="AY30" s="1">
        <f t="shared" si="28"/>
        <v>174</v>
      </c>
      <c r="AZ30" s="1">
        <f t="shared" si="29"/>
        <v>286</v>
      </c>
    </row>
    <row r="31" spans="1:52" ht="15.75">
      <c r="A31" s="225">
        <f>'Instant Old no Delete'!A31</f>
        <v>1997</v>
      </c>
      <c r="B31" s="27">
        <v>3118</v>
      </c>
      <c r="C31" s="1">
        <v>2343</v>
      </c>
      <c r="D31" s="1">
        <v>2340</v>
      </c>
      <c r="E31" s="1">
        <v>2410</v>
      </c>
      <c r="F31" s="22">
        <v>3001</v>
      </c>
      <c r="G31" s="1">
        <v>2984</v>
      </c>
      <c r="H31" s="1">
        <v>2973</v>
      </c>
      <c r="I31" s="1">
        <v>2971</v>
      </c>
      <c r="J31" s="1">
        <v>2920</v>
      </c>
      <c r="K31" s="1">
        <v>2677</v>
      </c>
      <c r="L31" s="1">
        <v>2094</v>
      </c>
      <c r="M31" s="1">
        <v>2481</v>
      </c>
      <c r="N31" s="399">
        <f t="shared" si="30"/>
        <v>32312</v>
      </c>
      <c r="O31" s="400"/>
      <c r="P31" s="398">
        <f t="shared" si="31"/>
        <v>32312</v>
      </c>
      <c r="Q31" s="288" t="s">
        <v>44</v>
      </c>
      <c r="R31" s="257">
        <f t="shared" si="4"/>
        <v>3118</v>
      </c>
      <c r="S31" s="257">
        <f t="shared" si="0"/>
        <v>3001</v>
      </c>
      <c r="T31" s="317">
        <f t="shared" si="5"/>
        <v>2977</v>
      </c>
      <c r="U31" s="318">
        <f t="shared" si="1"/>
        <v>3118</v>
      </c>
      <c r="Z31" s="225">
        <f t="shared" si="2"/>
        <v>1997</v>
      </c>
      <c r="AA31" s="320">
        <f t="shared" si="6"/>
        <v>1</v>
      </c>
      <c r="AB31" s="321">
        <f t="shared" si="7"/>
        <v>0.75144323284156511</v>
      </c>
      <c r="AC31" s="321">
        <f t="shared" si="8"/>
        <v>0.77974008663778738</v>
      </c>
      <c r="AD31" s="321">
        <f t="shared" si="9"/>
        <v>0.8030656447850717</v>
      </c>
      <c r="AE31" s="321">
        <f t="shared" si="10"/>
        <v>1</v>
      </c>
      <c r="AF31" s="321">
        <f t="shared" si="11"/>
        <v>0.99433522159280241</v>
      </c>
      <c r="AG31" s="321">
        <f t="shared" si="12"/>
        <v>0.99066977674108625</v>
      </c>
      <c r="AH31" s="321">
        <f t="shared" si="13"/>
        <v>0.99000333222259251</v>
      </c>
      <c r="AI31" s="321">
        <f t="shared" si="14"/>
        <v>0.97300899700099963</v>
      </c>
      <c r="AJ31" s="321">
        <f t="shared" si="15"/>
        <v>0.89203598800399864</v>
      </c>
      <c r="AK31" s="321">
        <f t="shared" si="16"/>
        <v>0.67158434894162922</v>
      </c>
      <c r="AL31" s="369" t="str">
        <f t="shared" si="17"/>
        <v xml:space="preserve"> </v>
      </c>
      <c r="AN31" s="1">
        <f t="shared" si="3"/>
        <v>1997</v>
      </c>
      <c r="AO31" s="20">
        <f t="shared" si="18"/>
        <v>-139</v>
      </c>
      <c r="AP31" s="1">
        <f t="shared" si="19"/>
        <v>-1008</v>
      </c>
      <c r="AQ31" s="1">
        <f t="shared" si="20"/>
        <v>-341</v>
      </c>
      <c r="AR31" s="1">
        <f t="shared" si="21"/>
        <v>-158</v>
      </c>
      <c r="AS31" s="1">
        <f t="shared" si="22"/>
        <v>292</v>
      </c>
      <c r="AT31" s="1">
        <f t="shared" si="23"/>
        <v>174</v>
      </c>
      <c r="AU31" s="1">
        <f t="shared" si="24"/>
        <v>-24</v>
      </c>
      <c r="AV31" s="1">
        <f t="shared" si="25"/>
        <v>31</v>
      </c>
      <c r="AW31" s="1">
        <f t="shared" si="26"/>
        <v>-59</v>
      </c>
      <c r="AX31" s="1">
        <f t="shared" si="27"/>
        <v>-22</v>
      </c>
      <c r="AY31" s="1">
        <f t="shared" si="28"/>
        <v>-481</v>
      </c>
      <c r="AZ31" s="1">
        <f t="shared" si="29"/>
        <v>-496</v>
      </c>
    </row>
    <row r="32" spans="1:52" ht="15.75">
      <c r="A32" s="225">
        <f>'Instant Old no Delete'!A32</f>
        <v>1998</v>
      </c>
      <c r="B32" s="20">
        <v>2352</v>
      </c>
      <c r="C32" s="1">
        <v>2524</v>
      </c>
      <c r="D32" s="21">
        <v>2710</v>
      </c>
      <c r="E32" s="1">
        <v>2527</v>
      </c>
      <c r="F32" s="1">
        <v>2920</v>
      </c>
      <c r="G32" s="1">
        <v>3216</v>
      </c>
      <c r="H32" s="1">
        <v>3180</v>
      </c>
      <c r="I32" s="22">
        <v>3266</v>
      </c>
      <c r="J32" s="1">
        <v>3003</v>
      </c>
      <c r="K32" s="1">
        <v>3012</v>
      </c>
      <c r="L32" s="1">
        <v>2476</v>
      </c>
      <c r="M32" s="1">
        <v>2355</v>
      </c>
      <c r="N32" s="399">
        <f t="shared" si="30"/>
        <v>33541</v>
      </c>
      <c r="O32" s="400"/>
      <c r="P32" s="398">
        <f t="shared" si="31"/>
        <v>33541</v>
      </c>
      <c r="Q32" s="288" t="s">
        <v>45</v>
      </c>
      <c r="R32" s="257">
        <f t="shared" si="4"/>
        <v>2710</v>
      </c>
      <c r="S32" s="257">
        <f t="shared" si="0"/>
        <v>3266</v>
      </c>
      <c r="T32" s="317">
        <f t="shared" si="5"/>
        <v>2481</v>
      </c>
      <c r="U32" s="318">
        <f t="shared" si="1"/>
        <v>2710</v>
      </c>
      <c r="Z32" s="225">
        <f t="shared" si="2"/>
        <v>1998</v>
      </c>
      <c r="AA32" s="320">
        <f t="shared" si="6"/>
        <v>0.86789667896678968</v>
      </c>
      <c r="AB32" s="321">
        <f t="shared" si="7"/>
        <v>0.93136531365313657</v>
      </c>
      <c r="AC32" s="321" t="str">
        <f t="shared" si="8"/>
        <v xml:space="preserve"> </v>
      </c>
      <c r="AD32" s="321">
        <f t="shared" si="9"/>
        <v>0.77372933251684017</v>
      </c>
      <c r="AE32" s="321">
        <f t="shared" si="10"/>
        <v>0.8940600122473974</v>
      </c>
      <c r="AF32" s="321">
        <f t="shared" si="11"/>
        <v>0.98469075321494182</v>
      </c>
      <c r="AG32" s="321">
        <f t="shared" si="12"/>
        <v>0.97366809552969991</v>
      </c>
      <c r="AH32" s="321">
        <f t="shared" si="13"/>
        <v>1</v>
      </c>
      <c r="AI32" s="321">
        <f t="shared" si="14"/>
        <v>0.91947336191059403</v>
      </c>
      <c r="AJ32" s="321">
        <f t="shared" si="15"/>
        <v>0.92222902633190451</v>
      </c>
      <c r="AK32" s="321" t="str">
        <f t="shared" si="16"/>
        <v xml:space="preserve"> </v>
      </c>
      <c r="AL32" s="369">
        <f t="shared" si="17"/>
        <v>0.69081842182458197</v>
      </c>
      <c r="AN32" s="1">
        <f t="shared" si="3"/>
        <v>1998</v>
      </c>
      <c r="AO32" s="20">
        <f t="shared" si="18"/>
        <v>-766</v>
      </c>
      <c r="AP32" s="1">
        <f t="shared" si="19"/>
        <v>181</v>
      </c>
      <c r="AQ32" s="1">
        <f t="shared" si="20"/>
        <v>370</v>
      </c>
      <c r="AR32" s="1">
        <f t="shared" si="21"/>
        <v>117</v>
      </c>
      <c r="AS32" s="1">
        <f t="shared" si="22"/>
        <v>-81</v>
      </c>
      <c r="AT32" s="1">
        <f t="shared" si="23"/>
        <v>232</v>
      </c>
      <c r="AU32" s="1">
        <f t="shared" si="24"/>
        <v>207</v>
      </c>
      <c r="AV32" s="1">
        <f t="shared" si="25"/>
        <v>295</v>
      </c>
      <c r="AW32" s="1">
        <f t="shared" si="26"/>
        <v>83</v>
      </c>
      <c r="AX32" s="1">
        <f t="shared" si="27"/>
        <v>335</v>
      </c>
      <c r="AY32" s="1">
        <f t="shared" si="28"/>
        <v>382</v>
      </c>
      <c r="AZ32" s="1">
        <f t="shared" si="29"/>
        <v>-126</v>
      </c>
    </row>
    <row r="33" spans="1:52" ht="15.75">
      <c r="A33" s="225">
        <f>'Instant Old no Delete'!A33</f>
        <v>1999</v>
      </c>
      <c r="B33" s="27">
        <v>3409</v>
      </c>
      <c r="C33" s="1">
        <v>2727</v>
      </c>
      <c r="D33" s="1">
        <v>2411</v>
      </c>
      <c r="E33" s="1">
        <v>2949</v>
      </c>
      <c r="F33" s="1">
        <v>2893</v>
      </c>
      <c r="G33" s="1">
        <v>3026</v>
      </c>
      <c r="H33" s="1">
        <v>3320</v>
      </c>
      <c r="I33" s="22">
        <v>3372</v>
      </c>
      <c r="J33" s="1">
        <v>3057</v>
      </c>
      <c r="K33" s="1">
        <v>2832</v>
      </c>
      <c r="L33" s="1">
        <v>2318</v>
      </c>
      <c r="M33" s="1">
        <v>2610</v>
      </c>
      <c r="N33" s="399">
        <f t="shared" si="30"/>
        <v>34924</v>
      </c>
      <c r="O33" s="400"/>
      <c r="P33" s="398">
        <f t="shared" si="31"/>
        <v>34924</v>
      </c>
      <c r="Q33" s="288" t="s">
        <v>46</v>
      </c>
      <c r="R33" s="257">
        <f t="shared" si="4"/>
        <v>3409</v>
      </c>
      <c r="S33" s="257">
        <f t="shared" si="0"/>
        <v>3372</v>
      </c>
      <c r="T33" s="317">
        <f t="shared" si="5"/>
        <v>2476</v>
      </c>
      <c r="U33" s="318">
        <f t="shared" si="1"/>
        <v>3409</v>
      </c>
      <c r="Z33" s="225">
        <f t="shared" si="2"/>
        <v>1999</v>
      </c>
      <c r="AA33" s="320">
        <f t="shared" si="6"/>
        <v>1</v>
      </c>
      <c r="AB33" s="321">
        <f t="shared" si="7"/>
        <v>0.79994133176884719</v>
      </c>
      <c r="AC33" s="321" t="str">
        <f t="shared" si="8"/>
        <v xml:space="preserve"> </v>
      </c>
      <c r="AD33" s="321">
        <f t="shared" si="9"/>
        <v>0.8745551601423488</v>
      </c>
      <c r="AE33" s="321">
        <f t="shared" si="10"/>
        <v>0.85794780545670224</v>
      </c>
      <c r="AF33" s="321">
        <f t="shared" si="11"/>
        <v>0.89739027283511275</v>
      </c>
      <c r="AG33" s="321">
        <f t="shared" si="12"/>
        <v>0.98457888493475687</v>
      </c>
      <c r="AH33" s="321">
        <f t="shared" si="13"/>
        <v>1</v>
      </c>
      <c r="AI33" s="321">
        <f t="shared" si="14"/>
        <v>0.90658362989323849</v>
      </c>
      <c r="AJ33" s="321">
        <f t="shared" si="15"/>
        <v>0.83985765124555156</v>
      </c>
      <c r="AK33" s="321" t="str">
        <f t="shared" si="16"/>
        <v xml:space="preserve"> </v>
      </c>
      <c r="AL33" s="369">
        <f t="shared" si="17"/>
        <v>0.75982532751091703</v>
      </c>
      <c r="AN33" s="1">
        <f t="shared" si="3"/>
        <v>1999</v>
      </c>
      <c r="AO33" s="20">
        <f t="shared" si="18"/>
        <v>1057</v>
      </c>
      <c r="AP33" s="1">
        <f t="shared" si="19"/>
        <v>203</v>
      </c>
      <c r="AQ33" s="1">
        <f t="shared" si="20"/>
        <v>-299</v>
      </c>
      <c r="AR33" s="1">
        <f t="shared" si="21"/>
        <v>422</v>
      </c>
      <c r="AS33" s="1">
        <f t="shared" si="22"/>
        <v>-27</v>
      </c>
      <c r="AT33" s="1">
        <f t="shared" si="23"/>
        <v>-190</v>
      </c>
      <c r="AU33" s="1">
        <f t="shared" si="24"/>
        <v>140</v>
      </c>
      <c r="AV33" s="1">
        <f t="shared" si="25"/>
        <v>106</v>
      </c>
      <c r="AW33" s="1">
        <f t="shared" si="26"/>
        <v>54</v>
      </c>
      <c r="AX33" s="1">
        <f t="shared" si="27"/>
        <v>-180</v>
      </c>
      <c r="AY33" s="1">
        <f t="shared" si="28"/>
        <v>-158</v>
      </c>
      <c r="AZ33" s="1">
        <f t="shared" si="29"/>
        <v>255</v>
      </c>
    </row>
    <row r="34" spans="1:52" ht="15.75">
      <c r="A34" s="225">
        <f>'Instant Old no Delete'!A34</f>
        <v>2000</v>
      </c>
      <c r="B34" s="27">
        <v>3435</v>
      </c>
      <c r="C34" s="1">
        <v>2859</v>
      </c>
      <c r="D34" s="1">
        <v>2628</v>
      </c>
      <c r="E34" s="1">
        <v>2552</v>
      </c>
      <c r="F34" s="1">
        <v>3175</v>
      </c>
      <c r="G34" s="1">
        <v>3245</v>
      </c>
      <c r="H34" s="1">
        <v>3236</v>
      </c>
      <c r="I34" s="22">
        <v>3303</v>
      </c>
      <c r="J34" s="1">
        <v>3229</v>
      </c>
      <c r="K34" s="1">
        <v>2935</v>
      </c>
      <c r="L34" s="1">
        <v>2619</v>
      </c>
      <c r="M34" s="1">
        <v>3326</v>
      </c>
      <c r="N34" s="399">
        <f t="shared" si="30"/>
        <v>36542</v>
      </c>
      <c r="O34" s="400"/>
      <c r="P34" s="398">
        <f t="shared" si="31"/>
        <v>36542</v>
      </c>
      <c r="Q34" s="288" t="s">
        <v>47</v>
      </c>
      <c r="R34" s="257">
        <f t="shared" si="4"/>
        <v>3435</v>
      </c>
      <c r="S34" s="257">
        <f t="shared" si="0"/>
        <v>3303</v>
      </c>
      <c r="T34" s="317">
        <f t="shared" si="5"/>
        <v>2610</v>
      </c>
      <c r="U34" s="318">
        <f t="shared" si="1"/>
        <v>3435</v>
      </c>
      <c r="Z34" s="225">
        <f t="shared" si="2"/>
        <v>2000</v>
      </c>
      <c r="AA34" s="320">
        <f t="shared" si="6"/>
        <v>1</v>
      </c>
      <c r="AB34" s="321">
        <f t="shared" si="7"/>
        <v>0.83231441048034938</v>
      </c>
      <c r="AC34" s="321">
        <f t="shared" si="8"/>
        <v>0.79564032697547682</v>
      </c>
      <c r="AD34" s="321">
        <f t="shared" si="9"/>
        <v>0.77263094156827128</v>
      </c>
      <c r="AE34" s="321">
        <f t="shared" si="10"/>
        <v>0.96124735089312741</v>
      </c>
      <c r="AF34" s="321">
        <f t="shared" si="11"/>
        <v>0.98244020587344838</v>
      </c>
      <c r="AG34" s="321">
        <f t="shared" si="12"/>
        <v>0.97971541023312136</v>
      </c>
      <c r="AH34" s="321">
        <f t="shared" si="13"/>
        <v>1</v>
      </c>
      <c r="AI34" s="321">
        <f t="shared" si="14"/>
        <v>0.97759612473508928</v>
      </c>
      <c r="AJ34" s="321">
        <f t="shared" si="15"/>
        <v>0.88858613381774143</v>
      </c>
      <c r="AK34" s="321">
        <f t="shared" si="16"/>
        <v>0.76244541484716155</v>
      </c>
      <c r="AL34" s="369">
        <f t="shared" si="17"/>
        <v>0.87503288608260987</v>
      </c>
      <c r="AN34" s="1">
        <f t="shared" ref="AN34:AN39" si="32">Z34</f>
        <v>2000</v>
      </c>
      <c r="AO34" s="76">
        <f t="shared" si="18"/>
        <v>26</v>
      </c>
      <c r="AP34" s="68">
        <f t="shared" si="19"/>
        <v>132</v>
      </c>
      <c r="AQ34" s="68">
        <f t="shared" si="20"/>
        <v>217</v>
      </c>
      <c r="AR34" s="68">
        <f t="shared" si="21"/>
        <v>-397</v>
      </c>
      <c r="AS34" s="68">
        <f t="shared" si="22"/>
        <v>282</v>
      </c>
      <c r="AT34" s="68">
        <f t="shared" si="23"/>
        <v>219</v>
      </c>
      <c r="AU34" s="68">
        <f t="shared" si="24"/>
        <v>-84</v>
      </c>
      <c r="AV34" s="68">
        <f t="shared" si="25"/>
        <v>-69</v>
      </c>
      <c r="AW34" s="68">
        <f t="shared" si="26"/>
        <v>172</v>
      </c>
      <c r="AX34" s="68">
        <f t="shared" si="27"/>
        <v>103</v>
      </c>
      <c r="AY34" s="68">
        <f t="shared" si="28"/>
        <v>301</v>
      </c>
      <c r="AZ34" s="68">
        <f t="shared" si="29"/>
        <v>716</v>
      </c>
    </row>
    <row r="35" spans="1:52" ht="15.75">
      <c r="A35" s="225">
        <f>'Instant Old no Delete'!A35</f>
        <v>2001</v>
      </c>
      <c r="B35" s="27">
        <v>3801</v>
      </c>
      <c r="C35" s="1">
        <v>2881</v>
      </c>
      <c r="D35" s="1">
        <v>2511</v>
      </c>
      <c r="E35" s="1">
        <v>2903</v>
      </c>
      <c r="F35" s="1">
        <v>3257</v>
      </c>
      <c r="G35" s="1">
        <v>3427</v>
      </c>
      <c r="H35" s="1">
        <v>3305</v>
      </c>
      <c r="I35" s="22">
        <v>3448</v>
      </c>
      <c r="J35" s="1">
        <v>3274</v>
      </c>
      <c r="K35" s="1">
        <v>3023</v>
      </c>
      <c r="L35" s="1">
        <v>2456</v>
      </c>
      <c r="M35" s="1">
        <v>2534</v>
      </c>
      <c r="N35" s="399">
        <f t="shared" si="30"/>
        <v>36820</v>
      </c>
      <c r="O35" s="400"/>
      <c r="P35" s="398">
        <f t="shared" si="31"/>
        <v>36820</v>
      </c>
      <c r="Q35" s="288" t="s">
        <v>235</v>
      </c>
      <c r="R35" s="257">
        <f t="shared" si="4"/>
        <v>3801</v>
      </c>
      <c r="S35" s="257">
        <f t="shared" si="0"/>
        <v>3448</v>
      </c>
      <c r="T35" s="317">
        <f t="shared" si="5"/>
        <v>3326</v>
      </c>
      <c r="U35" s="318">
        <f t="shared" si="1"/>
        <v>3801</v>
      </c>
      <c r="Z35" s="225">
        <f t="shared" si="2"/>
        <v>2001</v>
      </c>
      <c r="AA35" s="320">
        <f t="shared" si="6"/>
        <v>1</v>
      </c>
      <c r="AB35" s="321">
        <f t="shared" si="7"/>
        <v>0.75795843199158119</v>
      </c>
      <c r="AC35" s="321">
        <f t="shared" si="8"/>
        <v>0.72824825986078889</v>
      </c>
      <c r="AD35" s="321">
        <f t="shared" si="9"/>
        <v>0.84193735498839906</v>
      </c>
      <c r="AE35" s="321">
        <f t="shared" si="10"/>
        <v>0.94460556844547561</v>
      </c>
      <c r="AF35" s="321">
        <f t="shared" si="11"/>
        <v>0.99390951276102091</v>
      </c>
      <c r="AG35" s="321">
        <f t="shared" si="12"/>
        <v>0.95852668213457082</v>
      </c>
      <c r="AH35" s="321">
        <f t="shared" si="13"/>
        <v>1</v>
      </c>
      <c r="AI35" s="321">
        <f t="shared" si="14"/>
        <v>0.94953596287703013</v>
      </c>
      <c r="AJ35" s="321">
        <f t="shared" si="15"/>
        <v>0.87674013921113692</v>
      </c>
      <c r="AK35" s="321"/>
      <c r="AL35" s="369" t="str">
        <f t="shared" si="17"/>
        <v xml:space="preserve"> </v>
      </c>
      <c r="AN35" s="1">
        <f t="shared" si="32"/>
        <v>2001</v>
      </c>
      <c r="AO35" s="76">
        <f t="shared" si="18"/>
        <v>366</v>
      </c>
      <c r="AP35" s="68">
        <f t="shared" si="19"/>
        <v>22</v>
      </c>
      <c r="AQ35" s="68">
        <f t="shared" si="20"/>
        <v>-117</v>
      </c>
      <c r="AR35" s="68">
        <f t="shared" si="21"/>
        <v>351</v>
      </c>
      <c r="AS35" s="68">
        <f t="shared" si="22"/>
        <v>82</v>
      </c>
      <c r="AT35" s="68">
        <f t="shared" si="23"/>
        <v>182</v>
      </c>
      <c r="AU35" s="68">
        <f t="shared" si="24"/>
        <v>69</v>
      </c>
      <c r="AV35" s="68">
        <f t="shared" si="25"/>
        <v>145</v>
      </c>
      <c r="AW35" s="68">
        <f t="shared" si="26"/>
        <v>45</v>
      </c>
      <c r="AX35" s="68">
        <f t="shared" si="27"/>
        <v>88</v>
      </c>
      <c r="AY35" s="68">
        <f t="shared" si="28"/>
        <v>-163</v>
      </c>
      <c r="AZ35" s="68">
        <f t="shared" si="29"/>
        <v>-792</v>
      </c>
    </row>
    <row r="36" spans="1:52" ht="15.75">
      <c r="A36" s="225">
        <f>'Instant Old no Delete'!A36</f>
        <v>2002</v>
      </c>
      <c r="B36" s="27">
        <v>3612</v>
      </c>
      <c r="C36" s="1">
        <v>3236</v>
      </c>
      <c r="D36" s="1">
        <v>3068</v>
      </c>
      <c r="E36" s="1">
        <v>3302</v>
      </c>
      <c r="F36" s="1">
        <v>3500</v>
      </c>
      <c r="G36" s="1">
        <v>3459</v>
      </c>
      <c r="H36" s="22">
        <v>3634</v>
      </c>
      <c r="I36" s="1">
        <v>3442</v>
      </c>
      <c r="J36" s="1">
        <v>3474</v>
      </c>
      <c r="K36" s="1">
        <v>3304</v>
      </c>
      <c r="L36" s="1">
        <v>3012</v>
      </c>
      <c r="M36" s="1">
        <v>2992</v>
      </c>
      <c r="N36" s="399">
        <f t="shared" si="30"/>
        <v>40035</v>
      </c>
      <c r="O36" s="400"/>
      <c r="P36" s="398">
        <f t="shared" si="31"/>
        <v>40035</v>
      </c>
      <c r="Q36" s="288" t="s">
        <v>92</v>
      </c>
      <c r="R36" s="257">
        <f t="shared" si="4"/>
        <v>3612</v>
      </c>
      <c r="S36" s="257">
        <f t="shared" si="0"/>
        <v>3634</v>
      </c>
      <c r="T36" s="317">
        <f t="shared" si="5"/>
        <v>2534</v>
      </c>
      <c r="U36" s="318">
        <f t="shared" si="1"/>
        <v>3612</v>
      </c>
      <c r="Z36" s="225">
        <f t="shared" si="2"/>
        <v>2002</v>
      </c>
      <c r="AA36" s="320">
        <f t="shared" si="6"/>
        <v>1</v>
      </c>
      <c r="AB36" s="321">
        <f t="shared" si="7"/>
        <v>0.89590254706533778</v>
      </c>
      <c r="AC36" s="321" t="str">
        <f t="shared" si="8"/>
        <v xml:space="preserve"> </v>
      </c>
      <c r="AD36" s="321">
        <f t="shared" si="9"/>
        <v>0.90864061640066041</v>
      </c>
      <c r="AE36" s="321">
        <f t="shared" si="10"/>
        <v>0.96312603192074853</v>
      </c>
      <c r="AF36" s="321">
        <f t="shared" si="11"/>
        <v>0.95184369840396255</v>
      </c>
      <c r="AG36" s="321">
        <f t="shared" si="12"/>
        <v>1</v>
      </c>
      <c r="AH36" s="321">
        <f t="shared" si="13"/>
        <v>0.94716565767749039</v>
      </c>
      <c r="AI36" s="321">
        <f t="shared" si="14"/>
        <v>0.9559713813979086</v>
      </c>
      <c r="AJ36" s="321">
        <f t="shared" si="15"/>
        <v>0.90919097413318661</v>
      </c>
      <c r="AK36" s="321"/>
      <c r="AL36" s="369">
        <f t="shared" si="17"/>
        <v>0.77093532594692094</v>
      </c>
      <c r="AN36" s="1">
        <f t="shared" si="32"/>
        <v>2002</v>
      </c>
      <c r="AO36" s="76">
        <f t="shared" si="18"/>
        <v>-189</v>
      </c>
      <c r="AP36" s="68">
        <f t="shared" si="19"/>
        <v>355</v>
      </c>
      <c r="AQ36" s="68">
        <f t="shared" si="20"/>
        <v>557</v>
      </c>
      <c r="AR36" s="68">
        <f t="shared" si="21"/>
        <v>399</v>
      </c>
      <c r="AS36" s="68">
        <f t="shared" si="22"/>
        <v>243</v>
      </c>
      <c r="AT36" s="68">
        <f t="shared" si="23"/>
        <v>32</v>
      </c>
      <c r="AU36" s="68">
        <f t="shared" si="24"/>
        <v>329</v>
      </c>
      <c r="AV36" s="68">
        <f t="shared" si="25"/>
        <v>-6</v>
      </c>
      <c r="AW36" s="68">
        <f t="shared" si="26"/>
        <v>200</v>
      </c>
      <c r="AX36" s="68">
        <f t="shared" si="27"/>
        <v>281</v>
      </c>
      <c r="AY36" s="68">
        <f t="shared" si="28"/>
        <v>556</v>
      </c>
      <c r="AZ36" s="68">
        <f t="shared" si="29"/>
        <v>458</v>
      </c>
    </row>
    <row r="37" spans="1:52" ht="15.75">
      <c r="A37" s="225">
        <f>'Instant Old no Delete'!A37</f>
        <v>2003</v>
      </c>
      <c r="B37" s="27">
        <v>3881</v>
      </c>
      <c r="C37" s="1">
        <v>2645</v>
      </c>
      <c r="D37" s="1">
        <v>3006</v>
      </c>
      <c r="E37" s="1">
        <v>3094</v>
      </c>
      <c r="F37" s="1">
        <v>3476</v>
      </c>
      <c r="G37" s="1">
        <v>3472</v>
      </c>
      <c r="H37" s="22">
        <v>3623</v>
      </c>
      <c r="I37" s="1">
        <v>3479</v>
      </c>
      <c r="J37" s="1">
        <v>3429</v>
      </c>
      <c r="K37" s="1">
        <v>3294</v>
      </c>
      <c r="L37" s="1">
        <v>3109</v>
      </c>
      <c r="M37" s="1">
        <v>3113</v>
      </c>
      <c r="N37" s="399">
        <f t="shared" si="30"/>
        <v>39621</v>
      </c>
      <c r="O37" s="400"/>
      <c r="P37" s="398">
        <f t="shared" si="31"/>
        <v>39621</v>
      </c>
      <c r="Q37" s="288" t="s">
        <v>233</v>
      </c>
      <c r="R37" s="257">
        <f>MAX(T37:U37)</f>
        <v>3881</v>
      </c>
      <c r="S37" s="257">
        <f t="shared" si="0"/>
        <v>3623</v>
      </c>
      <c r="T37" s="317">
        <f t="shared" si="5"/>
        <v>3012</v>
      </c>
      <c r="U37" s="318">
        <f t="shared" si="1"/>
        <v>3881</v>
      </c>
      <c r="Z37" s="225">
        <f t="shared" si="2"/>
        <v>2003</v>
      </c>
      <c r="AA37" s="320">
        <f t="shared" si="6"/>
        <v>1</v>
      </c>
      <c r="AB37" s="321">
        <f t="shared" si="7"/>
        <v>0.68152538005668639</v>
      </c>
      <c r="AC37" s="321">
        <f t="shared" si="8"/>
        <v>0.82969914435550651</v>
      </c>
      <c r="AD37" s="321">
        <f t="shared" si="9"/>
        <v>0.85398840739718462</v>
      </c>
      <c r="AE37" s="321">
        <f t="shared" si="10"/>
        <v>0.95942589014628765</v>
      </c>
      <c r="AF37" s="321">
        <f t="shared" si="11"/>
        <v>0.95832183273530225</v>
      </c>
      <c r="AG37" s="321">
        <f t="shared" si="12"/>
        <v>1</v>
      </c>
      <c r="AH37" s="321">
        <f t="shared" si="13"/>
        <v>0.96025393320452668</v>
      </c>
      <c r="AI37" s="321">
        <f t="shared" si="14"/>
        <v>0.94645321556720952</v>
      </c>
      <c r="AJ37" s="321">
        <f t="shared" si="15"/>
        <v>0.90919127794645327</v>
      </c>
      <c r="AK37" s="321"/>
      <c r="AL37" s="369">
        <f t="shared" si="17"/>
        <v>0.93092105263157898</v>
      </c>
      <c r="AN37" s="1">
        <f t="shared" si="32"/>
        <v>2003</v>
      </c>
      <c r="AO37" s="76">
        <f t="shared" si="18"/>
        <v>269</v>
      </c>
      <c r="AP37" s="68">
        <f t="shared" si="19"/>
        <v>-591</v>
      </c>
      <c r="AQ37" s="68">
        <f t="shared" si="20"/>
        <v>-62</v>
      </c>
      <c r="AR37" s="68">
        <f t="shared" si="21"/>
        <v>-208</v>
      </c>
      <c r="AS37" s="68">
        <f t="shared" si="22"/>
        <v>-24</v>
      </c>
      <c r="AT37" s="68">
        <f t="shared" si="23"/>
        <v>13</v>
      </c>
      <c r="AU37" s="68">
        <f t="shared" si="24"/>
        <v>-11</v>
      </c>
      <c r="AV37" s="68">
        <f t="shared" si="25"/>
        <v>37</v>
      </c>
      <c r="AW37" s="68">
        <f t="shared" si="26"/>
        <v>-45</v>
      </c>
      <c r="AX37" s="68">
        <f t="shared" si="27"/>
        <v>-10</v>
      </c>
      <c r="AY37" s="68">
        <f t="shared" si="28"/>
        <v>97</v>
      </c>
      <c r="AZ37" s="68">
        <f t="shared" si="29"/>
        <v>121</v>
      </c>
    </row>
    <row r="38" spans="1:52" ht="15.75">
      <c r="A38" s="225">
        <f>'Instant Old no Delete'!A38</f>
        <v>2004</v>
      </c>
      <c r="B38" s="27">
        <v>3344</v>
      </c>
      <c r="C38" s="1">
        <v>3053</v>
      </c>
      <c r="D38" s="1">
        <v>2561</v>
      </c>
      <c r="E38" s="1">
        <v>3168</v>
      </c>
      <c r="F38" s="1">
        <v>3504</v>
      </c>
      <c r="G38" s="22">
        <v>3737</v>
      </c>
      <c r="H38" s="1">
        <v>3617</v>
      </c>
      <c r="I38" s="1">
        <v>3668</v>
      </c>
      <c r="J38" s="1">
        <v>3553</v>
      </c>
      <c r="K38" s="1">
        <v>3390</v>
      </c>
      <c r="L38" s="1">
        <v>3044</v>
      </c>
      <c r="M38" s="1">
        <v>3287</v>
      </c>
      <c r="N38" s="399">
        <f t="shared" si="30"/>
        <v>39926</v>
      </c>
      <c r="O38" s="400"/>
      <c r="P38" s="398">
        <f t="shared" si="31"/>
        <v>39926</v>
      </c>
      <c r="Q38" s="288" t="s">
        <v>234</v>
      </c>
      <c r="R38" s="257">
        <f>MAX(T38:U38)</f>
        <v>3344</v>
      </c>
      <c r="S38" s="257">
        <f t="shared" si="0"/>
        <v>3737</v>
      </c>
      <c r="T38" s="317">
        <f t="shared" si="5"/>
        <v>3113</v>
      </c>
      <c r="U38" s="318">
        <f t="shared" si="1"/>
        <v>3344</v>
      </c>
      <c r="Z38" s="225">
        <f t="shared" si="2"/>
        <v>2004</v>
      </c>
      <c r="AA38" s="320">
        <f t="shared" si="6"/>
        <v>1</v>
      </c>
      <c r="AB38" s="321">
        <f t="shared" si="7"/>
        <v>0.9129784688995215</v>
      </c>
      <c r="AC38" s="321">
        <f t="shared" si="8"/>
        <v>0.68530907144768527</v>
      </c>
      <c r="AD38" s="321">
        <f t="shared" si="9"/>
        <v>0.84773882793684774</v>
      </c>
      <c r="AE38" s="321">
        <f t="shared" si="10"/>
        <v>0.9376505218089376</v>
      </c>
      <c r="AF38" s="321">
        <f t="shared" si="11"/>
        <v>1</v>
      </c>
      <c r="AG38" s="321">
        <f t="shared" si="12"/>
        <v>0.96788868075996792</v>
      </c>
      <c r="AH38" s="321">
        <f t="shared" si="13"/>
        <v>0.98153599143698156</v>
      </c>
      <c r="AI38" s="321">
        <f t="shared" si="14"/>
        <v>0.95076264383195075</v>
      </c>
      <c r="AJ38" s="321">
        <f t="shared" si="15"/>
        <v>0.9071447685309072</v>
      </c>
      <c r="AK38" s="321"/>
      <c r="AL38" s="369">
        <f t="shared" si="17"/>
        <v>0.89175257731958768</v>
      </c>
      <c r="AN38" s="1">
        <f t="shared" si="32"/>
        <v>2004</v>
      </c>
      <c r="AO38" s="76">
        <f t="shared" si="18"/>
        <v>-537</v>
      </c>
      <c r="AP38" s="68">
        <f t="shared" si="19"/>
        <v>408</v>
      </c>
      <c r="AQ38" s="68">
        <f t="shared" si="20"/>
        <v>-445</v>
      </c>
      <c r="AR38" s="68">
        <f t="shared" si="21"/>
        <v>74</v>
      </c>
      <c r="AS38" s="68">
        <f t="shared" si="22"/>
        <v>28</v>
      </c>
      <c r="AT38" s="68">
        <f t="shared" si="23"/>
        <v>265</v>
      </c>
      <c r="AU38" s="68">
        <f t="shared" si="24"/>
        <v>-6</v>
      </c>
      <c r="AV38" s="68">
        <f t="shared" si="25"/>
        <v>189</v>
      </c>
      <c r="AW38" s="68">
        <f t="shared" si="26"/>
        <v>124</v>
      </c>
      <c r="AX38" s="68">
        <f t="shared" si="27"/>
        <v>96</v>
      </c>
      <c r="AY38" s="68">
        <f t="shared" si="28"/>
        <v>-65</v>
      </c>
      <c r="AZ38" s="68">
        <f t="shared" si="29"/>
        <v>174</v>
      </c>
    </row>
    <row r="39" spans="1:52" ht="15.75">
      <c r="A39" s="225">
        <f>'Instant Old no Delete'!A39</f>
        <v>2005</v>
      </c>
      <c r="B39" s="27">
        <v>3686</v>
      </c>
      <c r="C39" s="1">
        <v>2816</v>
      </c>
      <c r="D39" s="1">
        <v>2955</v>
      </c>
      <c r="E39" s="1">
        <v>2942</v>
      </c>
      <c r="F39" s="1">
        <v>3485</v>
      </c>
      <c r="G39" s="1">
        <v>3756</v>
      </c>
      <c r="H39" s="1">
        <v>3930</v>
      </c>
      <c r="I39" s="22">
        <v>3968</v>
      </c>
      <c r="J39" s="1">
        <v>3691</v>
      </c>
      <c r="K39" s="1">
        <v>3482</v>
      </c>
      <c r="L39" s="1">
        <v>2842</v>
      </c>
      <c r="M39" s="1">
        <v>3027</v>
      </c>
      <c r="N39" s="399">
        <f t="shared" si="30"/>
        <v>40580</v>
      </c>
      <c r="O39" s="400"/>
      <c r="P39" s="398">
        <f t="shared" si="31"/>
        <v>40580</v>
      </c>
      <c r="Q39" s="288" t="s">
        <v>236</v>
      </c>
      <c r="R39" s="257">
        <f>MAX(T39:U39)</f>
        <v>3686</v>
      </c>
      <c r="S39" s="257">
        <f t="shared" ref="S39:S56" si="33">MAX(E39:K39)</f>
        <v>3968</v>
      </c>
      <c r="T39" s="317">
        <f t="shared" si="5"/>
        <v>3287</v>
      </c>
      <c r="U39" s="318">
        <f t="shared" ref="U39:U56" si="34">MAX(B39:D39)</f>
        <v>3686</v>
      </c>
      <c r="Z39" s="225">
        <f t="shared" si="2"/>
        <v>2005</v>
      </c>
      <c r="AA39" s="320">
        <f t="shared" si="6"/>
        <v>1</v>
      </c>
      <c r="AB39" s="321">
        <f t="shared" si="7"/>
        <v>0.7639717851329354</v>
      </c>
      <c r="AC39" s="321">
        <f t="shared" si="8"/>
        <v>0.74470766129032262</v>
      </c>
      <c r="AD39" s="321">
        <f t="shared" si="9"/>
        <v>0.74143145161290325</v>
      </c>
      <c r="AE39" s="321">
        <f t="shared" si="10"/>
        <v>0.87827620967741937</v>
      </c>
      <c r="AF39" s="321">
        <f t="shared" si="11"/>
        <v>0.94657258064516125</v>
      </c>
      <c r="AG39" s="321">
        <f t="shared" si="12"/>
        <v>0.99042338709677424</v>
      </c>
      <c r="AH39" s="321">
        <f t="shared" si="13"/>
        <v>1</v>
      </c>
      <c r="AI39" s="321">
        <f t="shared" si="14"/>
        <v>0.9301915322580645</v>
      </c>
      <c r="AJ39" s="321">
        <f t="shared" si="15"/>
        <v>0.87752016129032262</v>
      </c>
      <c r="AK39" s="321"/>
      <c r="AL39" s="369">
        <f t="shared" si="17"/>
        <v>0.81022483940042822</v>
      </c>
      <c r="AN39" s="1">
        <f t="shared" si="32"/>
        <v>2005</v>
      </c>
      <c r="AO39" s="76">
        <f t="shared" si="18"/>
        <v>342</v>
      </c>
      <c r="AP39" s="68">
        <f t="shared" si="19"/>
        <v>-237</v>
      </c>
      <c r="AQ39" s="68">
        <f t="shared" si="20"/>
        <v>394</v>
      </c>
      <c r="AR39" s="68">
        <f t="shared" si="21"/>
        <v>-226</v>
      </c>
      <c r="AS39" s="68">
        <f t="shared" si="22"/>
        <v>-19</v>
      </c>
      <c r="AT39" s="68">
        <f t="shared" si="23"/>
        <v>19</v>
      </c>
      <c r="AU39" s="68">
        <f t="shared" si="24"/>
        <v>313</v>
      </c>
      <c r="AV39" s="68">
        <f t="shared" si="25"/>
        <v>300</v>
      </c>
      <c r="AW39" s="68">
        <f t="shared" si="26"/>
        <v>138</v>
      </c>
      <c r="AX39" s="68">
        <f t="shared" si="27"/>
        <v>92</v>
      </c>
      <c r="AY39" s="68">
        <f t="shared" si="28"/>
        <v>-202</v>
      </c>
      <c r="AZ39" s="68">
        <f t="shared" si="29"/>
        <v>-260</v>
      </c>
    </row>
    <row r="40" spans="1:52" ht="15.75">
      <c r="A40" s="225">
        <f>'Instant Old no Delete'!A40</f>
        <v>2006</v>
      </c>
      <c r="B40" s="322">
        <v>3041</v>
      </c>
      <c r="C40" s="21">
        <v>3736</v>
      </c>
      <c r="D40" s="1">
        <v>2787</v>
      </c>
      <c r="E40" s="1">
        <v>3433</v>
      </c>
      <c r="F40" s="1">
        <v>3628</v>
      </c>
      <c r="G40" s="1">
        <v>3824</v>
      </c>
      <c r="H40" s="1">
        <v>3919</v>
      </c>
      <c r="I40" s="22">
        <v>4010</v>
      </c>
      <c r="J40" s="1">
        <v>3714</v>
      </c>
      <c r="K40" s="1">
        <v>3540</v>
      </c>
      <c r="L40" s="1">
        <v>2978</v>
      </c>
      <c r="M40" s="1">
        <v>2679</v>
      </c>
      <c r="N40" s="399">
        <f t="shared" si="30"/>
        <v>41289</v>
      </c>
      <c r="O40" s="400"/>
      <c r="P40" s="398">
        <f t="shared" si="31"/>
        <v>41289</v>
      </c>
      <c r="Q40" s="288" t="s">
        <v>241</v>
      </c>
      <c r="R40" s="257">
        <f>MAX(T40:U40)</f>
        <v>3736</v>
      </c>
      <c r="S40" s="257">
        <f t="shared" si="33"/>
        <v>4010</v>
      </c>
      <c r="T40" s="317">
        <f t="shared" ref="T40:T56" si="35">MAX(L39:M39)</f>
        <v>3027</v>
      </c>
      <c r="U40" s="318">
        <f t="shared" si="34"/>
        <v>3736</v>
      </c>
      <c r="Z40" s="291">
        <f t="shared" si="2"/>
        <v>2006</v>
      </c>
      <c r="AA40" s="320">
        <f t="shared" si="6"/>
        <v>0.81397216274089934</v>
      </c>
      <c r="AB40" s="321">
        <f t="shared" si="7"/>
        <v>1</v>
      </c>
      <c r="AC40" s="321">
        <f t="shared" si="8"/>
        <v>0.69501246882793022</v>
      </c>
      <c r="AD40" s="321">
        <f t="shared" si="9"/>
        <v>0.85610972568578558</v>
      </c>
      <c r="AE40" s="321">
        <f t="shared" si="10"/>
        <v>0.90473815461346629</v>
      </c>
      <c r="AF40" s="321">
        <f t="shared" si="11"/>
        <v>0.95361596009975058</v>
      </c>
      <c r="AG40" s="321">
        <f t="shared" si="12"/>
        <v>0.97730673316708228</v>
      </c>
      <c r="AH40" s="321">
        <f t="shared" si="13"/>
        <v>1</v>
      </c>
      <c r="AI40" s="321">
        <f t="shared" si="14"/>
        <v>0.92618453865336658</v>
      </c>
      <c r="AJ40" s="321">
        <f t="shared" si="15"/>
        <v>0.88279301745635907</v>
      </c>
      <c r="AK40" s="321"/>
      <c r="AL40" s="369" t="str">
        <f t="shared" si="17"/>
        <v xml:space="preserve"> </v>
      </c>
      <c r="AN40" s="1">
        <f t="shared" ref="AN40:AN56" si="36">Z40</f>
        <v>2006</v>
      </c>
      <c r="AO40" s="76">
        <f t="shared" ref="AO40:AO56" si="37">B40-B39</f>
        <v>-645</v>
      </c>
      <c r="AP40" s="68">
        <f t="shared" ref="AP40:AP56" si="38">C40-C39</f>
        <v>920</v>
      </c>
      <c r="AQ40" s="68">
        <f t="shared" ref="AQ40:AQ56" si="39">D40-D39</f>
        <v>-168</v>
      </c>
      <c r="AR40" s="68">
        <f t="shared" ref="AR40:AR56" si="40">E40-E39</f>
        <v>491</v>
      </c>
      <c r="AS40" s="68">
        <f t="shared" ref="AS40:AS56" si="41">F40-F39</f>
        <v>143</v>
      </c>
      <c r="AT40" s="68">
        <f t="shared" ref="AT40:AT56" si="42">G40-G39</f>
        <v>68</v>
      </c>
      <c r="AU40" s="68">
        <f t="shared" ref="AU40:AU56" si="43">H40-H39</f>
        <v>-11</v>
      </c>
      <c r="AV40" s="68">
        <f t="shared" ref="AV40:AV56" si="44">I40-I39</f>
        <v>42</v>
      </c>
      <c r="AW40" s="68">
        <f t="shared" ref="AW40:AW56" si="45">J40-J39</f>
        <v>23</v>
      </c>
      <c r="AX40" s="68">
        <f t="shared" ref="AX40:AX56" si="46">K40-K39</f>
        <v>58</v>
      </c>
      <c r="AY40" s="68">
        <f t="shared" ref="AY40:AY56" si="47">L40-L39</f>
        <v>136</v>
      </c>
      <c r="AZ40" s="68">
        <f t="shared" ref="AZ40:AZ56" si="48">M40-M39</f>
        <v>-348</v>
      </c>
    </row>
    <row r="41" spans="1:52" ht="15.75">
      <c r="A41" s="225">
        <f>'Instant Old no Delete'!A41</f>
        <v>2007</v>
      </c>
      <c r="B41" s="260">
        <v>3262.6658364188684</v>
      </c>
      <c r="C41" s="192">
        <v>3397.6318480246068</v>
      </c>
      <c r="D41" s="68">
        <v>2975.3826337947949</v>
      </c>
      <c r="E41" s="68">
        <v>3248.9967657471825</v>
      </c>
      <c r="F41" s="68">
        <v>3486.1413082725194</v>
      </c>
      <c r="G41" s="68">
        <v>3807.665552806352</v>
      </c>
      <c r="H41" s="68">
        <v>3985.1114190034973</v>
      </c>
      <c r="I41" s="256">
        <v>4122.5669031326161</v>
      </c>
      <c r="J41" s="68">
        <v>3839.2350058867069</v>
      </c>
      <c r="K41" s="68">
        <v>3773.0643178142755</v>
      </c>
      <c r="L41" s="68">
        <v>2956.1576482011528</v>
      </c>
      <c r="M41" s="68">
        <v>2870.9401307799817</v>
      </c>
      <c r="N41" s="399">
        <f t="shared" si="30"/>
        <v>41725.559369882554</v>
      </c>
      <c r="O41" s="400"/>
      <c r="P41" s="398">
        <f t="shared" si="31"/>
        <v>41725.559369882554</v>
      </c>
      <c r="Q41" s="288" t="s">
        <v>244</v>
      </c>
      <c r="R41" s="257">
        <f>MAX(T41:U41)</f>
        <v>3397.6318480246068</v>
      </c>
      <c r="S41" s="257">
        <f t="shared" si="33"/>
        <v>4122.5669031326161</v>
      </c>
      <c r="T41" s="317">
        <f t="shared" si="35"/>
        <v>2978</v>
      </c>
      <c r="U41" s="318">
        <f t="shared" si="34"/>
        <v>3397.6318480246068</v>
      </c>
      <c r="Z41" s="291">
        <f t="shared" si="2"/>
        <v>2007</v>
      </c>
      <c r="AA41" s="320">
        <f t="shared" si="6"/>
        <v>0.96027644617111529</v>
      </c>
      <c r="AB41" s="321">
        <f t="shared" si="7"/>
        <v>1</v>
      </c>
      <c r="AC41" s="321">
        <f t="shared" si="8"/>
        <v>0.7217305876913459</v>
      </c>
      <c r="AD41" s="321">
        <f t="shared" si="9"/>
        <v>0.78810043404713859</v>
      </c>
      <c r="AE41" s="321">
        <f t="shared" si="10"/>
        <v>0.84562394988023215</v>
      </c>
      <c r="AF41" s="321">
        <f t="shared" si="11"/>
        <v>0.92361522378521499</v>
      </c>
      <c r="AG41" s="321">
        <f t="shared" si="12"/>
        <v>0.96665779176932931</v>
      </c>
      <c r="AH41" s="321">
        <f t="shared" si="13"/>
        <v>1</v>
      </c>
      <c r="AI41" s="321">
        <f t="shared" si="14"/>
        <v>0.93127294137285832</v>
      </c>
      <c r="AJ41" s="321">
        <f t="shared" si="15"/>
        <v>0.91522209498825502</v>
      </c>
      <c r="AK41" s="321" t="str">
        <f t="shared" ref="AK41:AK52" si="49">IF(L157&lt;1000,(L41/$R41)," ")</f>
        <v xml:space="preserve"> </v>
      </c>
      <c r="AL41" s="369" t="str">
        <f t="shared" si="17"/>
        <v xml:space="preserve"> </v>
      </c>
      <c r="AN41" s="1">
        <f t="shared" si="36"/>
        <v>2007</v>
      </c>
      <c r="AO41" s="76">
        <f t="shared" si="37"/>
        <v>221.66583641886837</v>
      </c>
      <c r="AP41" s="68">
        <f t="shared" si="38"/>
        <v>-338.36815197539318</v>
      </c>
      <c r="AQ41" s="68">
        <f t="shared" si="39"/>
        <v>188.38263379479486</v>
      </c>
      <c r="AR41" s="68">
        <f t="shared" si="40"/>
        <v>-184.00323425281749</v>
      </c>
      <c r="AS41" s="68">
        <f t="shared" si="41"/>
        <v>-141.85869172748062</v>
      </c>
      <c r="AT41" s="68">
        <f t="shared" si="42"/>
        <v>-16.334447193647975</v>
      </c>
      <c r="AU41" s="68">
        <f t="shared" si="43"/>
        <v>66.111419003497303</v>
      </c>
      <c r="AV41" s="68">
        <f t="shared" si="44"/>
        <v>112.56690313261606</v>
      </c>
      <c r="AW41" s="68">
        <f t="shared" si="45"/>
        <v>125.23500588670686</v>
      </c>
      <c r="AX41" s="68">
        <f t="shared" si="46"/>
        <v>233.06431781427546</v>
      </c>
      <c r="AY41" s="68">
        <f t="shared" si="47"/>
        <v>-21.842351798847176</v>
      </c>
      <c r="AZ41" s="68">
        <f t="shared" si="48"/>
        <v>191.9401307799817</v>
      </c>
    </row>
    <row r="42" spans="1:52" ht="15.75">
      <c r="A42" s="225">
        <f>'Instant Old no Delete'!A42</f>
        <v>2008</v>
      </c>
      <c r="B42" s="261">
        <v>3709.3210366761082</v>
      </c>
      <c r="C42" s="68">
        <v>2971.7372144866781</v>
      </c>
      <c r="D42" s="68">
        <v>2828.7203276982491</v>
      </c>
      <c r="E42" s="68">
        <v>3154.2265747708666</v>
      </c>
      <c r="F42" s="68">
        <v>3648.8737830120253</v>
      </c>
      <c r="G42" s="256">
        <v>3952.2974134773162</v>
      </c>
      <c r="H42" s="68">
        <v>3895.1308520058774</v>
      </c>
      <c r="I42" s="68">
        <v>3905.0977248671566</v>
      </c>
      <c r="J42" s="68">
        <v>3794.3752662087836</v>
      </c>
      <c r="K42" s="68">
        <v>3421.1480622652321</v>
      </c>
      <c r="L42" s="68">
        <v>2975.4377902353781</v>
      </c>
      <c r="M42" s="68">
        <v>3168.1064023405338</v>
      </c>
      <c r="N42" s="399">
        <f t="shared" si="30"/>
        <v>41424.472448044209</v>
      </c>
      <c r="O42" s="400"/>
      <c r="P42" s="398">
        <f t="shared" si="31"/>
        <v>41424.472448044209</v>
      </c>
      <c r="Q42" s="288" t="s">
        <v>245</v>
      </c>
      <c r="R42" s="257">
        <f t="shared" ref="R42:R48" si="50">MAX(T42:U42)</f>
        <v>3709.3210366761082</v>
      </c>
      <c r="S42" s="257">
        <f t="shared" si="33"/>
        <v>3952.2974134773162</v>
      </c>
      <c r="T42" s="317">
        <f t="shared" si="35"/>
        <v>2956.1576482011528</v>
      </c>
      <c r="U42" s="318">
        <f t="shared" si="34"/>
        <v>3709.3210366761082</v>
      </c>
      <c r="Z42" s="291">
        <f t="shared" si="2"/>
        <v>2008</v>
      </c>
      <c r="AA42" s="320">
        <f t="shared" si="6"/>
        <v>1</v>
      </c>
      <c r="AB42" s="321">
        <f t="shared" si="7"/>
        <v>0.80115395381081045</v>
      </c>
      <c r="AC42" s="321">
        <f t="shared" si="8"/>
        <v>0.71571545148710869</v>
      </c>
      <c r="AD42" s="321">
        <f t="shared" si="9"/>
        <v>0.79807419452163908</v>
      </c>
      <c r="AE42" s="321">
        <f t="shared" si="10"/>
        <v>0.92322854311757574</v>
      </c>
      <c r="AF42" s="321">
        <f t="shared" si="11"/>
        <v>1</v>
      </c>
      <c r="AG42" s="321">
        <f t="shared" si="12"/>
        <v>0.9855358654749764</v>
      </c>
      <c r="AH42" s="321">
        <f t="shared" si="13"/>
        <v>0.98805765769316622</v>
      </c>
      <c r="AI42" s="321">
        <f t="shared" si="14"/>
        <v>0.96004294951841962</v>
      </c>
      <c r="AJ42" s="321">
        <f t="shared" si="15"/>
        <v>0.86560997423906727</v>
      </c>
      <c r="AK42" s="321" t="str">
        <f t="shared" si="49"/>
        <v xml:space="preserve"> </v>
      </c>
      <c r="AL42" s="369">
        <f t="shared" si="17"/>
        <v>0.77655571928888101</v>
      </c>
      <c r="AN42" s="1">
        <f t="shared" si="36"/>
        <v>2008</v>
      </c>
      <c r="AO42" s="76">
        <f t="shared" si="37"/>
        <v>446.65520025723981</v>
      </c>
      <c r="AP42" s="68">
        <f t="shared" si="38"/>
        <v>-425.89463353792871</v>
      </c>
      <c r="AQ42" s="68">
        <f t="shared" si="39"/>
        <v>-146.66230609654576</v>
      </c>
      <c r="AR42" s="68">
        <f t="shared" si="40"/>
        <v>-94.770190976315916</v>
      </c>
      <c r="AS42" s="68">
        <f t="shared" si="41"/>
        <v>162.73247473950596</v>
      </c>
      <c r="AT42" s="68">
        <f t="shared" si="42"/>
        <v>144.63186067096422</v>
      </c>
      <c r="AU42" s="68">
        <f t="shared" si="43"/>
        <v>-89.980566997619917</v>
      </c>
      <c r="AV42" s="68">
        <f t="shared" si="44"/>
        <v>-217.4691782654595</v>
      </c>
      <c r="AW42" s="68">
        <f t="shared" si="45"/>
        <v>-44.859739677923244</v>
      </c>
      <c r="AX42" s="68">
        <f t="shared" si="46"/>
        <v>-351.9162555490434</v>
      </c>
      <c r="AY42" s="68">
        <f t="shared" si="47"/>
        <v>19.280142034225264</v>
      </c>
      <c r="AZ42" s="68">
        <f t="shared" si="48"/>
        <v>297.1662715605521</v>
      </c>
    </row>
    <row r="43" spans="1:52" ht="16.5" thickBot="1">
      <c r="A43" s="225">
        <f>'Instant Old no Delete'!A43</f>
        <v>2009</v>
      </c>
      <c r="B43" s="261">
        <v>4079.6897423428659</v>
      </c>
      <c r="C43" s="68">
        <v>3973.4863759652044</v>
      </c>
      <c r="D43" s="68">
        <v>3058.3970037223899</v>
      </c>
      <c r="E43" s="68">
        <v>3132.8901955356869</v>
      </c>
      <c r="F43" s="68">
        <v>3544.7276279205939</v>
      </c>
      <c r="G43" s="22">
        <v>4015</v>
      </c>
      <c r="H43" s="68">
        <v>3796</v>
      </c>
      <c r="I43" s="68">
        <v>3810</v>
      </c>
      <c r="J43" s="68">
        <v>3708.1155124202373</v>
      </c>
      <c r="K43" s="68">
        <v>3740.8517971637793</v>
      </c>
      <c r="L43" s="68">
        <v>2920.1812049530909</v>
      </c>
      <c r="M43" s="68">
        <v>2794.5774245145426</v>
      </c>
      <c r="N43" s="399">
        <f t="shared" si="30"/>
        <v>42573.91688453839</v>
      </c>
      <c r="O43" s="400"/>
      <c r="P43" s="398">
        <f t="shared" si="31"/>
        <v>42573.91688453839</v>
      </c>
      <c r="Q43" s="288" t="s">
        <v>253</v>
      </c>
      <c r="R43" s="257">
        <f t="shared" si="50"/>
        <v>4079.6897423428659</v>
      </c>
      <c r="S43" s="257">
        <f t="shared" si="33"/>
        <v>4015</v>
      </c>
      <c r="T43" s="317">
        <f t="shared" si="35"/>
        <v>3168.1064023405338</v>
      </c>
      <c r="U43" s="318">
        <f t="shared" si="34"/>
        <v>4079.6897423428659</v>
      </c>
      <c r="Z43" s="291">
        <f t="shared" si="2"/>
        <v>2009</v>
      </c>
      <c r="AA43" s="320">
        <f t="shared" si="6"/>
        <v>1</v>
      </c>
      <c r="AB43" s="321">
        <f t="shared" si="7"/>
        <v>0.97396778356074898</v>
      </c>
      <c r="AC43" s="321" t="str">
        <f t="shared" si="8"/>
        <v xml:space="preserve"> </v>
      </c>
      <c r="AD43" s="321">
        <f t="shared" si="9"/>
        <v>0.78029643724425579</v>
      </c>
      <c r="AE43" s="321">
        <f t="shared" si="10"/>
        <v>0.88287114020438207</v>
      </c>
      <c r="AF43" s="321">
        <f t="shared" si="11"/>
        <v>1</v>
      </c>
      <c r="AG43" s="321">
        <f t="shared" si="12"/>
        <v>0.94545454545454544</v>
      </c>
      <c r="AH43" s="321">
        <f t="shared" si="13"/>
        <v>0.94894146948941471</v>
      </c>
      <c r="AI43" s="321">
        <f t="shared" si="14"/>
        <v>0.92356550745211385</v>
      </c>
      <c r="AJ43" s="321">
        <f t="shared" si="15"/>
        <v>0.93171900302958388</v>
      </c>
      <c r="AK43" s="321" t="str">
        <f t="shared" si="49"/>
        <v xml:space="preserve"> </v>
      </c>
      <c r="AL43" s="369" t="str">
        <f t="shared" si="17"/>
        <v xml:space="preserve"> </v>
      </c>
      <c r="AN43" s="1">
        <f t="shared" si="36"/>
        <v>2009</v>
      </c>
      <c r="AO43" s="76">
        <f t="shared" si="37"/>
        <v>370.36870566675771</v>
      </c>
      <c r="AP43" s="68">
        <f t="shared" si="38"/>
        <v>1001.7491614785263</v>
      </c>
      <c r="AQ43" s="68">
        <f t="shared" si="39"/>
        <v>229.67667602414076</v>
      </c>
      <c r="AR43" s="68">
        <f t="shared" si="40"/>
        <v>-21.33637923517972</v>
      </c>
      <c r="AS43" s="68">
        <f t="shared" si="41"/>
        <v>-104.14615509143141</v>
      </c>
      <c r="AT43" s="68">
        <f t="shared" si="42"/>
        <v>62.70258652268376</v>
      </c>
      <c r="AU43" s="68">
        <f t="shared" si="43"/>
        <v>-99.130852005877387</v>
      </c>
      <c r="AV43" s="68">
        <f t="shared" si="44"/>
        <v>-95.097724867156558</v>
      </c>
      <c r="AW43" s="68">
        <f t="shared" si="45"/>
        <v>-86.259753788546277</v>
      </c>
      <c r="AX43" s="68">
        <f t="shared" si="46"/>
        <v>319.70373489854728</v>
      </c>
      <c r="AY43" s="68">
        <f t="shared" si="47"/>
        <v>-55.256585282287233</v>
      </c>
      <c r="AZ43" s="68">
        <f t="shared" si="48"/>
        <v>-373.52897782599121</v>
      </c>
    </row>
    <row r="44" spans="1:52" ht="16.5" thickBot="1">
      <c r="A44" s="225">
        <f>'Instant Old no Delete'!A44</f>
        <v>2010</v>
      </c>
      <c r="B44" s="262">
        <v>4512.1433449373289</v>
      </c>
      <c r="C44" s="68">
        <v>3446.9567787946576</v>
      </c>
      <c r="D44" s="68">
        <v>3305</v>
      </c>
      <c r="E44" s="68">
        <v>2909.2478843996569</v>
      </c>
      <c r="F44" s="68">
        <v>3649.4604212766476</v>
      </c>
      <c r="G44" s="256">
        <v>3917.3073213553184</v>
      </c>
      <c r="H44" s="68">
        <v>3912.3781921401342</v>
      </c>
      <c r="I44" s="68">
        <v>3907.9970231564048</v>
      </c>
      <c r="J44" s="68">
        <v>3702.0736333139571</v>
      </c>
      <c r="K44" s="68">
        <v>3365.7907415599575</v>
      </c>
      <c r="L44" s="68">
        <v>2955.5881132041072</v>
      </c>
      <c r="M44" s="232">
        <v>4009.6574484194452</v>
      </c>
      <c r="N44" s="399">
        <f t="shared" si="30"/>
        <v>43593.600902557613</v>
      </c>
      <c r="O44" s="400">
        <f>SUM('[1]System, Demand &amp; Generation Rep'!$C$40:$N$40)</f>
        <v>43532.543412142004</v>
      </c>
      <c r="P44" s="398">
        <f t="shared" si="31"/>
        <v>61.057490415609209</v>
      </c>
      <c r="Q44" s="288" t="s">
        <v>254</v>
      </c>
      <c r="R44" s="287">
        <f t="shared" si="50"/>
        <v>4512.1433449373289</v>
      </c>
      <c r="S44" s="257">
        <f t="shared" si="33"/>
        <v>3917.3073213553184</v>
      </c>
      <c r="T44" s="317">
        <f t="shared" si="35"/>
        <v>2920.1812049530909</v>
      </c>
      <c r="U44" s="318">
        <f t="shared" si="34"/>
        <v>4512.1433449373289</v>
      </c>
      <c r="Z44" s="291">
        <f t="shared" si="2"/>
        <v>2010</v>
      </c>
      <c r="AA44" s="320">
        <f t="shared" si="6"/>
        <v>1</v>
      </c>
      <c r="AB44" s="321">
        <f t="shared" si="7"/>
        <v>0.76392891698845922</v>
      </c>
      <c r="AC44" s="321" t="str">
        <f t="shared" si="8"/>
        <v xml:space="preserve"> </v>
      </c>
      <c r="AD44" s="321">
        <f t="shared" si="9"/>
        <v>0.742665215092981</v>
      </c>
      <c r="AE44" s="321">
        <f t="shared" si="10"/>
        <v>0.93162474166412845</v>
      </c>
      <c r="AF44" s="321">
        <f t="shared" si="11"/>
        <v>1</v>
      </c>
      <c r="AG44" s="321">
        <f t="shared" si="12"/>
        <v>0.99874170474491164</v>
      </c>
      <c r="AH44" s="321">
        <f t="shared" si="13"/>
        <v>0.99762329134909633</v>
      </c>
      <c r="AI44" s="321">
        <f t="shared" si="14"/>
        <v>0.94505570526264093</v>
      </c>
      <c r="AJ44" s="321">
        <f t="shared" si="15"/>
        <v>0.859210285394574</v>
      </c>
      <c r="AK44" s="321" t="str">
        <f t="shared" si="49"/>
        <v xml:space="preserve"> </v>
      </c>
      <c r="AL44" s="369">
        <f t="shared" si="17"/>
        <v>1</v>
      </c>
      <c r="AN44" s="1">
        <f t="shared" si="36"/>
        <v>2010</v>
      </c>
      <c r="AO44" s="76">
        <f t="shared" si="37"/>
        <v>432.45360259446306</v>
      </c>
      <c r="AP44" s="68">
        <f t="shared" si="38"/>
        <v>-526.52959717054682</v>
      </c>
      <c r="AQ44" s="68">
        <f t="shared" si="39"/>
        <v>246.60299627761015</v>
      </c>
      <c r="AR44" s="68">
        <f t="shared" si="40"/>
        <v>-223.64231113603</v>
      </c>
      <c r="AS44" s="68">
        <f t="shared" si="41"/>
        <v>104.73279335605366</v>
      </c>
      <c r="AT44" s="68">
        <f t="shared" si="42"/>
        <v>-97.692678644681564</v>
      </c>
      <c r="AU44" s="68">
        <f t="shared" si="43"/>
        <v>116.37819214013416</v>
      </c>
      <c r="AV44" s="68">
        <f t="shared" si="44"/>
        <v>97.997023156404794</v>
      </c>
      <c r="AW44" s="68">
        <f t="shared" si="45"/>
        <v>-6.0418791062802484</v>
      </c>
      <c r="AX44" s="68">
        <f t="shared" si="46"/>
        <v>-375.06105560382184</v>
      </c>
      <c r="AY44" s="68">
        <f t="shared" si="47"/>
        <v>35.406908251016375</v>
      </c>
      <c r="AZ44" s="68">
        <f t="shared" si="48"/>
        <v>1215.0800239049026</v>
      </c>
    </row>
    <row r="45" spans="1:52" ht="15.75">
      <c r="A45" s="225">
        <f>'Instant Old no Delete'!A45</f>
        <v>2011</v>
      </c>
      <c r="B45" s="260">
        <v>3811.9723925726394</v>
      </c>
      <c r="C45" s="68">
        <v>2939.8602575525056</v>
      </c>
      <c r="D45" s="68">
        <v>2696.6887531557081</v>
      </c>
      <c r="E45" s="68">
        <v>3419.6014846558933</v>
      </c>
      <c r="F45" s="68">
        <v>3572.3086153971872</v>
      </c>
      <c r="G45" s="68">
        <v>3888.7959445727106</v>
      </c>
      <c r="H45" s="68">
        <v>3768.3462431219737</v>
      </c>
      <c r="I45" s="256">
        <v>3931.0615628757678</v>
      </c>
      <c r="J45" s="68">
        <v>3617.6011075894135</v>
      </c>
      <c r="K45" s="68">
        <v>3066.854047350645</v>
      </c>
      <c r="L45" s="68">
        <v>2817.3179433615815</v>
      </c>
      <c r="M45" s="68">
        <v>2454.644010675192</v>
      </c>
      <c r="N45" s="399">
        <f t="shared" si="30"/>
        <v>39985.052362881215</v>
      </c>
      <c r="O45" s="400">
        <f>SUM('[2]System, Demand &amp; Generation Rep'!$C$42:$N$42)</f>
        <v>39985.052362881215</v>
      </c>
      <c r="P45" s="398">
        <f>N45-O45</f>
        <v>0</v>
      </c>
      <c r="Q45" s="288" t="s">
        <v>255</v>
      </c>
      <c r="R45" s="259">
        <f t="shared" si="50"/>
        <v>4009.6574484194452</v>
      </c>
      <c r="S45" s="257">
        <f t="shared" si="33"/>
        <v>3931.0615628757678</v>
      </c>
      <c r="T45" s="317">
        <f t="shared" si="35"/>
        <v>4009.6574484194452</v>
      </c>
      <c r="U45" s="318">
        <f t="shared" si="34"/>
        <v>3811.9723925726394</v>
      </c>
      <c r="Z45" s="291">
        <f t="shared" si="2"/>
        <v>2011</v>
      </c>
      <c r="AA45" s="320">
        <f t="shared" si="6"/>
        <v>0.95069776947536233</v>
      </c>
      <c r="AB45" s="321">
        <f t="shared" si="7"/>
        <v>0.73319486648700127</v>
      </c>
      <c r="AC45" s="321">
        <f t="shared" si="8"/>
        <v>0.68599504485575791</v>
      </c>
      <c r="AD45" s="321">
        <f t="shared" si="9"/>
        <v>0.8698926307717969</v>
      </c>
      <c r="AE45" s="321">
        <f t="shared" si="10"/>
        <v>0.9087389139700639</v>
      </c>
      <c r="AF45" s="321">
        <f t="shared" si="11"/>
        <v>0.98924829397173375</v>
      </c>
      <c r="AG45" s="321">
        <f t="shared" si="12"/>
        <v>0.95860779152113818</v>
      </c>
      <c r="AH45" s="321">
        <f t="shared" si="13"/>
        <v>1</v>
      </c>
      <c r="AI45" s="321">
        <f t="shared" si="14"/>
        <v>0.92026060892899308</v>
      </c>
      <c r="AJ45" s="321">
        <f t="shared" si="15"/>
        <v>0.78015925171802403</v>
      </c>
      <c r="AK45" s="321" t="str">
        <f t="shared" si="49"/>
        <v xml:space="preserve"> </v>
      </c>
      <c r="AL45" s="369" t="str">
        <f t="shared" si="17"/>
        <v xml:space="preserve"> </v>
      </c>
      <c r="AN45" s="1">
        <f t="shared" si="36"/>
        <v>2011</v>
      </c>
      <c r="AO45" s="76">
        <f t="shared" si="37"/>
        <v>-700.17095236468958</v>
      </c>
      <c r="AP45" s="68">
        <f t="shared" si="38"/>
        <v>-507.09652124215199</v>
      </c>
      <c r="AQ45" s="68">
        <f t="shared" si="39"/>
        <v>-608.31124684429187</v>
      </c>
      <c r="AR45" s="68">
        <f t="shared" si="40"/>
        <v>510.3536002562364</v>
      </c>
      <c r="AS45" s="68">
        <f t="shared" si="41"/>
        <v>-77.151805879460426</v>
      </c>
      <c r="AT45" s="68">
        <f t="shared" si="42"/>
        <v>-28.51137678260784</v>
      </c>
      <c r="AU45" s="68">
        <f t="shared" si="43"/>
        <v>-144.0319490181605</v>
      </c>
      <c r="AV45" s="68">
        <f t="shared" si="44"/>
        <v>23.064539719362983</v>
      </c>
      <c r="AW45" s="68">
        <f t="shared" si="45"/>
        <v>-84.47252572454363</v>
      </c>
      <c r="AX45" s="68">
        <f t="shared" si="46"/>
        <v>-298.93669420931246</v>
      </c>
      <c r="AY45" s="68">
        <f t="shared" si="47"/>
        <v>-138.27016984252577</v>
      </c>
      <c r="AZ45" s="68">
        <f t="shared" si="48"/>
        <v>-1555.0134377442532</v>
      </c>
    </row>
    <row r="46" spans="1:52" ht="15.75">
      <c r="A46" s="225">
        <f>'Instant Old no Delete'!A46</f>
        <v>2012</v>
      </c>
      <c r="B46" s="261">
        <v>3516.7561054876123</v>
      </c>
      <c r="C46" s="68">
        <v>3378.197402312504</v>
      </c>
      <c r="D46" s="68">
        <v>2931.7662406566142</v>
      </c>
      <c r="E46" s="68">
        <v>3151.9778325326442</v>
      </c>
      <c r="F46" s="68">
        <v>3645.4377182731337</v>
      </c>
      <c r="G46" s="68">
        <v>3758.2203094162846</v>
      </c>
      <c r="H46" s="68">
        <v>3773.9361838957884</v>
      </c>
      <c r="I46" s="22">
        <v>3891.5748580194663</v>
      </c>
      <c r="J46" s="68">
        <v>3669.9639987574483</v>
      </c>
      <c r="K46" s="68">
        <v>3479.9971104249953</v>
      </c>
      <c r="L46" s="68">
        <v>2500.3472932508089</v>
      </c>
      <c r="M46" s="68">
        <v>2606.3978680815699</v>
      </c>
      <c r="N46" s="399">
        <f t="shared" si="30"/>
        <v>40304.572921108869</v>
      </c>
      <c r="O46" s="400">
        <f>SUM('[3]Peak Demand Report'!$C$116:$N$116)</f>
        <v>40304.572921108869</v>
      </c>
      <c r="P46" s="398">
        <f>N46-O46</f>
        <v>0</v>
      </c>
      <c r="Q46" s="288" t="s">
        <v>256</v>
      </c>
      <c r="R46" s="257">
        <f t="shared" si="50"/>
        <v>3516.7561054876123</v>
      </c>
      <c r="S46" s="257">
        <f t="shared" si="33"/>
        <v>3891.5748580194663</v>
      </c>
      <c r="T46" s="317">
        <f t="shared" si="35"/>
        <v>2817.3179433615815</v>
      </c>
      <c r="U46" s="318">
        <f t="shared" si="34"/>
        <v>3516.7561054876123</v>
      </c>
      <c r="Z46" s="291">
        <f t="shared" si="2"/>
        <v>2012</v>
      </c>
      <c r="AA46" s="320">
        <f t="shared" si="6"/>
        <v>1</v>
      </c>
      <c r="AB46" s="321">
        <f t="shared" si="7"/>
        <v>0.96060042294121595</v>
      </c>
      <c r="AC46" s="321">
        <f t="shared" si="8"/>
        <v>0.75336241691844874</v>
      </c>
      <c r="AD46" s="321">
        <f t="shared" si="9"/>
        <v>0.80994917161551816</v>
      </c>
      <c r="AE46" s="321">
        <f t="shared" si="10"/>
        <v>0.93675127712393569</v>
      </c>
      <c r="AF46" s="321">
        <f t="shared" si="11"/>
        <v>0.96573249816115581</v>
      </c>
      <c r="AG46" s="321">
        <f t="shared" si="12"/>
        <v>0.96977093376958767</v>
      </c>
      <c r="AH46" s="321">
        <f t="shared" si="13"/>
        <v>1</v>
      </c>
      <c r="AI46" s="321">
        <f t="shared" si="14"/>
        <v>0.94305368203175155</v>
      </c>
      <c r="AJ46" s="321">
        <f t="shared" si="15"/>
        <v>0.89423876897901056</v>
      </c>
      <c r="AK46" s="321" t="str">
        <f t="shared" si="49"/>
        <v xml:space="preserve"> </v>
      </c>
      <c r="AL46" s="369" t="str">
        <f t="shared" si="17"/>
        <v xml:space="preserve"> </v>
      </c>
      <c r="AN46" s="1">
        <f t="shared" si="36"/>
        <v>2012</v>
      </c>
      <c r="AO46" s="76">
        <f t="shared" si="37"/>
        <v>-295.21628708502703</v>
      </c>
      <c r="AP46" s="68">
        <f t="shared" si="38"/>
        <v>438.33714475999841</v>
      </c>
      <c r="AQ46" s="68">
        <f t="shared" si="39"/>
        <v>235.07748750090605</v>
      </c>
      <c r="AR46" s="68">
        <f t="shared" si="40"/>
        <v>-267.62365212324903</v>
      </c>
      <c r="AS46" s="68">
        <f t="shared" si="41"/>
        <v>73.129102875946501</v>
      </c>
      <c r="AT46" s="68">
        <f t="shared" si="42"/>
        <v>-130.57563515642596</v>
      </c>
      <c r="AU46" s="68">
        <f t="shared" si="43"/>
        <v>5.5899407738147602</v>
      </c>
      <c r="AV46" s="68">
        <f t="shared" si="44"/>
        <v>-39.486704856301458</v>
      </c>
      <c r="AW46" s="68">
        <f t="shared" si="45"/>
        <v>52.362891168034821</v>
      </c>
      <c r="AX46" s="68">
        <f t="shared" si="46"/>
        <v>413.14306307435027</v>
      </c>
      <c r="AY46" s="68">
        <f t="shared" si="47"/>
        <v>-316.97065011077257</v>
      </c>
      <c r="AZ46" s="68">
        <f t="shared" si="48"/>
        <v>151.75385740637785</v>
      </c>
    </row>
    <row r="47" spans="1:52" ht="15.75">
      <c r="A47" s="225">
        <f>'Instant Old no Delete'!A47</f>
        <v>2013</v>
      </c>
      <c r="B47" s="260">
        <v>2563.2860569345185</v>
      </c>
      <c r="C47" s="232">
        <v>3202.8755861738641</v>
      </c>
      <c r="D47" s="68">
        <v>3055.6874635603426</v>
      </c>
      <c r="E47" s="68">
        <v>3439.5825156402584</v>
      </c>
      <c r="F47" s="68">
        <v>3493.5567011845969</v>
      </c>
      <c r="G47" s="68">
        <v>3838.0253055259163</v>
      </c>
      <c r="H47" s="68">
        <v>3782.6862062891291</v>
      </c>
      <c r="I47" s="22">
        <v>3872.9466019981292</v>
      </c>
      <c r="J47" s="68">
        <v>3739.2398221806907</v>
      </c>
      <c r="K47" s="68">
        <v>3476.0899269812298</v>
      </c>
      <c r="L47" s="68">
        <v>2993.2341931100941</v>
      </c>
      <c r="M47" s="68">
        <v>2739.1721276481057</v>
      </c>
      <c r="N47" s="399">
        <f t="shared" si="30"/>
        <v>40196.382507226881</v>
      </c>
      <c r="O47" s="400">
        <f>SUM('[4]Peak Demand Report'!$C$116:$N$116)</f>
        <v>40196.382507226881</v>
      </c>
      <c r="P47" s="398">
        <f>N47-O47</f>
        <v>0</v>
      </c>
      <c r="Q47" s="288" t="s">
        <v>257</v>
      </c>
      <c r="R47" s="257">
        <f t="shared" si="50"/>
        <v>3202.8755861738641</v>
      </c>
      <c r="S47" s="257">
        <f t="shared" si="33"/>
        <v>3872.9466019981292</v>
      </c>
      <c r="T47" s="317">
        <f t="shared" si="35"/>
        <v>2606.3978680815699</v>
      </c>
      <c r="U47" s="318">
        <f t="shared" si="34"/>
        <v>3202.8755861738641</v>
      </c>
      <c r="Z47" s="291">
        <f t="shared" si="2"/>
        <v>2013</v>
      </c>
      <c r="AA47" s="320" t="str">
        <f t="shared" si="6"/>
        <v xml:space="preserve"> </v>
      </c>
      <c r="AB47" s="321">
        <f t="shared" si="7"/>
        <v>1</v>
      </c>
      <c r="AC47" s="321" t="str">
        <f t="shared" si="8"/>
        <v xml:space="preserve"> </v>
      </c>
      <c r="AD47" s="321">
        <f t="shared" si="9"/>
        <v>0.88810481246132089</v>
      </c>
      <c r="AE47" s="321">
        <f t="shared" si="10"/>
        <v>0.90204101946104875</v>
      </c>
      <c r="AF47" s="321">
        <f t="shared" si="11"/>
        <v>0.99098327447783652</v>
      </c>
      <c r="AG47" s="321">
        <f t="shared" si="12"/>
        <v>0.97669464493457436</v>
      </c>
      <c r="AH47" s="321">
        <f t="shared" si="13"/>
        <v>1</v>
      </c>
      <c r="AI47" s="321">
        <f t="shared" si="14"/>
        <v>0.9654767303663685</v>
      </c>
      <c r="AJ47" s="321">
        <f t="shared" si="15"/>
        <v>0.89753107496701523</v>
      </c>
      <c r="AK47" s="321" t="str">
        <f t="shared" si="49"/>
        <v xml:space="preserve"> </v>
      </c>
      <c r="AL47" s="369" t="str">
        <f t="shared" si="17"/>
        <v xml:space="preserve"> </v>
      </c>
      <c r="AN47" s="1">
        <f t="shared" si="36"/>
        <v>2013</v>
      </c>
      <c r="AO47" s="76">
        <f t="shared" si="37"/>
        <v>-953.47004855309387</v>
      </c>
      <c r="AP47" s="68">
        <f t="shared" si="38"/>
        <v>-175.32181613863986</v>
      </c>
      <c r="AQ47" s="68">
        <f t="shared" si="39"/>
        <v>123.92122290372845</v>
      </c>
      <c r="AR47" s="68">
        <f t="shared" si="40"/>
        <v>287.60468310761416</v>
      </c>
      <c r="AS47" s="68">
        <f t="shared" si="41"/>
        <v>-151.88101708853674</v>
      </c>
      <c r="AT47" s="68">
        <f t="shared" si="42"/>
        <v>79.804996109631702</v>
      </c>
      <c r="AU47" s="68">
        <f t="shared" si="43"/>
        <v>8.7500223933407142</v>
      </c>
      <c r="AV47" s="68">
        <f t="shared" si="44"/>
        <v>-18.628256021337165</v>
      </c>
      <c r="AW47" s="68">
        <f t="shared" si="45"/>
        <v>69.2758234232424</v>
      </c>
      <c r="AX47" s="68">
        <f t="shared" si="46"/>
        <v>-3.9071834437654616</v>
      </c>
      <c r="AY47" s="68">
        <f t="shared" si="47"/>
        <v>492.88689985928522</v>
      </c>
      <c r="AZ47" s="68">
        <f t="shared" si="48"/>
        <v>132.77425956653587</v>
      </c>
    </row>
    <row r="48" spans="1:52" ht="15.75">
      <c r="A48" s="225">
        <f>'Instant Old no Delete'!A48</f>
        <v>2014</v>
      </c>
      <c r="B48" s="261">
        <v>3299.9624935030938</v>
      </c>
      <c r="C48" s="68">
        <v>2719.2163913989066</v>
      </c>
      <c r="D48" s="68">
        <v>2525.6963803422454</v>
      </c>
      <c r="E48" s="68">
        <v>3459.8237013696576</v>
      </c>
      <c r="F48" s="68">
        <v>3512.2163494484421</v>
      </c>
      <c r="G48" s="68">
        <v>3916.6589999999997</v>
      </c>
      <c r="H48" s="68">
        <v>3817.175220480442</v>
      </c>
      <c r="I48" s="256">
        <v>4054.1820000000002</v>
      </c>
      <c r="J48" s="68">
        <v>3734.6329999999998</v>
      </c>
      <c r="K48" s="68">
        <v>3534.1790000000001</v>
      </c>
      <c r="L48" s="68">
        <v>2784.913</v>
      </c>
      <c r="M48" s="68">
        <v>2883.7919999999999</v>
      </c>
      <c r="N48" s="399" t="s">
        <v>329</v>
      </c>
      <c r="O48" s="400"/>
      <c r="P48" s="398"/>
      <c r="Q48" s="288" t="s">
        <v>258</v>
      </c>
      <c r="R48" s="257">
        <f t="shared" si="50"/>
        <v>3299.9624935030938</v>
      </c>
      <c r="S48" s="257">
        <f t="shared" si="33"/>
        <v>4054.1820000000002</v>
      </c>
      <c r="T48" s="317">
        <f t="shared" si="35"/>
        <v>2993.2341931100941</v>
      </c>
      <c r="U48" s="318">
        <f t="shared" si="34"/>
        <v>3299.9624935030938</v>
      </c>
      <c r="Z48" s="291">
        <f t="shared" si="2"/>
        <v>2014</v>
      </c>
      <c r="AA48" s="320">
        <f t="shared" si="6"/>
        <v>1</v>
      </c>
      <c r="AB48" s="321">
        <f t="shared" si="7"/>
        <v>0.82401433251209688</v>
      </c>
      <c r="AC48" s="321">
        <f t="shared" si="8"/>
        <v>0.62298544573041992</v>
      </c>
      <c r="AD48" s="321">
        <f t="shared" si="9"/>
        <v>0.85339624648564305</v>
      </c>
      <c r="AE48" s="321">
        <f t="shared" si="10"/>
        <v>0.86631935849166164</v>
      </c>
      <c r="AF48" s="321">
        <f t="shared" si="11"/>
        <v>0.9660787305552635</v>
      </c>
      <c r="AG48" s="321">
        <f t="shared" si="12"/>
        <v>0.94154017271065826</v>
      </c>
      <c r="AH48" s="321">
        <f t="shared" si="13"/>
        <v>1</v>
      </c>
      <c r="AI48" s="321">
        <f t="shared" si="14"/>
        <v>0.92118040087988151</v>
      </c>
      <c r="AJ48" s="321">
        <f t="shared" si="15"/>
        <v>0.87173664132493311</v>
      </c>
      <c r="AK48" s="321">
        <f t="shared" si="49"/>
        <v>0.84392262199430634</v>
      </c>
      <c r="AL48" s="369">
        <f t="shared" si="17"/>
        <v>0.79900882148128671</v>
      </c>
      <c r="AN48" s="1">
        <f t="shared" si="36"/>
        <v>2014</v>
      </c>
      <c r="AO48" s="76">
        <f t="shared" si="37"/>
        <v>736.67643656857535</v>
      </c>
      <c r="AP48" s="68">
        <f t="shared" si="38"/>
        <v>-483.65919477495754</v>
      </c>
      <c r="AQ48" s="68">
        <f t="shared" si="39"/>
        <v>-529.99108321809717</v>
      </c>
      <c r="AR48" s="68">
        <f t="shared" si="40"/>
        <v>20.241185729399149</v>
      </c>
      <c r="AS48" s="68">
        <f t="shared" si="41"/>
        <v>18.659648263845156</v>
      </c>
      <c r="AT48" s="68">
        <f t="shared" si="42"/>
        <v>78.633694474083313</v>
      </c>
      <c r="AU48" s="68">
        <f t="shared" si="43"/>
        <v>34.48901419131289</v>
      </c>
      <c r="AV48" s="68">
        <f t="shared" si="44"/>
        <v>181.23539800187109</v>
      </c>
      <c r="AW48" s="68">
        <f t="shared" si="45"/>
        <v>-4.6068221806908696</v>
      </c>
      <c r="AX48" s="68">
        <f t="shared" si="46"/>
        <v>58.08907301877025</v>
      </c>
      <c r="AY48" s="68">
        <f t="shared" si="47"/>
        <v>-208.3211931100941</v>
      </c>
      <c r="AZ48" s="68">
        <f t="shared" si="48"/>
        <v>144.61987235189417</v>
      </c>
    </row>
    <row r="49" spans="1:52" ht="15.75">
      <c r="A49" s="225">
        <f>'Instant Old no Delete'!A49</f>
        <v>2015</v>
      </c>
      <c r="B49" s="260">
        <v>2759.591772408724</v>
      </c>
      <c r="C49" s="232">
        <v>3609.2117164034844</v>
      </c>
      <c r="D49" s="68">
        <v>2997.3640749722895</v>
      </c>
      <c r="E49" s="68">
        <v>3352.3941902602801</v>
      </c>
      <c r="F49" s="68">
        <v>3758.2221977729341</v>
      </c>
      <c r="G49" s="68">
        <v>3892.1385082180655</v>
      </c>
      <c r="H49" s="68">
        <v>3867.5452390337232</v>
      </c>
      <c r="I49" s="256">
        <v>4013.1278465791215</v>
      </c>
      <c r="J49" s="68">
        <v>3880.2453166056839</v>
      </c>
      <c r="K49" s="68">
        <v>3337.4108363472119</v>
      </c>
      <c r="L49" s="232">
        <v>3424.4040903561117</v>
      </c>
      <c r="M49" s="68">
        <v>3002.9136643179777</v>
      </c>
      <c r="N49" s="68"/>
      <c r="O49" s="374"/>
      <c r="P49" s="397"/>
      <c r="Q49" s="288" t="s">
        <v>280</v>
      </c>
      <c r="R49" s="257">
        <f t="shared" ref="R49:R56" si="51">MAX(T49:U49)</f>
        <v>3609.2117164034844</v>
      </c>
      <c r="S49" s="257">
        <f t="shared" si="33"/>
        <v>4013.1278465791215</v>
      </c>
      <c r="T49" s="317">
        <f t="shared" si="35"/>
        <v>2883.7919999999999</v>
      </c>
      <c r="U49" s="318">
        <f t="shared" si="34"/>
        <v>3609.2117164034844</v>
      </c>
      <c r="Z49" s="225">
        <v>2015</v>
      </c>
      <c r="AA49" s="320">
        <f t="shared" si="6"/>
        <v>0.76459681205917407</v>
      </c>
      <c r="AB49" s="321">
        <f t="shared" si="7"/>
        <v>1</v>
      </c>
      <c r="AC49" s="321">
        <f t="shared" si="8"/>
        <v>0.74688975521358203</v>
      </c>
      <c r="AD49" s="321">
        <f t="shared" si="9"/>
        <v>0.8353569381344117</v>
      </c>
      <c r="AE49" s="321">
        <f t="shared" si="10"/>
        <v>0.93648205126994033</v>
      </c>
      <c r="AF49" s="321">
        <f t="shared" si="11"/>
        <v>0.96985161126521546</v>
      </c>
      <c r="AG49" s="321">
        <f t="shared" si="12"/>
        <v>0.96372340650211374</v>
      </c>
      <c r="AH49" s="321">
        <f t="shared" si="13"/>
        <v>1</v>
      </c>
      <c r="AI49" s="321">
        <f t="shared" si="14"/>
        <v>0.9668880396903603</v>
      </c>
      <c r="AJ49" s="321">
        <f t="shared" si="15"/>
        <v>0.83162335313889746</v>
      </c>
      <c r="AK49" s="321" t="str">
        <f t="shared" si="49"/>
        <v xml:space="preserve"> </v>
      </c>
      <c r="AL49" s="369" t="str">
        <f t="shared" si="17"/>
        <v xml:space="preserve"> </v>
      </c>
      <c r="AN49" s="1">
        <f t="shared" si="36"/>
        <v>2015</v>
      </c>
      <c r="AO49" s="76">
        <f t="shared" si="37"/>
        <v>-540.37072109436986</v>
      </c>
      <c r="AP49" s="68">
        <f t="shared" si="38"/>
        <v>889.99532500457781</v>
      </c>
      <c r="AQ49" s="68">
        <f t="shared" si="39"/>
        <v>471.66769463004402</v>
      </c>
      <c r="AR49" s="68">
        <f t="shared" si="40"/>
        <v>-107.42951110937747</v>
      </c>
      <c r="AS49" s="68">
        <f t="shared" si="41"/>
        <v>246.00584832449204</v>
      </c>
      <c r="AT49" s="68">
        <f t="shared" si="42"/>
        <v>-24.520491781934197</v>
      </c>
      <c r="AU49" s="68">
        <f t="shared" si="43"/>
        <v>50.37001855328117</v>
      </c>
      <c r="AV49" s="68">
        <f t="shared" si="44"/>
        <v>-41.05415342087872</v>
      </c>
      <c r="AW49" s="68">
        <f t="shared" si="45"/>
        <v>145.6123166056841</v>
      </c>
      <c r="AX49" s="68">
        <f t="shared" si="46"/>
        <v>-196.76816365278819</v>
      </c>
      <c r="AY49" s="68">
        <f t="shared" si="47"/>
        <v>639.49109035611173</v>
      </c>
      <c r="AZ49" s="68">
        <f t="shared" si="48"/>
        <v>119.12166431797777</v>
      </c>
    </row>
    <row r="50" spans="1:52" ht="15.75">
      <c r="A50" s="323">
        <f>'Instant Old no Delete'!A50</f>
        <v>2016</v>
      </c>
      <c r="B50" s="68">
        <v>3339.3093953093176</v>
      </c>
      <c r="C50" s="68">
        <v>3105.4053636918607</v>
      </c>
      <c r="D50" s="68">
        <v>3169.3527920264742</v>
      </c>
      <c r="E50" s="68">
        <v>3604.9242119587793</v>
      </c>
      <c r="F50" s="68">
        <v>3624.1644288860639</v>
      </c>
      <c r="G50" s="68">
        <v>3955.659255220387</v>
      </c>
      <c r="H50" s="256">
        <v>4130.8831221788769</v>
      </c>
      <c r="I50" s="68">
        <v>4101.3132194944128</v>
      </c>
      <c r="J50" s="68">
        <v>3812.3363586753503</v>
      </c>
      <c r="K50" s="68">
        <v>3557.1945229328212</v>
      </c>
      <c r="L50" s="68">
        <v>2887.20287407554</v>
      </c>
      <c r="M50" s="68">
        <v>2996.4363390875142</v>
      </c>
      <c r="N50" s="68"/>
      <c r="O50" s="374"/>
      <c r="P50" s="397"/>
      <c r="Q50" s="288" t="s">
        <v>285</v>
      </c>
      <c r="R50" s="259">
        <f t="shared" si="51"/>
        <v>3424.4040903561117</v>
      </c>
      <c r="S50" s="257">
        <f t="shared" si="33"/>
        <v>4130.8831221788769</v>
      </c>
      <c r="T50" s="317">
        <f t="shared" si="35"/>
        <v>3424.4040903561117</v>
      </c>
      <c r="U50" s="318">
        <f t="shared" si="34"/>
        <v>3339.3093953093176</v>
      </c>
      <c r="Z50" s="291">
        <f t="shared" ref="Z50:Z57" si="52">A50</f>
        <v>2016</v>
      </c>
      <c r="AA50" s="320">
        <f t="shared" si="6"/>
        <v>0.97515051004452424</v>
      </c>
      <c r="AB50" s="321">
        <f t="shared" si="7"/>
        <v>0.90684547785624281</v>
      </c>
      <c r="AC50" s="321">
        <f t="shared" si="8"/>
        <v>0.76723371208691238</v>
      </c>
      <c r="AD50" s="321">
        <f t="shared" si="9"/>
        <v>0.8726764000181455</v>
      </c>
      <c r="AE50" s="321">
        <f t="shared" si="10"/>
        <v>0.87733405223395933</v>
      </c>
      <c r="AF50" s="321">
        <f t="shared" si="11"/>
        <v>0.95758198385771165</v>
      </c>
      <c r="AG50" s="321">
        <f t="shared" si="12"/>
        <v>1</v>
      </c>
      <c r="AH50" s="321">
        <f t="shared" si="13"/>
        <v>0.99284174792414193</v>
      </c>
      <c r="AI50" s="321">
        <f t="shared" si="14"/>
        <v>0.92288652230482238</v>
      </c>
      <c r="AJ50" s="321">
        <f t="shared" si="15"/>
        <v>0.86112204526777858</v>
      </c>
      <c r="AK50" s="321" t="str">
        <f t="shared" si="49"/>
        <v xml:space="preserve"> </v>
      </c>
      <c r="AL50" s="369" t="str">
        <f t="shared" si="17"/>
        <v xml:space="preserve"> </v>
      </c>
      <c r="AN50" s="1">
        <f t="shared" si="36"/>
        <v>2016</v>
      </c>
      <c r="AO50" s="76">
        <f t="shared" si="37"/>
        <v>579.7176229005936</v>
      </c>
      <c r="AP50" s="68">
        <f t="shared" si="38"/>
        <v>-503.80635271162373</v>
      </c>
      <c r="AQ50" s="68">
        <f t="shared" si="39"/>
        <v>171.98871705418469</v>
      </c>
      <c r="AR50" s="68">
        <f t="shared" si="40"/>
        <v>252.53002169849924</v>
      </c>
      <c r="AS50" s="68">
        <f t="shared" si="41"/>
        <v>-134.05776888687024</v>
      </c>
      <c r="AT50" s="68">
        <f t="shared" si="42"/>
        <v>63.520747002321514</v>
      </c>
      <c r="AU50" s="68">
        <f t="shared" si="43"/>
        <v>263.33788314515368</v>
      </c>
      <c r="AV50" s="68">
        <f t="shared" si="44"/>
        <v>88.185372915291282</v>
      </c>
      <c r="AW50" s="68">
        <f t="shared" si="45"/>
        <v>-67.9089579303336</v>
      </c>
      <c r="AX50" s="68">
        <f t="shared" si="46"/>
        <v>219.7836865856093</v>
      </c>
      <c r="AY50" s="68">
        <f t="shared" si="47"/>
        <v>-537.20121628057177</v>
      </c>
      <c r="AZ50" s="68">
        <f t="shared" si="48"/>
        <v>-6.4773252304635207</v>
      </c>
    </row>
    <row r="51" spans="1:52" ht="15.75">
      <c r="A51" s="323">
        <f>'Instant Old no Delete'!A51</f>
        <v>2017</v>
      </c>
      <c r="B51" s="232">
        <v>3137.8193837766398</v>
      </c>
      <c r="C51" s="68">
        <v>2994.1223439435253</v>
      </c>
      <c r="D51" s="68">
        <v>3072.4709559752182</v>
      </c>
      <c r="E51" s="68">
        <v>3821.5167304983916</v>
      </c>
      <c r="F51" s="68">
        <v>3881.8296946285664</v>
      </c>
      <c r="G51" s="68">
        <v>3996.2978656948471</v>
      </c>
      <c r="H51" s="256">
        <v>4114.5309672043495</v>
      </c>
      <c r="I51" s="68">
        <v>4074.2191796869502</v>
      </c>
      <c r="J51" s="68">
        <v>3952.8750994488992</v>
      </c>
      <c r="K51" s="68">
        <v>3818.0823763992712</v>
      </c>
      <c r="L51" s="68">
        <v>2973.9611922410809</v>
      </c>
      <c r="M51" s="68">
        <v>2939.7683396577299</v>
      </c>
      <c r="N51" s="68"/>
      <c r="O51" s="374"/>
      <c r="P51" s="397"/>
      <c r="Q51" s="288" t="s">
        <v>286</v>
      </c>
      <c r="R51" s="257">
        <f t="shared" si="51"/>
        <v>3137.8193837766398</v>
      </c>
      <c r="S51" s="257">
        <f t="shared" si="33"/>
        <v>4114.5309672043495</v>
      </c>
      <c r="T51" s="317">
        <f t="shared" si="35"/>
        <v>2996.4363390875142</v>
      </c>
      <c r="U51" s="318">
        <f t="shared" si="34"/>
        <v>3137.8193837766398</v>
      </c>
      <c r="Z51" s="291">
        <f t="shared" si="52"/>
        <v>2017</v>
      </c>
      <c r="AA51" s="320">
        <f t="shared" si="6"/>
        <v>1</v>
      </c>
      <c r="AB51" s="321" t="str">
        <f t="shared" si="7"/>
        <v xml:space="preserve"> </v>
      </c>
      <c r="AC51" s="321">
        <f t="shared" si="8"/>
        <v>0.74673662209980474</v>
      </c>
      <c r="AD51" s="321">
        <f t="shared" si="9"/>
        <v>0.92878550701368312</v>
      </c>
      <c r="AE51" s="321">
        <f t="shared" si="10"/>
        <v>0.94344403422150114</v>
      </c>
      <c r="AF51" s="321">
        <f t="shared" si="11"/>
        <v>0.97126450075308657</v>
      </c>
      <c r="AG51" s="321">
        <f t="shared" si="12"/>
        <v>1</v>
      </c>
      <c r="AH51" s="321">
        <f t="shared" si="13"/>
        <v>0.9902025801145472</v>
      </c>
      <c r="AI51" s="321">
        <f t="shared" si="14"/>
        <v>0.96071098527536691</v>
      </c>
      <c r="AJ51" s="321">
        <f t="shared" si="15"/>
        <v>0.92795081792603384</v>
      </c>
      <c r="AK51" s="321" t="str">
        <f t="shared" si="49"/>
        <v xml:space="preserve"> </v>
      </c>
      <c r="AL51" s="369">
        <f t="shared" si="17"/>
        <v>0.7269266422470898</v>
      </c>
      <c r="AN51" s="1">
        <f t="shared" si="36"/>
        <v>2017</v>
      </c>
      <c r="AO51" s="76">
        <f t="shared" si="37"/>
        <v>-201.49001153267773</v>
      </c>
      <c r="AP51" s="68">
        <f t="shared" si="38"/>
        <v>-111.28301974833539</v>
      </c>
      <c r="AQ51" s="68">
        <f t="shared" si="39"/>
        <v>-96.881836051255959</v>
      </c>
      <c r="AR51" s="68">
        <f t="shared" si="40"/>
        <v>216.59251853961223</v>
      </c>
      <c r="AS51" s="68">
        <f t="shared" si="41"/>
        <v>257.66526574250247</v>
      </c>
      <c r="AT51" s="68">
        <f t="shared" si="42"/>
        <v>40.638610474460165</v>
      </c>
      <c r="AU51" s="68">
        <f t="shared" si="43"/>
        <v>-16.352154974527366</v>
      </c>
      <c r="AV51" s="68">
        <f t="shared" si="44"/>
        <v>-27.09403980746265</v>
      </c>
      <c r="AW51" s="68">
        <f t="shared" si="45"/>
        <v>140.53874077354885</v>
      </c>
      <c r="AX51" s="68">
        <f t="shared" si="46"/>
        <v>260.88785346645</v>
      </c>
      <c r="AY51" s="68">
        <f t="shared" si="47"/>
        <v>86.758318165540913</v>
      </c>
      <c r="AZ51" s="68">
        <f t="shared" si="48"/>
        <v>-56.667999429784231</v>
      </c>
    </row>
    <row r="52" spans="1:52" ht="15.75">
      <c r="A52" s="323">
        <f>'Instant Old no Delete'!A52</f>
        <v>2018</v>
      </c>
      <c r="B52" s="232">
        <v>4044.1059232197913</v>
      </c>
      <c r="C52" s="68">
        <v>3120.329540742875</v>
      </c>
      <c r="D52" s="68">
        <v>2881.2768298181095</v>
      </c>
      <c r="E52" s="68">
        <v>3267.4009685346005</v>
      </c>
      <c r="F52" s="68">
        <v>3606.5392897531469</v>
      </c>
      <c r="G52" s="68">
        <v>3955.661973784006</v>
      </c>
      <c r="H52" s="68">
        <v>3955.4844540917875</v>
      </c>
      <c r="I52" s="256">
        <v>4036.6235217311269</v>
      </c>
      <c r="J52" s="68">
        <v>4020.7185612612907</v>
      </c>
      <c r="K52" s="68">
        <v>3876.8176864583879</v>
      </c>
      <c r="L52" s="232">
        <v>3272.2360678174382</v>
      </c>
      <c r="M52" s="68">
        <v>2890.388144010195</v>
      </c>
      <c r="N52" s="68"/>
      <c r="O52" s="374"/>
      <c r="P52" s="397"/>
      <c r="Q52" s="288" t="s">
        <v>287</v>
      </c>
      <c r="R52" s="257">
        <f t="shared" si="51"/>
        <v>4044.1059232197913</v>
      </c>
      <c r="S52" s="257">
        <f t="shared" si="33"/>
        <v>4036.6235217311269</v>
      </c>
      <c r="T52" s="317">
        <f t="shared" si="35"/>
        <v>2973.9611922410809</v>
      </c>
      <c r="U52" s="318">
        <f t="shared" si="34"/>
        <v>4044.1059232197913</v>
      </c>
      <c r="Z52" s="291">
        <f t="shared" si="52"/>
        <v>2018</v>
      </c>
      <c r="AA52" s="320">
        <f t="shared" si="6"/>
        <v>1</v>
      </c>
      <c r="AB52" s="321" t="str">
        <f t="shared" si="7"/>
        <v xml:space="preserve"> </v>
      </c>
      <c r="AC52" s="321">
        <f t="shared" si="8"/>
        <v>0.71378388752549782</v>
      </c>
      <c r="AD52" s="321">
        <f t="shared" si="9"/>
        <v>0.80943911438472682</v>
      </c>
      <c r="AE52" s="321">
        <f t="shared" si="10"/>
        <v>0.89345446022830088</v>
      </c>
      <c r="AF52" s="321">
        <f t="shared" si="11"/>
        <v>0.97994325021611128</v>
      </c>
      <c r="AG52" s="321">
        <f t="shared" si="12"/>
        <v>0.9798992729437046</v>
      </c>
      <c r="AH52" s="321">
        <f t="shared" si="13"/>
        <v>1</v>
      </c>
      <c r="AI52" s="321">
        <f t="shared" si="14"/>
        <v>0.99605983555706601</v>
      </c>
      <c r="AJ52" s="321">
        <f t="shared" si="15"/>
        <v>0.96041101321130751</v>
      </c>
      <c r="AK52" s="321" t="str">
        <f t="shared" si="49"/>
        <v xml:space="preserve"> </v>
      </c>
      <c r="AL52" s="369" t="str">
        <f t="shared" si="17"/>
        <v xml:space="preserve"> </v>
      </c>
      <c r="AN52" s="1">
        <f t="shared" si="36"/>
        <v>2018</v>
      </c>
      <c r="AO52" s="76">
        <f t="shared" si="37"/>
        <v>906.28653944315147</v>
      </c>
      <c r="AP52" s="68">
        <f t="shared" si="38"/>
        <v>126.20719679934973</v>
      </c>
      <c r="AQ52" s="68">
        <f t="shared" si="39"/>
        <v>-191.19412615710871</v>
      </c>
      <c r="AR52" s="68">
        <f t="shared" si="40"/>
        <v>-554.1157619637911</v>
      </c>
      <c r="AS52" s="68">
        <f t="shared" si="41"/>
        <v>-275.29040487541943</v>
      </c>
      <c r="AT52" s="68">
        <f t="shared" si="42"/>
        <v>-40.63589191084111</v>
      </c>
      <c r="AU52" s="68">
        <f t="shared" si="43"/>
        <v>-159.04651311256202</v>
      </c>
      <c r="AV52" s="68">
        <f t="shared" si="44"/>
        <v>-37.595657955823299</v>
      </c>
      <c r="AW52" s="68">
        <f t="shared" si="45"/>
        <v>67.843461812391524</v>
      </c>
      <c r="AX52" s="68">
        <f t="shared" si="46"/>
        <v>58.735310059116728</v>
      </c>
      <c r="AY52" s="68">
        <f t="shared" si="47"/>
        <v>298.27487557635732</v>
      </c>
      <c r="AZ52" s="68">
        <f t="shared" si="48"/>
        <v>-49.380195647534947</v>
      </c>
    </row>
    <row r="53" spans="1:52" ht="15.75">
      <c r="A53" s="323">
        <f>'Instant Old no Delete'!A53</f>
        <v>2019</v>
      </c>
      <c r="B53" s="68">
        <v>3091.0792847788834</v>
      </c>
      <c r="C53" s="68">
        <v>3094.289272364359</v>
      </c>
      <c r="D53" s="68">
        <v>3128.5432423298507</v>
      </c>
      <c r="E53" s="68">
        <v>3504.7003791594316</v>
      </c>
      <c r="F53" s="68">
        <v>4152.7434235575183</v>
      </c>
      <c r="G53" s="256">
        <v>4298.266042423721</v>
      </c>
      <c r="H53" s="68">
        <v>4073.1594642884675</v>
      </c>
      <c r="I53" s="68">
        <v>4111.3159319554825</v>
      </c>
      <c r="J53" s="68">
        <v>4101.2321333380642</v>
      </c>
      <c r="K53" s="68">
        <v>3671.9640558161395</v>
      </c>
      <c r="L53" s="68">
        <v>3309.1858580752782</v>
      </c>
      <c r="M53" s="68">
        <v>2764.8902606070042</v>
      </c>
      <c r="N53" s="68"/>
      <c r="O53" s="374"/>
      <c r="P53" s="397"/>
      <c r="Q53" s="288" t="s">
        <v>288</v>
      </c>
      <c r="R53" s="259">
        <f t="shared" si="51"/>
        <v>3272.2360678174382</v>
      </c>
      <c r="S53" s="257">
        <f t="shared" si="33"/>
        <v>4298.266042423721</v>
      </c>
      <c r="T53" s="317">
        <f t="shared" si="35"/>
        <v>3272.2360678174382</v>
      </c>
      <c r="U53" s="318">
        <f t="shared" si="34"/>
        <v>3128.5432423298507</v>
      </c>
      <c r="Z53" s="291">
        <f t="shared" si="52"/>
        <v>2019</v>
      </c>
      <c r="AA53" s="320">
        <f t="shared" si="6"/>
        <v>0.9446382292462826</v>
      </c>
      <c r="AB53" s="321" t="str">
        <f t="shared" si="7"/>
        <v xml:space="preserve"> </v>
      </c>
      <c r="AC53" s="321">
        <f t="shared" ref="AC53:AH53" si="53">IF(D169&gt;1200,(D53/$S53)," ")</f>
        <v>0.72786170317315146</v>
      </c>
      <c r="AD53" s="321">
        <f t="shared" si="53"/>
        <v>0.81537539662928571</v>
      </c>
      <c r="AE53" s="321">
        <f t="shared" si="53"/>
        <v>0.96614387815228275</v>
      </c>
      <c r="AF53" s="321">
        <f t="shared" si="53"/>
        <v>1</v>
      </c>
      <c r="AG53" s="321">
        <f t="shared" si="53"/>
        <v>0.947628514402445</v>
      </c>
      <c r="AH53" s="321">
        <f t="shared" si="53"/>
        <v>0.95650569121989004</v>
      </c>
      <c r="AI53" s="321"/>
      <c r="AJ53" s="321"/>
      <c r="AK53" s="321"/>
      <c r="AL53" s="369"/>
      <c r="AN53" s="1">
        <f t="shared" si="36"/>
        <v>2019</v>
      </c>
      <c r="AO53" s="76">
        <f t="shared" si="37"/>
        <v>-953.02663844090785</v>
      </c>
      <c r="AP53" s="68">
        <f t="shared" si="38"/>
        <v>-26.040268378515975</v>
      </c>
      <c r="AQ53" s="68">
        <f t="shared" si="39"/>
        <v>247.26641251174124</v>
      </c>
      <c r="AR53" s="68">
        <f t="shared" si="40"/>
        <v>237.29941062483113</v>
      </c>
      <c r="AS53" s="68">
        <f t="shared" si="41"/>
        <v>546.20413380437139</v>
      </c>
      <c r="AT53" s="68">
        <f t="shared" si="42"/>
        <v>342.60406863971502</v>
      </c>
      <c r="AU53" s="68">
        <f t="shared" si="43"/>
        <v>117.67501019667998</v>
      </c>
      <c r="AV53" s="68">
        <f t="shared" si="44"/>
        <v>74.692410224355626</v>
      </c>
      <c r="AW53" s="68">
        <f t="shared" si="45"/>
        <v>80.513572076773471</v>
      </c>
      <c r="AX53" s="68">
        <f t="shared" si="46"/>
        <v>-204.85363064224839</v>
      </c>
      <c r="AY53" s="68">
        <f t="shared" si="47"/>
        <v>36.94979025784005</v>
      </c>
      <c r="AZ53" s="68">
        <f t="shared" si="48"/>
        <v>-125.49788340319083</v>
      </c>
    </row>
    <row r="54" spans="1:52" ht="15.75">
      <c r="A54" s="323">
        <f>'Instant Old no Delete'!A54</f>
        <v>2020</v>
      </c>
      <c r="B54" s="281">
        <v>3538.0184087995299</v>
      </c>
      <c r="C54" s="68">
        <v>3012.7755155672548</v>
      </c>
      <c r="D54" s="232">
        <v>3574.1286325658348</v>
      </c>
      <c r="E54" s="68">
        <v>3590.9296067156533</v>
      </c>
      <c r="F54" s="68">
        <v>3902.7085589393323</v>
      </c>
      <c r="G54" s="68">
        <v>4254.1136826465599</v>
      </c>
      <c r="H54" s="68">
        <v>4142.6258612332085</v>
      </c>
      <c r="I54" s="68">
        <v>4239.0126832233136</v>
      </c>
      <c r="J54" s="366">
        <v>4254.7406243046662</v>
      </c>
      <c r="K54" s="68">
        <v>3871.6084211084626</v>
      </c>
      <c r="L54" s="68">
        <v>3273.5241214207017</v>
      </c>
      <c r="M54" s="1">
        <v>3024.0386962181074</v>
      </c>
      <c r="N54" s="68"/>
      <c r="O54" s="374"/>
      <c r="P54" s="397"/>
      <c r="Q54" s="288" t="s">
        <v>293</v>
      </c>
      <c r="R54" s="259">
        <f t="shared" si="51"/>
        <v>3574.1286325658348</v>
      </c>
      <c r="S54" s="257">
        <f t="shared" si="33"/>
        <v>4254.7406243046662</v>
      </c>
      <c r="T54" s="317">
        <f t="shared" si="35"/>
        <v>3309.1858580752782</v>
      </c>
      <c r="U54" s="318">
        <f t="shared" si="34"/>
        <v>3574.1286325658348</v>
      </c>
      <c r="Z54" s="291">
        <f t="shared" si="52"/>
        <v>2020</v>
      </c>
      <c r="AA54" s="320">
        <f>IF(B172&lt;1000,(B54/$R54)," ")</f>
        <v>0.98989677555606559</v>
      </c>
      <c r="AB54" s="321" t="str">
        <f>IF(C172&lt;1000,(C54/$R54)," ")</f>
        <v xml:space="preserve"> </v>
      </c>
      <c r="AC54" s="321">
        <f t="shared" ref="AC54:AH54" si="54">IF(D172&gt;1200,(D54/$S54)," ")</f>
        <v>0.84003443409665879</v>
      </c>
      <c r="AD54" s="321">
        <f t="shared" si="54"/>
        <v>0.84398319986955805</v>
      </c>
      <c r="AE54" s="321">
        <f t="shared" si="54"/>
        <v>0.91726121602938726</v>
      </c>
      <c r="AF54" s="321">
        <f t="shared" si="54"/>
        <v>0.99985264867744816</v>
      </c>
      <c r="AG54" s="321">
        <f t="shared" si="54"/>
        <v>0.97364944823404365</v>
      </c>
      <c r="AH54" s="321">
        <f t="shared" si="54"/>
        <v>0.9963034312852096</v>
      </c>
      <c r="AI54" s="321"/>
      <c r="AJ54" s="321"/>
      <c r="AK54" s="321"/>
      <c r="AL54" s="369"/>
      <c r="AN54" s="1">
        <f>Z54</f>
        <v>2020</v>
      </c>
      <c r="AO54" s="76">
        <f t="shared" si="37"/>
        <v>446.93912402064643</v>
      </c>
      <c r="AP54" s="68">
        <f t="shared" si="38"/>
        <v>-81.513756797104179</v>
      </c>
      <c r="AQ54" s="68">
        <f t="shared" si="39"/>
        <v>445.58539023598405</v>
      </c>
      <c r="AR54" s="68">
        <f t="shared" si="40"/>
        <v>86.229227556221758</v>
      </c>
      <c r="AS54" s="68">
        <f t="shared" si="41"/>
        <v>-250.03486461818602</v>
      </c>
      <c r="AT54" s="68">
        <f t="shared" si="42"/>
        <v>-44.152359777161109</v>
      </c>
      <c r="AU54" s="68">
        <f t="shared" si="43"/>
        <v>69.466396944741064</v>
      </c>
      <c r="AV54" s="68">
        <f t="shared" si="44"/>
        <v>127.69675126783113</v>
      </c>
      <c r="AW54" s="68">
        <f t="shared" si="45"/>
        <v>153.50849096660204</v>
      </c>
      <c r="AX54" s="68">
        <f t="shared" si="46"/>
        <v>199.64436529232307</v>
      </c>
      <c r="AY54" s="68">
        <f t="shared" si="47"/>
        <v>-35.661736654576544</v>
      </c>
      <c r="AZ54" s="68">
        <f t="shared" si="48"/>
        <v>259.1484356111032</v>
      </c>
    </row>
    <row r="55" spans="1:52" ht="15.75">
      <c r="A55" s="323">
        <f>'Instant Old no Delete'!A55</f>
        <v>2021</v>
      </c>
      <c r="B55" s="68">
        <v>2904.8538121877332</v>
      </c>
      <c r="C55" s="68">
        <v>3415.1890153510153</v>
      </c>
      <c r="D55" s="232">
        <v>3466.5357216664092</v>
      </c>
      <c r="E55" s="68">
        <v>3635.6010791250001</v>
      </c>
      <c r="F55" s="68">
        <v>4069.0894343320524</v>
      </c>
      <c r="G55" s="68">
        <v>4057.0154358448362</v>
      </c>
      <c r="H55" s="68">
        <v>4210.585566003957</v>
      </c>
      <c r="I55" s="256">
        <v>4393.4364634362446</v>
      </c>
      <c r="J55" s="68">
        <v>3967.7984173092996</v>
      </c>
      <c r="K55" s="68">
        <v>3961.375726206034</v>
      </c>
      <c r="L55" s="68">
        <v>2924.3120710439798</v>
      </c>
      <c r="M55" s="68">
        <v>2940.7055255787918</v>
      </c>
      <c r="N55" s="68"/>
      <c r="O55" s="374"/>
      <c r="P55" s="397"/>
      <c r="Q55" s="288" t="s">
        <v>299</v>
      </c>
      <c r="R55" s="259">
        <f t="shared" si="51"/>
        <v>3466.5357216664092</v>
      </c>
      <c r="S55" s="257">
        <f t="shared" si="33"/>
        <v>4393.4364634362446</v>
      </c>
      <c r="T55" s="317">
        <f t="shared" si="35"/>
        <v>3273.5241214207017</v>
      </c>
      <c r="U55" s="318">
        <f t="shared" si="34"/>
        <v>3466.5357216664092</v>
      </c>
      <c r="Z55" s="291">
        <f t="shared" si="52"/>
        <v>2021</v>
      </c>
      <c r="AA55" s="320">
        <f>IF(B175&lt;1000,(B55/$R55)," ")</f>
        <v>0.83797025198151764</v>
      </c>
      <c r="AB55" s="321">
        <f>IF(C175&lt;1000,(C55/$R55)," ")</f>
        <v>0.9851878906095014</v>
      </c>
      <c r="AC55" s="321" t="str">
        <f t="shared" ref="AC55:AH55" si="55">IF(D175&gt;1200,(D55/$S55)," ")</f>
        <v xml:space="preserve"> </v>
      </c>
      <c r="AD55" s="321" t="str">
        <f t="shared" si="55"/>
        <v xml:space="preserve"> </v>
      </c>
      <c r="AE55" s="321" t="str">
        <f t="shared" si="55"/>
        <v xml:space="preserve"> </v>
      </c>
      <c r="AF55" s="321" t="str">
        <f t="shared" si="55"/>
        <v xml:space="preserve"> </v>
      </c>
      <c r="AG55" s="321" t="str">
        <f t="shared" si="55"/>
        <v xml:space="preserve"> </v>
      </c>
      <c r="AH55" s="321" t="str">
        <f t="shared" si="55"/>
        <v xml:space="preserve"> </v>
      </c>
      <c r="AI55" s="321"/>
      <c r="AJ55" s="321"/>
      <c r="AK55" s="321"/>
      <c r="AL55" s="369"/>
      <c r="AN55" s="1">
        <f t="shared" si="36"/>
        <v>2021</v>
      </c>
      <c r="AO55" s="76">
        <f t="shared" si="37"/>
        <v>-633.1645966117967</v>
      </c>
      <c r="AP55" s="68">
        <f t="shared" si="38"/>
        <v>402.41349978376047</v>
      </c>
      <c r="AQ55" s="68">
        <f t="shared" si="39"/>
        <v>-107.59291089942553</v>
      </c>
      <c r="AR55" s="68">
        <f t="shared" si="40"/>
        <v>44.671472409346734</v>
      </c>
      <c r="AS55" s="68">
        <f t="shared" si="41"/>
        <v>166.3808753927201</v>
      </c>
      <c r="AT55" s="68">
        <f t="shared" si="42"/>
        <v>-197.09824680172369</v>
      </c>
      <c r="AU55" s="68">
        <f t="shared" si="43"/>
        <v>67.959704770748431</v>
      </c>
      <c r="AV55" s="68">
        <f t="shared" si="44"/>
        <v>154.42378021293098</v>
      </c>
      <c r="AW55" s="68">
        <f t="shared" si="45"/>
        <v>-286.94220699536663</v>
      </c>
      <c r="AX55" s="68">
        <f t="shared" si="46"/>
        <v>89.767305097571352</v>
      </c>
      <c r="AY55" s="68">
        <f t="shared" si="47"/>
        <v>-349.21205037672189</v>
      </c>
      <c r="AZ55" s="68">
        <f t="shared" si="48"/>
        <v>-83.33317063931554</v>
      </c>
    </row>
    <row r="56" spans="1:52" ht="16.5" thickBot="1">
      <c r="A56" s="323">
        <f>'Instant Old no Delete'!A56</f>
        <v>2022</v>
      </c>
      <c r="B56" s="232">
        <v>3735</v>
      </c>
      <c r="C56" s="68">
        <v>3042</v>
      </c>
      <c r="D56" s="68">
        <v>3242</v>
      </c>
      <c r="E56" s="68">
        <v>3571</v>
      </c>
      <c r="F56" s="68">
        <v>4006</v>
      </c>
      <c r="G56" s="256">
        <v>4385</v>
      </c>
      <c r="H56" s="68">
        <v>4355</v>
      </c>
      <c r="I56" s="68">
        <v>4378</v>
      </c>
      <c r="J56" s="68">
        <v>4225</v>
      </c>
      <c r="K56" s="68">
        <v>3624</v>
      </c>
      <c r="L56" s="440">
        <v>3666</v>
      </c>
      <c r="M56" s="68">
        <v>3526</v>
      </c>
      <c r="N56" s="68"/>
      <c r="P56" s="397"/>
      <c r="Q56" s="288" t="s">
        <v>323</v>
      </c>
      <c r="R56" s="259">
        <f t="shared" si="51"/>
        <v>3735</v>
      </c>
      <c r="S56" s="367">
        <f t="shared" si="33"/>
        <v>4385</v>
      </c>
      <c r="T56" s="365">
        <f t="shared" si="35"/>
        <v>2940.7055255787918</v>
      </c>
      <c r="U56" s="318">
        <f t="shared" si="34"/>
        <v>3735</v>
      </c>
      <c r="Z56" s="291">
        <f t="shared" si="52"/>
        <v>2022</v>
      </c>
      <c r="AA56" s="324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69"/>
      <c r="AN56" s="254">
        <f t="shared" si="36"/>
        <v>2022</v>
      </c>
      <c r="AO56" s="76">
        <f t="shared" si="37"/>
        <v>830.14618781226682</v>
      </c>
      <c r="AP56" s="68">
        <f t="shared" si="38"/>
        <v>-373.18901535101531</v>
      </c>
      <c r="AQ56" s="68">
        <f t="shared" si="39"/>
        <v>-224.53572166640924</v>
      </c>
      <c r="AR56" s="68">
        <f t="shared" si="40"/>
        <v>-64.601079125000069</v>
      </c>
      <c r="AS56" s="68">
        <f t="shared" si="41"/>
        <v>-63.089434332052406</v>
      </c>
      <c r="AT56" s="68">
        <f t="shared" si="42"/>
        <v>327.98456415516375</v>
      </c>
      <c r="AU56" s="68">
        <f t="shared" si="43"/>
        <v>144.41443399604304</v>
      </c>
      <c r="AV56" s="68">
        <f t="shared" si="44"/>
        <v>-15.436463436244594</v>
      </c>
      <c r="AW56" s="68">
        <f t="shared" si="45"/>
        <v>257.20158269070043</v>
      </c>
      <c r="AX56" s="68">
        <f t="shared" si="46"/>
        <v>-337.37572620603396</v>
      </c>
      <c r="AY56" s="68">
        <f t="shared" si="47"/>
        <v>741.68792895602019</v>
      </c>
      <c r="AZ56" s="68">
        <f t="shared" si="48"/>
        <v>585.29447442120818</v>
      </c>
    </row>
    <row r="57" spans="1:52" ht="16.5" thickBot="1">
      <c r="A57" s="323">
        <f>'Instant Old no Delete'!A57</f>
        <v>2023</v>
      </c>
      <c r="B57" s="281">
        <v>3347</v>
      </c>
      <c r="C57" s="68">
        <v>3273</v>
      </c>
      <c r="D57" s="68">
        <v>3585</v>
      </c>
      <c r="E57" s="68">
        <v>3678</v>
      </c>
      <c r="F57" s="68">
        <v>3912</v>
      </c>
      <c r="G57" s="281">
        <v>4318</v>
      </c>
      <c r="H57" s="68">
        <v>4312</v>
      </c>
      <c r="I57" s="275">
        <v>4669</v>
      </c>
      <c r="J57" s="68">
        <v>4194</v>
      </c>
      <c r="K57" s="68">
        <v>3801</v>
      </c>
      <c r="L57" s="440">
        <v>3440</v>
      </c>
      <c r="M57" s="68">
        <v>2982</v>
      </c>
      <c r="N57" s="68"/>
      <c r="P57" s="397"/>
      <c r="Q57" s="288" t="s">
        <v>332</v>
      </c>
      <c r="R57" s="259">
        <f t="shared" ref="R57" si="56">MAX(T57:U57)</f>
        <v>3666</v>
      </c>
      <c r="S57" s="289">
        <f t="shared" ref="S57" si="57">MAX(E57:K57)</f>
        <v>4669</v>
      </c>
      <c r="T57" s="365">
        <f t="shared" ref="T57" si="58">MAX(L56:M56)</f>
        <v>3666</v>
      </c>
      <c r="U57" s="318">
        <f t="shared" ref="U57" si="59">MAX(B57:D57)</f>
        <v>3585</v>
      </c>
      <c r="Z57" s="291">
        <f t="shared" si="52"/>
        <v>2023</v>
      </c>
      <c r="AA57" s="324"/>
      <c r="AB57" s="321"/>
      <c r="AC57" s="321"/>
      <c r="AD57" s="321"/>
      <c r="AE57" s="321"/>
      <c r="AF57" s="321"/>
      <c r="AG57" s="321"/>
      <c r="AH57" s="321"/>
      <c r="AI57" s="321"/>
      <c r="AJ57" s="321"/>
      <c r="AK57" s="321"/>
      <c r="AL57" s="321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</row>
    <row r="58" spans="1:52" ht="15.75">
      <c r="A58" s="323">
        <v>2024</v>
      </c>
      <c r="B58" s="232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P58" s="397"/>
      <c r="Q58" s="288" t="s">
        <v>335</v>
      </c>
      <c r="R58" s="259">
        <f t="shared" ref="R58" si="60">MAX(T58:U58)</f>
        <v>3440</v>
      </c>
      <c r="S58" s="367">
        <f t="shared" ref="S58" si="61">MAX(E58:K58)</f>
        <v>0</v>
      </c>
      <c r="T58" s="365">
        <f t="shared" ref="T58" si="62">MAX(L57:M57)</f>
        <v>3440</v>
      </c>
      <c r="U58" s="318">
        <f t="shared" ref="U58" si="63">MAX(B58:D58)</f>
        <v>0</v>
      </c>
      <c r="Z58" s="291"/>
      <c r="AA58" s="324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</row>
    <row r="59" spans="1:52" ht="15.75">
      <c r="A59" s="225"/>
      <c r="D59" s="232"/>
      <c r="R59" s="259"/>
      <c r="S59" s="292"/>
    </row>
    <row r="60" spans="1:52">
      <c r="Z60" s="225" t="s">
        <v>52</v>
      </c>
      <c r="AA60" s="324">
        <f>MAX(AA8:AA54)</f>
        <v>1</v>
      </c>
      <c r="AB60" s="321">
        <f t="shared" ref="AB60:AL60" si="64">MAX(AB8:AB54)</f>
        <v>1</v>
      </c>
      <c r="AC60" s="321">
        <f t="shared" si="64"/>
        <v>1.0082815734989647</v>
      </c>
      <c r="AD60" s="321">
        <f t="shared" si="64"/>
        <v>0.9348242811501597</v>
      </c>
      <c r="AE60" s="321">
        <f t="shared" si="64"/>
        <v>1</v>
      </c>
      <c r="AF60" s="321">
        <f t="shared" si="64"/>
        <v>1</v>
      </c>
      <c r="AG60" s="321">
        <f t="shared" si="64"/>
        <v>1</v>
      </c>
      <c r="AH60" s="321">
        <f t="shared" si="64"/>
        <v>1</v>
      </c>
      <c r="AI60" s="321">
        <f t="shared" si="64"/>
        <v>1</v>
      </c>
      <c r="AJ60" s="321">
        <f t="shared" si="64"/>
        <v>0.98545454545454547</v>
      </c>
      <c r="AK60" s="321">
        <f t="shared" si="64"/>
        <v>0.97605284888521882</v>
      </c>
      <c r="AL60" s="321">
        <f t="shared" si="64"/>
        <v>1</v>
      </c>
      <c r="AN60" s="165" t="s">
        <v>52</v>
      </c>
      <c r="AO60" s="68">
        <f>MAX(AO8:AO54)</f>
        <v>1057</v>
      </c>
      <c r="AP60" s="68">
        <f t="shared" ref="AP60:AZ60" si="65">MAX(AP8:AP54)</f>
        <v>1001.7491614785263</v>
      </c>
      <c r="AQ60" s="68">
        <f t="shared" si="65"/>
        <v>701</v>
      </c>
      <c r="AR60" s="68">
        <f t="shared" si="65"/>
        <v>510.3536002562364</v>
      </c>
      <c r="AS60" s="68">
        <f t="shared" si="65"/>
        <v>546.20413380437139</v>
      </c>
      <c r="AT60" s="68">
        <f t="shared" si="65"/>
        <v>349</v>
      </c>
      <c r="AU60" s="68">
        <f t="shared" si="65"/>
        <v>329</v>
      </c>
      <c r="AV60" s="68">
        <f t="shared" si="65"/>
        <v>300</v>
      </c>
      <c r="AW60" s="68">
        <f t="shared" si="65"/>
        <v>200</v>
      </c>
      <c r="AX60" s="68">
        <f t="shared" si="65"/>
        <v>413.14306307435027</v>
      </c>
      <c r="AY60" s="68">
        <f t="shared" si="65"/>
        <v>639.49109035611173</v>
      </c>
      <c r="AZ60" s="68">
        <f t="shared" si="65"/>
        <v>1215.0800239049026</v>
      </c>
    </row>
    <row r="61" spans="1:52" ht="15.75">
      <c r="Q61" s="370" t="s">
        <v>237</v>
      </c>
      <c r="R61" s="90" t="s">
        <v>48</v>
      </c>
      <c r="S61" s="90" t="s">
        <v>50</v>
      </c>
      <c r="Z61" s="225" t="s">
        <v>53</v>
      </c>
      <c r="AA61" s="324">
        <f>MIN(AA8:AA54)</f>
        <v>0.75232198142414863</v>
      </c>
      <c r="AB61" s="321">
        <f t="shared" ref="AB61:AL61" si="66">MIN(AB8:AB54)</f>
        <v>0.68152538005668639</v>
      </c>
      <c r="AC61" s="321">
        <f t="shared" si="66"/>
        <v>0.62298544573041992</v>
      </c>
      <c r="AD61" s="321">
        <f t="shared" si="66"/>
        <v>0.69039270687237031</v>
      </c>
      <c r="AE61" s="321">
        <f t="shared" si="66"/>
        <v>0.80575035063113609</v>
      </c>
      <c r="AF61" s="321">
        <f t="shared" si="66"/>
        <v>0.89739027283511275</v>
      </c>
      <c r="AG61" s="321">
        <f t="shared" si="66"/>
        <v>0.90159128978224456</v>
      </c>
      <c r="AH61" s="321">
        <f t="shared" si="66"/>
        <v>0.90661641541038529</v>
      </c>
      <c r="AI61" s="321">
        <f t="shared" si="66"/>
        <v>0.89991624790619762</v>
      </c>
      <c r="AJ61" s="321">
        <f t="shared" si="66"/>
        <v>0.78015925171802403</v>
      </c>
      <c r="AK61" s="321">
        <f t="shared" si="66"/>
        <v>0.67158434894162922</v>
      </c>
      <c r="AL61" s="321">
        <f t="shared" si="66"/>
        <v>0.69081842182458197</v>
      </c>
      <c r="AN61" s="165" t="s">
        <v>53</v>
      </c>
      <c r="AO61" s="68">
        <f>MIN(AO8:AO54)</f>
        <v>-953.47004855309387</v>
      </c>
      <c r="AP61" s="68">
        <f t="shared" ref="AP61:AZ61" si="67">MIN(AP8:AP54)</f>
        <v>-1008</v>
      </c>
      <c r="AQ61" s="68">
        <f t="shared" si="67"/>
        <v>-608.31124684429187</v>
      </c>
      <c r="AR61" s="68">
        <f t="shared" si="67"/>
        <v>-554.1157619637911</v>
      </c>
      <c r="AS61" s="68">
        <f t="shared" si="67"/>
        <v>-275.29040487541943</v>
      </c>
      <c r="AT61" s="68">
        <f t="shared" si="67"/>
        <v>-266</v>
      </c>
      <c r="AU61" s="68">
        <f t="shared" si="67"/>
        <v>-168</v>
      </c>
      <c r="AV61" s="68">
        <f t="shared" si="67"/>
        <v>-233</v>
      </c>
      <c r="AW61" s="68">
        <f t="shared" si="67"/>
        <v>-86.259753788546277</v>
      </c>
      <c r="AX61" s="68">
        <f t="shared" si="67"/>
        <v>-375.06105560382184</v>
      </c>
      <c r="AY61" s="68">
        <f t="shared" si="67"/>
        <v>-537.20121628057177</v>
      </c>
      <c r="AZ61" s="68">
        <f t="shared" si="67"/>
        <v>-1555.0134377442532</v>
      </c>
    </row>
    <row r="62" spans="1:52" ht="15.75">
      <c r="Q62" s="370" t="s">
        <v>291</v>
      </c>
      <c r="R62" s="268">
        <f>MAX(R10:R58)</f>
        <v>4512.1433449373289</v>
      </c>
      <c r="S62" s="268">
        <f>MAX(S7:S58)</f>
        <v>4669</v>
      </c>
      <c r="Z62" s="225" t="s">
        <v>54</v>
      </c>
      <c r="AA62" s="324">
        <f>AVERAGE(AA8:AA54)</f>
        <v>0.96470044942467537</v>
      </c>
      <c r="AB62" s="321">
        <f t="shared" ref="AB62:AL62" si="68">AVERAGE(AB8:AB54)</f>
        <v>0.89233888164717956</v>
      </c>
      <c r="AC62" s="321">
        <f t="shared" si="68"/>
        <v>0.76546112918578546</v>
      </c>
      <c r="AD62" s="321">
        <f t="shared" si="68"/>
        <v>0.82681704773013398</v>
      </c>
      <c r="AE62" s="321">
        <f t="shared" si="68"/>
        <v>0.91328838684973246</v>
      </c>
      <c r="AF62" s="321">
        <f t="shared" si="68"/>
        <v>0.97047518286698053</v>
      </c>
      <c r="AG62" s="321">
        <f t="shared" si="68"/>
        <v>0.97515246112812259</v>
      </c>
      <c r="AH62" s="321">
        <f t="shared" si="68"/>
        <v>0.98364171076624241</v>
      </c>
      <c r="AI62" s="321">
        <f t="shared" si="68"/>
        <v>0.95643523891227999</v>
      </c>
      <c r="AJ62" s="321">
        <f t="shared" si="68"/>
        <v>0.88827500369373968</v>
      </c>
      <c r="AK62" s="321">
        <f t="shared" si="68"/>
        <v>0.82022332726011538</v>
      </c>
      <c r="AL62" s="321">
        <f t="shared" si="68"/>
        <v>0.84980936444247779</v>
      </c>
      <c r="AM62" s="321"/>
      <c r="AN62" s="1" t="s">
        <v>54</v>
      </c>
      <c r="AO62" s="68">
        <f>AVERAGE(AO23:AO54)</f>
        <v>28.688075274985309</v>
      </c>
      <c r="AP62" s="68">
        <f t="shared" ref="AP62:AZ62" si="69">AVERAGE(AP23:AP54)</f>
        <v>24.711734861476714</v>
      </c>
      <c r="AQ62" s="68">
        <f t="shared" si="69"/>
        <v>42.254019767682337</v>
      </c>
      <c r="AR62" s="68">
        <f t="shared" si="69"/>
        <v>49.529050209864167</v>
      </c>
      <c r="AS62" s="68">
        <f t="shared" si="69"/>
        <v>50.428392466854135</v>
      </c>
      <c r="AT62" s="68">
        <f t="shared" si="69"/>
        <v>60.066052582704998</v>
      </c>
      <c r="AU62" s="68">
        <f t="shared" si="69"/>
        <v>52.082058163537766</v>
      </c>
      <c r="AV62" s="68">
        <f t="shared" si="69"/>
        <v>56.15664635072855</v>
      </c>
      <c r="AW62" s="68">
        <f t="shared" si="69"/>
        <v>59.304394509520819</v>
      </c>
      <c r="AX62" s="68">
        <f t="shared" si="69"/>
        <v>55.925263159639456</v>
      </c>
      <c r="AY62" s="68">
        <f t="shared" si="69"/>
        <v>42.703878794396928</v>
      </c>
      <c r="AZ62" s="68">
        <f t="shared" si="69"/>
        <v>14.626209256815855</v>
      </c>
    </row>
    <row r="63" spans="1:52" ht="15.75">
      <c r="B63" s="5" t="s">
        <v>5</v>
      </c>
      <c r="Q63" s="370" t="s">
        <v>292</v>
      </c>
      <c r="R63" s="269">
        <v>40189</v>
      </c>
      <c r="S63" s="269">
        <v>45147</v>
      </c>
    </row>
    <row r="64" spans="1:52">
      <c r="G64" s="1">
        <v>6</v>
      </c>
      <c r="H64" s="1">
        <v>7</v>
      </c>
      <c r="I64" s="1">
        <v>8</v>
      </c>
      <c r="J64" s="1">
        <v>9</v>
      </c>
    </row>
    <row r="65" spans="1:38">
      <c r="B65" s="165" t="s">
        <v>4</v>
      </c>
      <c r="C65" s="165" t="s">
        <v>8</v>
      </c>
      <c r="D65" s="165" t="s">
        <v>9</v>
      </c>
      <c r="E65" s="165" t="s">
        <v>10</v>
      </c>
      <c r="F65" s="165" t="s">
        <v>11</v>
      </c>
      <c r="G65" s="165" t="s">
        <v>12</v>
      </c>
      <c r="H65" s="165" t="s">
        <v>13</v>
      </c>
      <c r="I65" s="165" t="s">
        <v>15</v>
      </c>
      <c r="J65" s="165" t="s">
        <v>16</v>
      </c>
      <c r="K65" s="165" t="s">
        <v>17</v>
      </c>
      <c r="L65" s="165" t="s">
        <v>18</v>
      </c>
      <c r="M65" s="165" t="s">
        <v>19</v>
      </c>
      <c r="N65" s="165"/>
      <c r="O65" s="165"/>
    </row>
    <row r="66" spans="1:38" ht="15.75">
      <c r="A66" s="1">
        <f t="shared" ref="A66:A97" si="70">A7</f>
        <v>1973</v>
      </c>
      <c r="B66" s="30">
        <v>30</v>
      </c>
      <c r="C66" s="24">
        <v>10</v>
      </c>
      <c r="D66" s="31">
        <v>15</v>
      </c>
      <c r="E66" s="31">
        <v>25</v>
      </c>
      <c r="F66" s="31">
        <v>29</v>
      </c>
      <c r="G66" s="31">
        <v>6</v>
      </c>
      <c r="H66" s="31">
        <v>25</v>
      </c>
      <c r="I66" s="31">
        <v>27</v>
      </c>
      <c r="J66" s="23">
        <v>14</v>
      </c>
      <c r="K66" s="31">
        <v>3</v>
      </c>
      <c r="L66" s="31">
        <v>5</v>
      </c>
      <c r="M66" s="24">
        <v>17</v>
      </c>
    </row>
    <row r="67" spans="1:38" ht="15.75">
      <c r="A67" s="1">
        <f t="shared" si="70"/>
        <v>1974</v>
      </c>
      <c r="B67" s="20">
        <v>30</v>
      </c>
      <c r="C67" s="1">
        <v>27</v>
      </c>
      <c r="D67" s="1">
        <v>27</v>
      </c>
      <c r="E67" s="1">
        <v>3</v>
      </c>
      <c r="F67" s="1">
        <v>28</v>
      </c>
      <c r="G67" s="1">
        <v>20</v>
      </c>
      <c r="H67" s="1">
        <v>11</v>
      </c>
      <c r="I67" s="1">
        <v>29</v>
      </c>
      <c r="J67" s="22">
        <v>17</v>
      </c>
      <c r="K67" s="1">
        <v>15</v>
      </c>
      <c r="L67" s="1">
        <v>19</v>
      </c>
      <c r="M67" s="1">
        <v>10</v>
      </c>
      <c r="Q67" s="371" t="s">
        <v>296</v>
      </c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  <c r="AL67" s="280"/>
    </row>
    <row r="68" spans="1:38" ht="15.75">
      <c r="A68" s="1">
        <f t="shared" si="70"/>
        <v>1975</v>
      </c>
      <c r="B68" s="27">
        <v>15</v>
      </c>
      <c r="C68" s="1">
        <v>26</v>
      </c>
      <c r="D68" s="1">
        <v>4</v>
      </c>
      <c r="E68" s="1">
        <v>30</v>
      </c>
      <c r="F68" s="1">
        <v>26</v>
      </c>
      <c r="G68" s="22">
        <v>16</v>
      </c>
      <c r="H68" s="1">
        <v>8</v>
      </c>
      <c r="I68" s="1">
        <v>25</v>
      </c>
      <c r="J68" s="1">
        <v>5</v>
      </c>
      <c r="K68" s="1">
        <v>8</v>
      </c>
      <c r="L68" s="1">
        <v>24</v>
      </c>
      <c r="M68" s="1">
        <v>22</v>
      </c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</row>
    <row r="69" spans="1:38" ht="15.75">
      <c r="A69" s="1">
        <f t="shared" si="70"/>
        <v>1976</v>
      </c>
      <c r="B69" s="27">
        <v>19</v>
      </c>
      <c r="C69" s="1">
        <v>3</v>
      </c>
      <c r="D69" s="1">
        <v>29</v>
      </c>
      <c r="E69" s="1">
        <v>28</v>
      </c>
      <c r="F69" s="1">
        <v>13</v>
      </c>
      <c r="G69" s="1">
        <v>17</v>
      </c>
      <c r="H69" s="1">
        <v>14</v>
      </c>
      <c r="I69" s="1">
        <v>23</v>
      </c>
      <c r="J69" s="22">
        <v>28</v>
      </c>
      <c r="K69" s="1">
        <v>7</v>
      </c>
      <c r="L69" s="1">
        <v>30</v>
      </c>
      <c r="M69" s="1">
        <v>22</v>
      </c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</row>
    <row r="70" spans="1:38" ht="15.75">
      <c r="A70" s="1">
        <f t="shared" si="70"/>
        <v>1977</v>
      </c>
      <c r="B70" s="27">
        <v>18</v>
      </c>
      <c r="C70" s="1">
        <v>17</v>
      </c>
      <c r="D70" s="1">
        <v>21</v>
      </c>
      <c r="E70" s="1">
        <v>4</v>
      </c>
      <c r="F70" s="1">
        <v>26</v>
      </c>
      <c r="G70" s="22">
        <v>27</v>
      </c>
      <c r="H70" s="1">
        <v>27</v>
      </c>
      <c r="I70" s="1">
        <v>18</v>
      </c>
      <c r="J70" s="1">
        <v>7</v>
      </c>
      <c r="K70" s="1">
        <v>10</v>
      </c>
      <c r="L70" s="1">
        <v>30</v>
      </c>
      <c r="M70" s="1">
        <v>28</v>
      </c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</row>
    <row r="71" spans="1:38" ht="15.75">
      <c r="A71" s="1">
        <f t="shared" si="70"/>
        <v>1978</v>
      </c>
      <c r="B71" s="20">
        <v>16</v>
      </c>
      <c r="C71" s="21">
        <v>7</v>
      </c>
      <c r="D71" s="1">
        <v>6</v>
      </c>
      <c r="E71" s="1">
        <v>12</v>
      </c>
      <c r="F71" s="1">
        <v>31</v>
      </c>
      <c r="G71" s="22">
        <v>26</v>
      </c>
      <c r="H71" s="1">
        <v>24</v>
      </c>
      <c r="I71" s="1">
        <v>29</v>
      </c>
      <c r="J71" s="1">
        <v>14</v>
      </c>
      <c r="K71" s="1">
        <v>2</v>
      </c>
      <c r="L71" s="1">
        <v>30</v>
      </c>
      <c r="M71" s="1">
        <v>27</v>
      </c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80"/>
      <c r="AC71" s="280"/>
      <c r="AD71" s="280"/>
      <c r="AE71" s="280"/>
      <c r="AF71" s="280"/>
      <c r="AG71" s="280"/>
      <c r="AH71" s="280"/>
      <c r="AI71" s="280"/>
      <c r="AJ71" s="280"/>
      <c r="AK71" s="280"/>
      <c r="AL71" s="280"/>
    </row>
    <row r="72" spans="1:38" ht="15.75">
      <c r="A72" s="1">
        <f t="shared" si="70"/>
        <v>1979</v>
      </c>
      <c r="B72" s="27">
        <v>4</v>
      </c>
      <c r="C72" s="1">
        <v>2</v>
      </c>
      <c r="D72" s="1">
        <v>12</v>
      </c>
      <c r="E72" s="1">
        <v>12</v>
      </c>
      <c r="F72" s="1">
        <v>10</v>
      </c>
      <c r="G72" s="1">
        <v>19</v>
      </c>
      <c r="H72" s="22">
        <v>31</v>
      </c>
      <c r="I72" s="1">
        <v>20</v>
      </c>
      <c r="J72" s="1">
        <v>5</v>
      </c>
      <c r="K72" s="1">
        <v>3</v>
      </c>
      <c r="L72" s="1">
        <v>30</v>
      </c>
      <c r="M72" s="1">
        <v>18</v>
      </c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</row>
    <row r="73" spans="1:38" ht="15.75">
      <c r="A73" s="1">
        <f t="shared" si="70"/>
        <v>1980</v>
      </c>
      <c r="B73" s="20">
        <v>7</v>
      </c>
      <c r="C73" s="1">
        <v>2</v>
      </c>
      <c r="D73" s="21">
        <v>2</v>
      </c>
      <c r="E73" s="1">
        <v>3</v>
      </c>
      <c r="F73" s="1">
        <v>21</v>
      </c>
      <c r="G73" s="1">
        <v>9</v>
      </c>
      <c r="H73" s="1">
        <v>14</v>
      </c>
      <c r="I73" s="22">
        <v>21</v>
      </c>
      <c r="J73" s="1">
        <v>8</v>
      </c>
      <c r="K73" s="1">
        <v>30</v>
      </c>
      <c r="L73" s="1">
        <v>17</v>
      </c>
      <c r="M73" s="1">
        <v>29</v>
      </c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  <c r="AL73" s="280"/>
    </row>
    <row r="74" spans="1:38" ht="15.75">
      <c r="A74" s="1">
        <f t="shared" si="70"/>
        <v>1981</v>
      </c>
      <c r="B74" s="27">
        <v>13</v>
      </c>
      <c r="C74" s="1">
        <v>3</v>
      </c>
      <c r="D74" s="1">
        <v>23</v>
      </c>
      <c r="E74" s="1">
        <v>23</v>
      </c>
      <c r="F74" s="1">
        <v>18</v>
      </c>
      <c r="G74" s="22">
        <v>16</v>
      </c>
      <c r="H74" s="1">
        <v>7</v>
      </c>
      <c r="I74" s="1">
        <v>6</v>
      </c>
      <c r="J74" s="1">
        <v>1</v>
      </c>
      <c r="K74" s="1">
        <v>2</v>
      </c>
      <c r="L74" s="1">
        <v>23</v>
      </c>
      <c r="M74" s="1">
        <v>11</v>
      </c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80"/>
      <c r="AC74" s="280"/>
      <c r="AD74" s="280"/>
      <c r="AE74" s="280"/>
      <c r="AF74" s="280"/>
      <c r="AG74" s="280"/>
      <c r="AH74" s="280"/>
      <c r="AI74" s="280"/>
      <c r="AJ74" s="280"/>
      <c r="AK74" s="280"/>
      <c r="AL74" s="280"/>
    </row>
    <row r="75" spans="1:38" ht="15.75">
      <c r="A75" s="1">
        <f t="shared" si="70"/>
        <v>1982</v>
      </c>
      <c r="B75" s="27">
        <v>12</v>
      </c>
      <c r="C75" s="1">
        <v>16</v>
      </c>
      <c r="D75" s="1">
        <v>8</v>
      </c>
      <c r="E75" s="1">
        <v>21</v>
      </c>
      <c r="F75" s="1">
        <v>28</v>
      </c>
      <c r="G75" s="1">
        <v>9</v>
      </c>
      <c r="H75" s="1">
        <v>14</v>
      </c>
      <c r="I75" s="1">
        <v>24</v>
      </c>
      <c r="J75" s="22">
        <v>13</v>
      </c>
      <c r="K75" s="1">
        <v>11</v>
      </c>
      <c r="L75" s="1">
        <v>1</v>
      </c>
      <c r="M75" s="1">
        <v>18</v>
      </c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80"/>
      <c r="AC75" s="280"/>
      <c r="AD75" s="280"/>
      <c r="AE75" s="280"/>
      <c r="AF75" s="280"/>
      <c r="AG75" s="280"/>
      <c r="AH75" s="280"/>
      <c r="AI75" s="280"/>
      <c r="AJ75" s="280"/>
      <c r="AK75" s="280"/>
      <c r="AL75" s="280"/>
    </row>
    <row r="76" spans="1:38" ht="15.75">
      <c r="A76" s="1">
        <f t="shared" si="70"/>
        <v>1983</v>
      </c>
      <c r="B76" s="27">
        <v>14</v>
      </c>
      <c r="C76" s="1">
        <v>9</v>
      </c>
      <c r="D76" s="1">
        <v>11</v>
      </c>
      <c r="E76" s="1">
        <v>7</v>
      </c>
      <c r="F76" s="1">
        <v>24</v>
      </c>
      <c r="G76" s="1">
        <v>6</v>
      </c>
      <c r="H76" s="22">
        <v>18</v>
      </c>
      <c r="I76" s="1">
        <v>18</v>
      </c>
      <c r="J76" s="1">
        <v>6</v>
      </c>
      <c r="K76" s="1">
        <v>5</v>
      </c>
      <c r="L76" s="1">
        <v>18</v>
      </c>
      <c r="M76" s="1">
        <v>26</v>
      </c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80"/>
      <c r="AC76" s="280"/>
      <c r="AD76" s="280"/>
      <c r="AE76" s="280"/>
      <c r="AF76" s="280"/>
      <c r="AG76" s="280"/>
      <c r="AH76" s="280"/>
      <c r="AI76" s="280"/>
      <c r="AJ76" s="280"/>
      <c r="AK76" s="280"/>
      <c r="AL76" s="280"/>
    </row>
    <row r="77" spans="1:38" ht="15.75">
      <c r="A77" s="1">
        <f t="shared" si="70"/>
        <v>1984</v>
      </c>
      <c r="B77" s="20">
        <v>21</v>
      </c>
      <c r="C77" s="21">
        <v>7</v>
      </c>
      <c r="D77" s="1">
        <v>2</v>
      </c>
      <c r="E77" s="1">
        <v>30</v>
      </c>
      <c r="F77" s="1">
        <v>7</v>
      </c>
      <c r="G77" s="1">
        <v>21</v>
      </c>
      <c r="H77" s="22">
        <v>9</v>
      </c>
      <c r="I77" s="1">
        <v>15</v>
      </c>
      <c r="J77" s="1">
        <v>4</v>
      </c>
      <c r="K77" s="1">
        <v>29</v>
      </c>
      <c r="L77" s="1">
        <v>14</v>
      </c>
      <c r="M77" s="1">
        <v>7</v>
      </c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80"/>
      <c r="AC77" s="280"/>
      <c r="AD77" s="280"/>
      <c r="AE77" s="280"/>
      <c r="AF77" s="280"/>
      <c r="AG77" s="280"/>
      <c r="AH77" s="280"/>
      <c r="AI77" s="280"/>
      <c r="AJ77" s="280"/>
      <c r="AK77" s="280"/>
      <c r="AL77" s="280"/>
    </row>
    <row r="78" spans="1:38" ht="15.75">
      <c r="A78" s="1">
        <f t="shared" si="70"/>
        <v>1985</v>
      </c>
      <c r="B78" s="27">
        <v>22</v>
      </c>
      <c r="C78" s="1">
        <v>14</v>
      </c>
      <c r="D78" s="1">
        <v>19</v>
      </c>
      <c r="E78" s="1">
        <v>26</v>
      </c>
      <c r="F78" s="1">
        <v>21</v>
      </c>
      <c r="G78" s="22">
        <v>5</v>
      </c>
      <c r="H78" s="1">
        <v>8</v>
      </c>
      <c r="I78" s="1">
        <v>28</v>
      </c>
      <c r="J78" s="1">
        <v>11</v>
      </c>
      <c r="K78" s="1">
        <v>2</v>
      </c>
      <c r="L78" s="1">
        <v>13</v>
      </c>
      <c r="M78" s="1">
        <v>27</v>
      </c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80"/>
      <c r="AC78" s="280"/>
      <c r="AD78" s="280"/>
      <c r="AE78" s="280"/>
      <c r="AF78" s="280"/>
      <c r="AG78" s="280"/>
      <c r="AH78" s="280"/>
      <c r="AI78" s="280"/>
      <c r="AJ78" s="280"/>
      <c r="AK78" s="280"/>
      <c r="AL78" s="280"/>
    </row>
    <row r="79" spans="1:38" ht="15.75">
      <c r="A79" s="1">
        <f t="shared" si="70"/>
        <v>1986</v>
      </c>
      <c r="B79" s="27">
        <v>28</v>
      </c>
      <c r="C79" s="1">
        <v>14</v>
      </c>
      <c r="D79" s="1">
        <v>3</v>
      </c>
      <c r="E79" s="1">
        <v>30</v>
      </c>
      <c r="F79" s="1">
        <v>28</v>
      </c>
      <c r="G79" s="1">
        <v>6</v>
      </c>
      <c r="H79" s="1">
        <v>17</v>
      </c>
      <c r="I79" s="22">
        <v>26</v>
      </c>
      <c r="J79" s="1">
        <v>29</v>
      </c>
      <c r="K79" s="1">
        <v>2</v>
      </c>
      <c r="L79" s="1">
        <v>11</v>
      </c>
      <c r="M79" s="1">
        <v>10</v>
      </c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80"/>
      <c r="AC79" s="280"/>
      <c r="AD79" s="280"/>
      <c r="AE79" s="280"/>
      <c r="AF79" s="280"/>
      <c r="AG79" s="280"/>
      <c r="AH79" s="280"/>
      <c r="AI79" s="280"/>
      <c r="AJ79" s="280"/>
      <c r="AK79" s="280"/>
      <c r="AL79" s="280"/>
    </row>
    <row r="80" spans="1:38" ht="15.75">
      <c r="A80" s="1">
        <f t="shared" si="70"/>
        <v>1987</v>
      </c>
      <c r="B80" s="20">
        <v>24</v>
      </c>
      <c r="C80" s="21">
        <v>10</v>
      </c>
      <c r="D80" s="1">
        <v>31</v>
      </c>
      <c r="E80" s="1">
        <v>2</v>
      </c>
      <c r="F80" s="1">
        <v>21</v>
      </c>
      <c r="G80" s="1">
        <v>18</v>
      </c>
      <c r="H80" s="1">
        <v>8</v>
      </c>
      <c r="I80" s="22">
        <v>7</v>
      </c>
      <c r="J80" s="1">
        <v>14</v>
      </c>
      <c r="K80" s="1">
        <v>1</v>
      </c>
      <c r="L80" s="1">
        <v>9</v>
      </c>
      <c r="M80" s="1">
        <v>18</v>
      </c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</row>
    <row r="81" spans="1:38" ht="15.75">
      <c r="A81" s="1">
        <f t="shared" si="70"/>
        <v>1988</v>
      </c>
      <c r="B81" s="27">
        <v>28</v>
      </c>
      <c r="C81" s="1">
        <v>7</v>
      </c>
      <c r="D81" s="1">
        <v>16</v>
      </c>
      <c r="E81" s="1">
        <v>27</v>
      </c>
      <c r="F81" s="1">
        <v>24</v>
      </c>
      <c r="G81" s="1">
        <v>30</v>
      </c>
      <c r="H81" s="22">
        <v>12</v>
      </c>
      <c r="I81" s="1">
        <v>23</v>
      </c>
      <c r="J81" s="1">
        <v>13</v>
      </c>
      <c r="K81" s="1">
        <v>4</v>
      </c>
      <c r="L81" s="1">
        <v>17</v>
      </c>
      <c r="M81" s="1">
        <v>19</v>
      </c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</row>
    <row r="82" spans="1:38" ht="15.75">
      <c r="A82" s="1">
        <f t="shared" si="70"/>
        <v>1989</v>
      </c>
      <c r="B82" s="20">
        <v>5</v>
      </c>
      <c r="C82" s="21">
        <v>24</v>
      </c>
      <c r="D82" s="1">
        <v>9</v>
      </c>
      <c r="E82" s="1">
        <v>27</v>
      </c>
      <c r="F82" s="1">
        <v>26</v>
      </c>
      <c r="G82" s="22">
        <v>16</v>
      </c>
      <c r="H82" s="1">
        <v>10</v>
      </c>
      <c r="I82" s="1">
        <v>31</v>
      </c>
      <c r="J82" s="1">
        <v>13</v>
      </c>
      <c r="K82" s="1">
        <v>4</v>
      </c>
      <c r="L82" s="1">
        <v>8</v>
      </c>
      <c r="M82" s="21">
        <v>23</v>
      </c>
      <c r="N82" s="5"/>
      <c r="O82" s="5"/>
      <c r="P82" s="90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80"/>
      <c r="AC82" s="280"/>
      <c r="AD82" s="280"/>
      <c r="AE82" s="280"/>
      <c r="AF82" s="280"/>
      <c r="AG82" s="280"/>
      <c r="AH82" s="280"/>
      <c r="AI82" s="280"/>
      <c r="AJ82" s="280"/>
      <c r="AK82" s="280"/>
      <c r="AL82" s="280"/>
    </row>
    <row r="83" spans="1:38" ht="15.75">
      <c r="A83" s="1">
        <f t="shared" si="70"/>
        <v>1990</v>
      </c>
      <c r="B83" s="20">
        <v>13</v>
      </c>
      <c r="C83" s="1">
        <v>26</v>
      </c>
      <c r="D83" s="1">
        <v>16</v>
      </c>
      <c r="E83" s="1">
        <v>30</v>
      </c>
      <c r="F83" s="1">
        <v>16</v>
      </c>
      <c r="G83" s="22">
        <v>6</v>
      </c>
      <c r="H83" s="1">
        <v>26</v>
      </c>
      <c r="I83" s="1">
        <v>29</v>
      </c>
      <c r="J83" s="1">
        <v>21</v>
      </c>
      <c r="K83" s="1">
        <v>4</v>
      </c>
      <c r="L83" s="1">
        <v>28</v>
      </c>
      <c r="M83" s="202">
        <v>10</v>
      </c>
      <c r="N83" s="5"/>
      <c r="O83" s="5"/>
      <c r="P83" s="90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80"/>
      <c r="AC83" s="280"/>
      <c r="AD83" s="280"/>
      <c r="AE83" s="280"/>
      <c r="AF83" s="280"/>
      <c r="AG83" s="280"/>
      <c r="AH83" s="280"/>
      <c r="AI83" s="280"/>
      <c r="AJ83" s="280"/>
      <c r="AK83" s="280"/>
      <c r="AL83" s="280"/>
    </row>
    <row r="84" spans="1:38" ht="15.75">
      <c r="A84" s="1">
        <f t="shared" si="70"/>
        <v>1991</v>
      </c>
      <c r="B84" s="20">
        <v>23</v>
      </c>
      <c r="C84" s="21">
        <v>16</v>
      </c>
      <c r="D84" s="1">
        <v>11</v>
      </c>
      <c r="E84" s="1">
        <v>29</v>
      </c>
      <c r="F84" s="1">
        <v>15</v>
      </c>
      <c r="G84" s="1">
        <v>20</v>
      </c>
      <c r="H84" s="1">
        <v>22</v>
      </c>
      <c r="I84" s="22">
        <v>12</v>
      </c>
      <c r="J84" s="1">
        <v>6</v>
      </c>
      <c r="K84" s="1">
        <v>3</v>
      </c>
      <c r="L84" s="1">
        <v>26</v>
      </c>
      <c r="M84" s="1">
        <v>5</v>
      </c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80"/>
      <c r="AC84" s="280"/>
      <c r="AD84" s="280"/>
      <c r="AE84" s="280"/>
      <c r="AF84" s="280"/>
      <c r="AG84" s="280"/>
      <c r="AH84" s="280"/>
      <c r="AI84" s="280"/>
      <c r="AJ84" s="280"/>
      <c r="AK84" s="280"/>
      <c r="AL84" s="280"/>
    </row>
    <row r="85" spans="1:38" ht="15.75">
      <c r="A85" s="1">
        <f t="shared" si="70"/>
        <v>1992</v>
      </c>
      <c r="B85" s="27">
        <v>17</v>
      </c>
      <c r="C85" s="1">
        <v>9</v>
      </c>
      <c r="D85" s="1">
        <v>12</v>
      </c>
      <c r="E85" s="1">
        <v>23</v>
      </c>
      <c r="F85" s="1">
        <v>29</v>
      </c>
      <c r="G85" s="1">
        <v>11</v>
      </c>
      <c r="H85" s="22">
        <v>9</v>
      </c>
      <c r="I85" s="1">
        <v>19</v>
      </c>
      <c r="J85" s="1">
        <v>21</v>
      </c>
      <c r="K85" s="1">
        <v>9</v>
      </c>
      <c r="L85" s="1">
        <v>4</v>
      </c>
      <c r="M85" s="1">
        <v>3</v>
      </c>
    </row>
    <row r="86" spans="1:38" ht="15.75">
      <c r="A86" s="1">
        <f t="shared" si="70"/>
        <v>1993</v>
      </c>
      <c r="B86" s="20">
        <v>28</v>
      </c>
      <c r="C86" s="1">
        <v>19</v>
      </c>
      <c r="D86" s="21">
        <v>15</v>
      </c>
      <c r="E86" s="1">
        <v>14</v>
      </c>
      <c r="F86" s="1">
        <v>18</v>
      </c>
      <c r="G86" s="1">
        <v>9</v>
      </c>
      <c r="H86" s="1">
        <v>29</v>
      </c>
      <c r="I86" s="22">
        <v>5</v>
      </c>
      <c r="J86" s="1">
        <v>20</v>
      </c>
      <c r="K86" s="1">
        <v>21</v>
      </c>
      <c r="L86" s="1">
        <v>15</v>
      </c>
      <c r="M86" s="1">
        <v>27</v>
      </c>
    </row>
    <row r="87" spans="1:38" ht="15.75">
      <c r="A87" s="1">
        <f t="shared" si="70"/>
        <v>1994</v>
      </c>
      <c r="B87" s="20">
        <v>6</v>
      </c>
      <c r="C87" s="21">
        <v>3</v>
      </c>
      <c r="D87" s="1">
        <v>28</v>
      </c>
      <c r="E87" s="1">
        <v>26</v>
      </c>
      <c r="F87" s="1">
        <v>31</v>
      </c>
      <c r="G87" s="22">
        <v>27</v>
      </c>
      <c r="H87" s="1">
        <v>11</v>
      </c>
      <c r="I87" s="1">
        <v>1</v>
      </c>
      <c r="J87" s="1">
        <v>1</v>
      </c>
      <c r="K87" s="1">
        <v>4</v>
      </c>
      <c r="L87" s="1">
        <v>9</v>
      </c>
      <c r="M87" s="1">
        <v>5</v>
      </c>
    </row>
    <row r="88" spans="1:38" ht="15.75">
      <c r="A88" s="1">
        <f t="shared" si="70"/>
        <v>1995</v>
      </c>
      <c r="B88" s="20">
        <v>25</v>
      </c>
      <c r="C88" s="21">
        <v>9</v>
      </c>
      <c r="D88" s="1">
        <v>10</v>
      </c>
      <c r="E88" s="1">
        <v>20</v>
      </c>
      <c r="F88" s="1">
        <v>18</v>
      </c>
      <c r="G88" s="1">
        <v>9</v>
      </c>
      <c r="H88" s="1">
        <v>5</v>
      </c>
      <c r="I88" s="22">
        <v>15</v>
      </c>
      <c r="J88" s="1">
        <v>14</v>
      </c>
      <c r="K88" s="1">
        <v>12</v>
      </c>
      <c r="L88" s="1">
        <v>2</v>
      </c>
      <c r="M88" s="1">
        <v>11</v>
      </c>
    </row>
    <row r="89" spans="1:38" ht="15.75">
      <c r="A89" s="1">
        <f t="shared" si="70"/>
        <v>1996</v>
      </c>
      <c r="B89" s="20">
        <v>9</v>
      </c>
      <c r="C89" s="21">
        <v>5</v>
      </c>
      <c r="D89" s="1">
        <v>9</v>
      </c>
      <c r="E89" s="1">
        <v>29</v>
      </c>
      <c r="F89" s="1">
        <v>23</v>
      </c>
      <c r="G89" s="1">
        <v>25</v>
      </c>
      <c r="H89" s="22">
        <v>25</v>
      </c>
      <c r="I89" s="1">
        <v>7</v>
      </c>
      <c r="J89" s="1">
        <v>3</v>
      </c>
      <c r="K89" s="1">
        <v>1</v>
      </c>
      <c r="L89" s="1">
        <v>1</v>
      </c>
      <c r="M89" s="1">
        <v>20</v>
      </c>
    </row>
    <row r="90" spans="1:38" ht="15.75">
      <c r="A90" s="1">
        <f t="shared" si="70"/>
        <v>1997</v>
      </c>
      <c r="B90" s="27">
        <v>19</v>
      </c>
      <c r="C90" s="1">
        <v>12</v>
      </c>
      <c r="D90" s="1">
        <v>3</v>
      </c>
      <c r="E90" s="1">
        <v>22</v>
      </c>
      <c r="F90" s="22">
        <v>27</v>
      </c>
      <c r="G90" s="1">
        <v>18</v>
      </c>
      <c r="H90" s="1">
        <v>3</v>
      </c>
      <c r="I90" s="1">
        <v>18</v>
      </c>
      <c r="J90" s="1">
        <v>17</v>
      </c>
      <c r="K90" s="1">
        <v>1</v>
      </c>
      <c r="L90" s="1">
        <v>17</v>
      </c>
      <c r="M90" s="1">
        <v>15</v>
      </c>
    </row>
    <row r="91" spans="1:38" ht="15.75">
      <c r="A91" s="1">
        <f t="shared" si="70"/>
        <v>1998</v>
      </c>
      <c r="B91" s="20">
        <v>29</v>
      </c>
      <c r="C91" s="1">
        <v>10</v>
      </c>
      <c r="D91" s="21">
        <v>13</v>
      </c>
      <c r="E91" s="1">
        <v>2</v>
      </c>
      <c r="F91" s="1">
        <v>20</v>
      </c>
      <c r="G91" s="1">
        <v>12</v>
      </c>
      <c r="H91" s="1">
        <v>2</v>
      </c>
      <c r="I91" s="22">
        <v>27</v>
      </c>
      <c r="J91" s="1">
        <v>1</v>
      </c>
      <c r="K91" s="1">
        <v>6</v>
      </c>
      <c r="L91" s="1">
        <v>18</v>
      </c>
      <c r="M91" s="1">
        <v>18</v>
      </c>
    </row>
    <row r="92" spans="1:38" ht="15.75">
      <c r="A92" s="1">
        <f t="shared" si="70"/>
        <v>1999</v>
      </c>
      <c r="B92" s="27">
        <v>6</v>
      </c>
      <c r="C92" s="1">
        <v>23</v>
      </c>
      <c r="D92" s="1">
        <v>5</v>
      </c>
      <c r="E92" s="1">
        <v>26</v>
      </c>
      <c r="F92" s="1">
        <v>25</v>
      </c>
      <c r="G92" s="1">
        <v>15</v>
      </c>
      <c r="H92" s="1">
        <v>28</v>
      </c>
      <c r="I92" s="22">
        <v>2</v>
      </c>
      <c r="J92" s="1">
        <v>28</v>
      </c>
      <c r="K92" s="1">
        <v>11</v>
      </c>
      <c r="L92" s="1">
        <v>1</v>
      </c>
      <c r="M92" s="1">
        <v>2</v>
      </c>
    </row>
    <row r="93" spans="1:38" ht="15.75">
      <c r="A93" s="165">
        <f t="shared" si="70"/>
        <v>2000</v>
      </c>
      <c r="B93" s="27">
        <v>27</v>
      </c>
      <c r="C93" s="1">
        <v>6</v>
      </c>
      <c r="D93" s="1">
        <v>31</v>
      </c>
      <c r="E93" s="1">
        <v>3</v>
      </c>
      <c r="F93" s="1">
        <v>25</v>
      </c>
      <c r="G93" s="1">
        <v>14</v>
      </c>
      <c r="H93" s="1">
        <v>12</v>
      </c>
      <c r="I93" s="22">
        <v>8</v>
      </c>
      <c r="J93" s="1">
        <v>19</v>
      </c>
      <c r="K93" s="1">
        <v>4</v>
      </c>
      <c r="L93" s="1">
        <v>22</v>
      </c>
      <c r="M93" s="1">
        <v>21</v>
      </c>
      <c r="N93" s="372"/>
    </row>
    <row r="94" spans="1:38" ht="15.75">
      <c r="A94" s="165">
        <f t="shared" si="70"/>
        <v>2001</v>
      </c>
      <c r="B94" s="27">
        <v>5</v>
      </c>
      <c r="C94" s="1">
        <v>6</v>
      </c>
      <c r="D94" s="1">
        <v>12</v>
      </c>
      <c r="E94" s="1">
        <v>13</v>
      </c>
      <c r="F94" s="1">
        <v>22</v>
      </c>
      <c r="G94" s="1">
        <v>13</v>
      </c>
      <c r="H94" s="1">
        <v>30</v>
      </c>
      <c r="I94" s="22">
        <v>29</v>
      </c>
      <c r="J94" s="1">
        <v>4</v>
      </c>
      <c r="K94" s="1">
        <v>24</v>
      </c>
      <c r="L94" s="1">
        <v>1</v>
      </c>
      <c r="M94" s="1">
        <v>12</v>
      </c>
    </row>
    <row r="95" spans="1:38" ht="15.75">
      <c r="A95" s="165">
        <f t="shared" si="70"/>
        <v>2002</v>
      </c>
      <c r="B95" s="27">
        <v>9</v>
      </c>
      <c r="C95" s="1">
        <v>28</v>
      </c>
      <c r="D95" s="1">
        <v>5</v>
      </c>
      <c r="E95" s="1">
        <v>30</v>
      </c>
      <c r="F95" s="1">
        <v>3</v>
      </c>
      <c r="G95" s="1">
        <v>3</v>
      </c>
      <c r="H95" s="22">
        <v>17</v>
      </c>
      <c r="I95" s="1">
        <v>6</v>
      </c>
      <c r="J95" s="1">
        <v>4</v>
      </c>
      <c r="K95" s="1">
        <v>1</v>
      </c>
      <c r="L95" s="1">
        <v>11</v>
      </c>
      <c r="M95" s="1">
        <v>16</v>
      </c>
    </row>
    <row r="96" spans="1:38" ht="15.75">
      <c r="A96" s="165">
        <f t="shared" si="70"/>
        <v>2003</v>
      </c>
      <c r="B96" s="27">
        <v>24</v>
      </c>
      <c r="C96" s="1">
        <v>3</v>
      </c>
      <c r="D96" s="1">
        <v>20</v>
      </c>
      <c r="E96" s="1">
        <v>7</v>
      </c>
      <c r="F96" s="1">
        <v>9</v>
      </c>
      <c r="G96" s="1">
        <v>11</v>
      </c>
      <c r="H96" s="22">
        <v>8</v>
      </c>
      <c r="I96" s="1">
        <v>12</v>
      </c>
      <c r="J96" s="1">
        <v>24</v>
      </c>
      <c r="K96" s="1">
        <v>13</v>
      </c>
      <c r="L96" s="1">
        <v>5</v>
      </c>
      <c r="M96" s="1">
        <v>21</v>
      </c>
    </row>
    <row r="97" spans="1:13" ht="15.75">
      <c r="A97" s="165">
        <f t="shared" si="70"/>
        <v>2004</v>
      </c>
      <c r="B97" s="27">
        <v>29</v>
      </c>
      <c r="C97" s="1">
        <v>19</v>
      </c>
      <c r="D97" s="1">
        <v>5</v>
      </c>
      <c r="E97" s="1">
        <v>30</v>
      </c>
      <c r="F97" s="1">
        <v>26</v>
      </c>
      <c r="G97" s="22">
        <v>23</v>
      </c>
      <c r="H97" s="1">
        <v>9</v>
      </c>
      <c r="I97" s="1">
        <v>19</v>
      </c>
      <c r="J97" s="1">
        <v>1</v>
      </c>
      <c r="K97" s="1">
        <v>4</v>
      </c>
      <c r="L97" s="1">
        <v>3</v>
      </c>
      <c r="M97" s="1">
        <v>15</v>
      </c>
    </row>
    <row r="98" spans="1:13" ht="15.75">
      <c r="A98" s="165">
        <f t="shared" ref="A98:A116" si="71">A39</f>
        <v>2005</v>
      </c>
      <c r="B98" s="27">
        <v>24</v>
      </c>
      <c r="C98" s="1">
        <v>11</v>
      </c>
      <c r="D98" s="1">
        <v>3</v>
      </c>
      <c r="E98" s="1">
        <v>1</v>
      </c>
      <c r="F98" s="1">
        <v>30</v>
      </c>
      <c r="G98" s="1">
        <v>15</v>
      </c>
      <c r="H98" s="1">
        <v>20</v>
      </c>
      <c r="I98" s="22">
        <v>19</v>
      </c>
      <c r="J98" s="1">
        <v>19</v>
      </c>
      <c r="K98" s="1">
        <v>3</v>
      </c>
      <c r="L98" s="1">
        <v>8</v>
      </c>
      <c r="M98" s="1">
        <v>22</v>
      </c>
    </row>
    <row r="99" spans="1:13" ht="15.75">
      <c r="A99" s="165">
        <f t="shared" si="71"/>
        <v>2006</v>
      </c>
      <c r="B99" s="322">
        <v>19</v>
      </c>
      <c r="C99" s="21">
        <v>14</v>
      </c>
      <c r="D99" s="1">
        <v>13</v>
      </c>
      <c r="E99" s="1">
        <v>20</v>
      </c>
      <c r="F99" s="1">
        <v>31</v>
      </c>
      <c r="G99" s="1">
        <v>21</v>
      </c>
      <c r="H99" s="1">
        <v>26</v>
      </c>
      <c r="I99" s="22">
        <v>2</v>
      </c>
      <c r="J99" s="1">
        <v>18</v>
      </c>
      <c r="K99" s="1">
        <v>19</v>
      </c>
      <c r="L99" s="1">
        <v>1</v>
      </c>
      <c r="M99" s="1">
        <v>18</v>
      </c>
    </row>
    <row r="100" spans="1:13" ht="15.75">
      <c r="A100" s="220">
        <f t="shared" si="71"/>
        <v>2007</v>
      </c>
      <c r="B100" s="260">
        <v>30</v>
      </c>
      <c r="C100" s="192">
        <v>19</v>
      </c>
      <c r="D100" s="68">
        <v>28</v>
      </c>
      <c r="E100" s="68">
        <v>26</v>
      </c>
      <c r="F100" s="68">
        <v>4</v>
      </c>
      <c r="G100" s="68">
        <v>26</v>
      </c>
      <c r="H100" s="68">
        <v>11</v>
      </c>
      <c r="I100" s="256">
        <v>20</v>
      </c>
      <c r="J100" s="68">
        <v>13</v>
      </c>
      <c r="K100" s="68">
        <v>4</v>
      </c>
      <c r="L100" s="68">
        <v>1</v>
      </c>
      <c r="M100" s="68">
        <v>17</v>
      </c>
    </row>
    <row r="101" spans="1:13" ht="15.75">
      <c r="A101" s="220">
        <f t="shared" si="71"/>
        <v>2008</v>
      </c>
      <c r="B101" s="261">
        <v>3</v>
      </c>
      <c r="C101" s="68">
        <v>28</v>
      </c>
      <c r="D101" s="68">
        <v>16</v>
      </c>
      <c r="E101" s="68">
        <v>3</v>
      </c>
      <c r="F101" s="68">
        <v>31</v>
      </c>
      <c r="G101" s="256">
        <v>6</v>
      </c>
      <c r="H101" s="68">
        <v>21</v>
      </c>
      <c r="I101" s="68">
        <v>27</v>
      </c>
      <c r="J101" s="68">
        <v>11</v>
      </c>
      <c r="K101" s="68">
        <v>10</v>
      </c>
      <c r="L101" s="68">
        <v>13</v>
      </c>
      <c r="M101" s="68">
        <v>3</v>
      </c>
    </row>
    <row r="102" spans="1:13" ht="16.5" thickBot="1">
      <c r="A102" s="220">
        <f t="shared" si="71"/>
        <v>2009</v>
      </c>
      <c r="B102" s="261">
        <v>22</v>
      </c>
      <c r="C102" s="68">
        <v>6</v>
      </c>
      <c r="D102" s="68">
        <v>3</v>
      </c>
      <c r="E102" s="68">
        <v>1</v>
      </c>
      <c r="F102" s="68">
        <v>11</v>
      </c>
      <c r="G102" s="22">
        <v>22</v>
      </c>
      <c r="H102" s="68">
        <v>29</v>
      </c>
      <c r="I102" s="68">
        <v>20</v>
      </c>
      <c r="J102" s="68">
        <v>21</v>
      </c>
      <c r="K102" s="68">
        <v>9</v>
      </c>
      <c r="L102" s="68">
        <v>1</v>
      </c>
      <c r="M102" s="68">
        <v>14</v>
      </c>
    </row>
    <row r="103" spans="1:13" ht="16.5" thickBot="1">
      <c r="A103" s="220">
        <f t="shared" si="71"/>
        <v>2010</v>
      </c>
      <c r="B103" s="262">
        <v>11</v>
      </c>
      <c r="C103" s="68">
        <v>26</v>
      </c>
      <c r="D103" s="68">
        <v>5</v>
      </c>
      <c r="E103" s="68">
        <v>23</v>
      </c>
      <c r="F103" s="68">
        <v>3</v>
      </c>
      <c r="G103" s="256">
        <v>14</v>
      </c>
      <c r="H103" s="68">
        <v>28</v>
      </c>
      <c r="I103" s="68">
        <v>19</v>
      </c>
      <c r="J103" s="68">
        <v>13</v>
      </c>
      <c r="K103" s="68">
        <v>28</v>
      </c>
      <c r="L103" s="68">
        <v>3</v>
      </c>
      <c r="M103" s="232">
        <v>15</v>
      </c>
    </row>
    <row r="104" spans="1:13" ht="15.75">
      <c r="A104" s="220">
        <f t="shared" si="71"/>
        <v>2011</v>
      </c>
      <c r="B104" s="260">
        <v>13</v>
      </c>
      <c r="C104" s="68">
        <v>14</v>
      </c>
      <c r="D104" s="68">
        <v>30</v>
      </c>
      <c r="E104" s="68">
        <v>28</v>
      </c>
      <c r="F104" s="68">
        <v>23</v>
      </c>
      <c r="G104" s="68">
        <v>21</v>
      </c>
      <c r="H104" s="68">
        <v>29</v>
      </c>
      <c r="I104" s="256">
        <v>12</v>
      </c>
      <c r="J104" s="68">
        <v>20</v>
      </c>
      <c r="K104" s="68">
        <v>12</v>
      </c>
      <c r="L104" s="68">
        <v>16</v>
      </c>
      <c r="M104" s="68">
        <v>6</v>
      </c>
    </row>
    <row r="105" spans="1:13" ht="15.75">
      <c r="A105" s="220">
        <f t="shared" si="71"/>
        <v>2012</v>
      </c>
      <c r="B105" s="261">
        <v>4</v>
      </c>
      <c r="C105" s="68">
        <v>13</v>
      </c>
      <c r="D105" s="68">
        <v>23</v>
      </c>
      <c r="E105" s="68">
        <v>3</v>
      </c>
      <c r="F105" s="68">
        <v>24</v>
      </c>
      <c r="G105" s="68">
        <v>12</v>
      </c>
      <c r="H105" s="68">
        <v>20</v>
      </c>
      <c r="I105" s="22">
        <v>9</v>
      </c>
      <c r="J105" s="68">
        <v>4</v>
      </c>
      <c r="K105" s="68">
        <v>4</v>
      </c>
      <c r="L105" s="68">
        <v>12</v>
      </c>
      <c r="M105" s="68">
        <v>10</v>
      </c>
    </row>
    <row r="106" spans="1:13" ht="15.75">
      <c r="A106" s="220">
        <f t="shared" si="71"/>
        <v>2013</v>
      </c>
      <c r="B106" s="260">
        <v>9</v>
      </c>
      <c r="C106" s="232">
        <v>18</v>
      </c>
      <c r="D106" s="68">
        <v>4</v>
      </c>
      <c r="E106" s="68">
        <v>16</v>
      </c>
      <c r="F106" s="68">
        <v>24</v>
      </c>
      <c r="G106" s="68">
        <v>17</v>
      </c>
      <c r="H106" s="68">
        <v>31</v>
      </c>
      <c r="I106" s="22">
        <v>13</v>
      </c>
      <c r="J106" s="68">
        <v>5</v>
      </c>
      <c r="K106" s="68">
        <v>1</v>
      </c>
      <c r="L106" s="68">
        <v>1</v>
      </c>
      <c r="M106" s="68">
        <v>11</v>
      </c>
    </row>
    <row r="107" spans="1:13" ht="15.75">
      <c r="A107" s="220">
        <f t="shared" si="71"/>
        <v>2014</v>
      </c>
      <c r="B107" s="261">
        <v>23</v>
      </c>
      <c r="C107" s="68">
        <v>14</v>
      </c>
      <c r="D107" s="68">
        <v>21</v>
      </c>
      <c r="E107" s="68">
        <v>29</v>
      </c>
      <c r="F107" s="68">
        <v>23</v>
      </c>
      <c r="G107" s="68">
        <v>26</v>
      </c>
      <c r="H107" s="68">
        <v>1</v>
      </c>
      <c r="I107" s="256">
        <v>21</v>
      </c>
      <c r="J107" s="68">
        <v>3</v>
      </c>
      <c r="K107" s="68">
        <v>2</v>
      </c>
      <c r="L107" s="68">
        <v>19</v>
      </c>
      <c r="M107" s="68">
        <v>10</v>
      </c>
    </row>
    <row r="108" spans="1:13" ht="15.75">
      <c r="A108" s="220">
        <f t="shared" si="71"/>
        <v>2015</v>
      </c>
      <c r="B108" s="260">
        <v>29</v>
      </c>
      <c r="C108" s="232">
        <v>20</v>
      </c>
      <c r="D108" s="68">
        <v>16</v>
      </c>
      <c r="E108" s="68">
        <v>15</v>
      </c>
      <c r="F108" s="68">
        <v>22</v>
      </c>
      <c r="G108" s="68">
        <v>23</v>
      </c>
      <c r="H108" s="68">
        <v>9</v>
      </c>
      <c r="I108" s="256">
        <v>25</v>
      </c>
      <c r="J108" s="68">
        <v>2</v>
      </c>
      <c r="K108" s="68">
        <v>2</v>
      </c>
      <c r="L108" s="232">
        <v>2</v>
      </c>
      <c r="M108" s="68">
        <v>30</v>
      </c>
    </row>
    <row r="109" spans="1:13" ht="15.75">
      <c r="A109" s="220">
        <f t="shared" si="71"/>
        <v>2016</v>
      </c>
      <c r="B109" s="260">
        <v>25</v>
      </c>
      <c r="C109" s="68">
        <v>11</v>
      </c>
      <c r="D109" s="68">
        <v>31</v>
      </c>
      <c r="E109" s="68">
        <v>29</v>
      </c>
      <c r="F109" s="68">
        <v>2</v>
      </c>
      <c r="G109" s="68">
        <v>15</v>
      </c>
      <c r="H109" s="256">
        <v>5</v>
      </c>
      <c r="I109" s="68">
        <v>23</v>
      </c>
      <c r="J109" s="68">
        <v>19</v>
      </c>
      <c r="K109" s="68">
        <v>5</v>
      </c>
      <c r="L109" s="68">
        <v>1</v>
      </c>
      <c r="M109" s="68">
        <v>19</v>
      </c>
    </row>
    <row r="110" spans="1:13" ht="15.75">
      <c r="A110" s="220">
        <f t="shared" si="71"/>
        <v>2017</v>
      </c>
      <c r="B110" s="261">
        <v>9</v>
      </c>
      <c r="C110" s="68">
        <v>28</v>
      </c>
      <c r="D110" s="68">
        <v>29</v>
      </c>
      <c r="E110" s="68">
        <v>28</v>
      </c>
      <c r="F110" s="68">
        <v>31</v>
      </c>
      <c r="G110" s="68">
        <v>22</v>
      </c>
      <c r="H110" s="256">
        <v>26</v>
      </c>
      <c r="I110" s="68">
        <v>31</v>
      </c>
      <c r="J110" s="68">
        <v>1</v>
      </c>
      <c r="K110" s="68">
        <v>9</v>
      </c>
      <c r="L110" s="68">
        <v>7</v>
      </c>
      <c r="M110" s="68">
        <v>11</v>
      </c>
    </row>
    <row r="111" spans="1:13" ht="15.75">
      <c r="A111" s="220">
        <f t="shared" si="71"/>
        <v>2018</v>
      </c>
      <c r="B111" s="261">
        <v>18</v>
      </c>
      <c r="C111" s="68">
        <v>21</v>
      </c>
      <c r="D111" s="68">
        <v>29</v>
      </c>
      <c r="E111" s="68">
        <v>23</v>
      </c>
      <c r="F111" s="68">
        <v>24</v>
      </c>
      <c r="G111" s="68">
        <v>18</v>
      </c>
      <c r="H111" s="68">
        <v>16</v>
      </c>
      <c r="I111" s="256">
        <v>17</v>
      </c>
      <c r="J111" s="68">
        <v>17</v>
      </c>
      <c r="K111" s="68">
        <v>16</v>
      </c>
      <c r="L111" s="232">
        <v>8</v>
      </c>
      <c r="M111" s="68">
        <v>3</v>
      </c>
    </row>
    <row r="112" spans="1:13" ht="15.75">
      <c r="A112" s="220">
        <f t="shared" si="71"/>
        <v>2019</v>
      </c>
      <c r="B112" s="68">
        <v>29</v>
      </c>
      <c r="C112" s="68">
        <v>22</v>
      </c>
      <c r="D112" s="68">
        <v>15</v>
      </c>
      <c r="E112" s="68">
        <v>30</v>
      </c>
      <c r="F112" s="68">
        <v>28</v>
      </c>
      <c r="G112" s="256">
        <v>25</v>
      </c>
      <c r="H112" s="68">
        <v>16</v>
      </c>
      <c r="I112" s="68">
        <v>22</v>
      </c>
      <c r="J112" s="68">
        <v>5</v>
      </c>
      <c r="K112" s="68">
        <v>28</v>
      </c>
      <c r="L112" s="68">
        <v>7</v>
      </c>
      <c r="M112" s="68">
        <v>17</v>
      </c>
    </row>
    <row r="113" spans="1:28" ht="15.75">
      <c r="A113" s="220">
        <f t="shared" si="71"/>
        <v>2020</v>
      </c>
      <c r="B113" s="281">
        <v>22</v>
      </c>
      <c r="C113" s="68">
        <v>18</v>
      </c>
      <c r="D113" s="232">
        <v>30</v>
      </c>
      <c r="E113" s="68">
        <v>12</v>
      </c>
      <c r="F113" s="68">
        <v>22</v>
      </c>
      <c r="G113" s="68">
        <v>25</v>
      </c>
      <c r="H113" s="68">
        <v>13</v>
      </c>
      <c r="I113" s="68">
        <v>25</v>
      </c>
      <c r="J113" s="366">
        <v>4</v>
      </c>
      <c r="K113" s="68">
        <v>8</v>
      </c>
      <c r="L113" s="68">
        <v>15</v>
      </c>
      <c r="M113" s="1">
        <v>26</v>
      </c>
    </row>
    <row r="114" spans="1:28" ht="15.75">
      <c r="A114" s="220">
        <f t="shared" si="71"/>
        <v>2021</v>
      </c>
      <c r="B114" s="260">
        <v>19</v>
      </c>
      <c r="C114" s="68">
        <v>4</v>
      </c>
      <c r="D114" s="232">
        <v>31</v>
      </c>
      <c r="E114" s="68">
        <v>29</v>
      </c>
      <c r="F114" s="68">
        <v>4</v>
      </c>
      <c r="G114" s="68">
        <v>11</v>
      </c>
      <c r="H114" s="68">
        <v>23</v>
      </c>
      <c r="I114" s="256">
        <v>18</v>
      </c>
      <c r="J114" s="68">
        <v>13</v>
      </c>
      <c r="K114" s="68">
        <v>7</v>
      </c>
      <c r="L114" s="68">
        <v>3</v>
      </c>
      <c r="M114" s="68">
        <v>19</v>
      </c>
    </row>
    <row r="115" spans="1:28" ht="16.5" thickBot="1">
      <c r="A115" s="220">
        <f t="shared" si="71"/>
        <v>2022</v>
      </c>
      <c r="B115" s="232">
        <v>31</v>
      </c>
      <c r="C115" s="68">
        <v>24</v>
      </c>
      <c r="D115" s="68">
        <v>8</v>
      </c>
      <c r="E115" s="68">
        <v>15</v>
      </c>
      <c r="F115" s="68">
        <v>23</v>
      </c>
      <c r="G115" s="256">
        <v>15</v>
      </c>
      <c r="H115" s="68">
        <v>13</v>
      </c>
      <c r="I115" s="68">
        <v>1</v>
      </c>
      <c r="J115" s="68">
        <v>6</v>
      </c>
      <c r="K115" s="68">
        <v>10</v>
      </c>
      <c r="L115" s="232">
        <v>1</v>
      </c>
      <c r="M115" s="68">
        <v>25</v>
      </c>
    </row>
    <row r="116" spans="1:28" ht="16.5" thickBot="1">
      <c r="A116" s="220">
        <f t="shared" si="71"/>
        <v>2023</v>
      </c>
      <c r="B116" s="443">
        <v>16</v>
      </c>
      <c r="C116" s="442">
        <v>23</v>
      </c>
      <c r="D116" s="442">
        <v>27</v>
      </c>
      <c r="E116" s="442">
        <v>4</v>
      </c>
      <c r="F116" s="442">
        <v>11</v>
      </c>
      <c r="G116" s="442">
        <v>29</v>
      </c>
      <c r="H116" s="444">
        <v>5</v>
      </c>
      <c r="I116" s="446">
        <v>9</v>
      </c>
      <c r="J116" s="445">
        <v>11</v>
      </c>
      <c r="K116" s="442">
        <v>5</v>
      </c>
      <c r="L116" s="443">
        <v>11</v>
      </c>
      <c r="M116" s="442">
        <v>3</v>
      </c>
    </row>
    <row r="117" spans="1:28" ht="15.75">
      <c r="A117" s="220">
        <v>2024</v>
      </c>
      <c r="B117" s="232"/>
      <c r="C117" s="68"/>
      <c r="F117" s="68"/>
      <c r="G117" s="68"/>
      <c r="H117" s="68"/>
      <c r="J117" s="22"/>
      <c r="K117" s="5"/>
      <c r="M117" s="21"/>
    </row>
    <row r="119" spans="1:28">
      <c r="L119" s="1" t="s">
        <v>88</v>
      </c>
    </row>
    <row r="120" spans="1:28" ht="15.75">
      <c r="B120" s="5" t="s">
        <v>6</v>
      </c>
    </row>
    <row r="122" spans="1:28">
      <c r="B122" s="165" t="s">
        <v>4</v>
      </c>
      <c r="C122" s="165" t="s">
        <v>8</v>
      </c>
      <c r="D122" s="165" t="s">
        <v>9</v>
      </c>
      <c r="E122" s="165" t="s">
        <v>10</v>
      </c>
      <c r="F122" s="165" t="s">
        <v>11</v>
      </c>
      <c r="G122" s="165" t="s">
        <v>12</v>
      </c>
      <c r="H122" s="165" t="s">
        <v>13</v>
      </c>
      <c r="I122" s="165" t="s">
        <v>15</v>
      </c>
      <c r="J122" s="165" t="s">
        <v>16</v>
      </c>
      <c r="K122" s="165" t="s">
        <v>17</v>
      </c>
      <c r="L122" s="165" t="s">
        <v>18</v>
      </c>
      <c r="M122" s="165" t="s">
        <v>19</v>
      </c>
      <c r="N122" s="165"/>
      <c r="O122" s="325"/>
      <c r="P122" s="313" t="s">
        <v>4</v>
      </c>
      <c r="Q122" s="313" t="s">
        <v>8</v>
      </c>
      <c r="R122" s="313" t="s">
        <v>9</v>
      </c>
      <c r="S122" s="313" t="s">
        <v>10</v>
      </c>
      <c r="T122" s="313" t="s">
        <v>11</v>
      </c>
      <c r="U122" s="313" t="s">
        <v>12</v>
      </c>
      <c r="V122" s="313" t="s">
        <v>13</v>
      </c>
      <c r="W122" s="313" t="s">
        <v>15</v>
      </c>
      <c r="X122" s="313" t="s">
        <v>16</v>
      </c>
      <c r="Y122" s="313" t="s">
        <v>17</v>
      </c>
      <c r="Z122" s="313" t="s">
        <v>18</v>
      </c>
      <c r="AA122" s="313" t="s">
        <v>19</v>
      </c>
      <c r="AB122" s="165"/>
    </row>
    <row r="123" spans="1:28" ht="15.75">
      <c r="A123" s="1">
        <f t="shared" ref="A123:A154" si="72">A7</f>
        <v>1973</v>
      </c>
      <c r="B123" s="30">
        <v>800</v>
      </c>
      <c r="C123" s="24">
        <v>1900</v>
      </c>
      <c r="D123" s="31">
        <v>2000</v>
      </c>
      <c r="E123" s="31">
        <v>2000</v>
      </c>
      <c r="F123" s="31">
        <v>1800</v>
      </c>
      <c r="G123" s="31">
        <v>1800</v>
      </c>
      <c r="H123" s="31">
        <v>1700</v>
      </c>
      <c r="I123" s="31">
        <v>1700</v>
      </c>
      <c r="J123" s="23">
        <v>1600</v>
      </c>
      <c r="K123" s="31">
        <v>1700</v>
      </c>
      <c r="L123" s="31">
        <v>1900</v>
      </c>
      <c r="M123" s="24">
        <v>1900</v>
      </c>
      <c r="O123" s="254">
        <f t="shared" ref="O123:O154" si="73">+A123</f>
        <v>1973</v>
      </c>
      <c r="P123" s="225">
        <f t="shared" ref="P123:P154" si="74">IF(AND(B123&gt;700,B123&lt;1000),1,0)</f>
        <v>1</v>
      </c>
      <c r="Q123" s="225">
        <f t="shared" ref="Q123:Q154" si="75">IF(AND(C123&gt;700,C123&lt;1000),1,0)</f>
        <v>0</v>
      </c>
      <c r="R123" s="225">
        <f t="shared" ref="R123:R154" si="76">IF(AND(D123&gt;700,D123&lt;1000),1,0)</f>
        <v>0</v>
      </c>
      <c r="S123" s="225">
        <f t="shared" ref="S123:S154" si="77">IF(AND(E123&gt;700,E123&lt;1000),1,0)</f>
        <v>0</v>
      </c>
      <c r="T123" s="225">
        <f t="shared" ref="T123:T154" si="78">IF(AND(F123&gt;700,F123&lt;1000),1,0)</f>
        <v>0</v>
      </c>
      <c r="U123" s="225">
        <f t="shared" ref="U123:U154" si="79">IF(AND(G123&gt;700,G123&lt;1000),1,0)</f>
        <v>0</v>
      </c>
      <c r="V123" s="225">
        <f t="shared" ref="V123:V154" si="80">IF(AND(H123&gt;700,H123&lt;1000),1,0)</f>
        <v>0</v>
      </c>
      <c r="W123" s="225">
        <f t="shared" ref="W123:W154" si="81">IF(AND(I123&gt;700,I123&lt;1000),1,0)</f>
        <v>0</v>
      </c>
      <c r="X123" s="225">
        <f t="shared" ref="X123:X154" si="82">IF(AND(J123&gt;700,J123&lt;1000),1,0)</f>
        <v>0</v>
      </c>
      <c r="Y123" s="225">
        <f t="shared" ref="Y123:Y154" si="83">IF(AND(K123&gt;700,K123&lt;1000),1,0)</f>
        <v>0</v>
      </c>
      <c r="Z123" s="225">
        <f t="shared" ref="Z123:Z154" si="84">IF(AND(L123&gt;700,L123&lt;1000),1,0)</f>
        <v>0</v>
      </c>
      <c r="AA123" s="225">
        <f t="shared" ref="AA123:AA154" si="85">IF(AND(M123&gt;700,M123&lt;1000),1,0)</f>
        <v>0</v>
      </c>
    </row>
    <row r="124" spans="1:28" ht="15.75">
      <c r="A124" s="1">
        <f t="shared" si="72"/>
        <v>1974</v>
      </c>
      <c r="B124" s="20">
        <v>2000</v>
      </c>
      <c r="C124" s="1">
        <v>800</v>
      </c>
      <c r="D124" s="1">
        <v>1700</v>
      </c>
      <c r="E124" s="1">
        <v>1700</v>
      </c>
      <c r="F124" s="1">
        <v>1800</v>
      </c>
      <c r="G124" s="1">
        <v>1700</v>
      </c>
      <c r="H124" s="1">
        <v>1800</v>
      </c>
      <c r="I124" s="1">
        <v>1600</v>
      </c>
      <c r="J124" s="22">
        <v>1700</v>
      </c>
      <c r="K124" s="1">
        <v>1900</v>
      </c>
      <c r="L124" s="1">
        <v>1900</v>
      </c>
      <c r="M124" s="1">
        <v>800</v>
      </c>
      <c r="O124" s="254">
        <f t="shared" si="73"/>
        <v>1974</v>
      </c>
      <c r="P124" s="225">
        <f t="shared" si="74"/>
        <v>0</v>
      </c>
      <c r="Q124" s="225">
        <f t="shared" si="75"/>
        <v>1</v>
      </c>
      <c r="R124" s="225">
        <f t="shared" si="76"/>
        <v>0</v>
      </c>
      <c r="S124" s="225">
        <f t="shared" si="77"/>
        <v>0</v>
      </c>
      <c r="T124" s="225">
        <f t="shared" si="78"/>
        <v>0</v>
      </c>
      <c r="U124" s="225">
        <f t="shared" si="79"/>
        <v>0</v>
      </c>
      <c r="V124" s="225">
        <f t="shared" si="80"/>
        <v>0</v>
      </c>
      <c r="W124" s="225">
        <f t="shared" si="81"/>
        <v>0</v>
      </c>
      <c r="X124" s="225">
        <f t="shared" si="82"/>
        <v>0</v>
      </c>
      <c r="Y124" s="225">
        <f t="shared" si="83"/>
        <v>0</v>
      </c>
      <c r="Z124" s="225">
        <f t="shared" si="84"/>
        <v>0</v>
      </c>
      <c r="AA124" s="225">
        <f t="shared" si="85"/>
        <v>1</v>
      </c>
    </row>
    <row r="125" spans="1:28" ht="15.75">
      <c r="A125" s="1">
        <f t="shared" si="72"/>
        <v>1975</v>
      </c>
      <c r="B125" s="27">
        <v>800</v>
      </c>
      <c r="C125" s="1">
        <v>700</v>
      </c>
      <c r="D125" s="1">
        <v>800</v>
      </c>
      <c r="E125" s="1">
        <v>1700</v>
      </c>
      <c r="F125" s="1">
        <v>1700</v>
      </c>
      <c r="G125" s="22">
        <v>1800</v>
      </c>
      <c r="H125" s="1">
        <v>1800</v>
      </c>
      <c r="I125" s="1">
        <v>1700</v>
      </c>
      <c r="J125" s="1">
        <v>1700</v>
      </c>
      <c r="K125" s="1">
        <v>2000</v>
      </c>
      <c r="L125" s="1">
        <v>900</v>
      </c>
      <c r="M125" s="1">
        <v>1900</v>
      </c>
      <c r="O125" s="254">
        <f t="shared" si="73"/>
        <v>1975</v>
      </c>
      <c r="P125" s="225">
        <f t="shared" si="74"/>
        <v>1</v>
      </c>
      <c r="Q125" s="225">
        <f t="shared" si="75"/>
        <v>0</v>
      </c>
      <c r="R125" s="225">
        <f t="shared" si="76"/>
        <v>1</v>
      </c>
      <c r="S125" s="225">
        <f t="shared" si="77"/>
        <v>0</v>
      </c>
      <c r="T125" s="225">
        <f t="shared" si="78"/>
        <v>0</v>
      </c>
      <c r="U125" s="225">
        <f t="shared" si="79"/>
        <v>0</v>
      </c>
      <c r="V125" s="225">
        <f t="shared" si="80"/>
        <v>0</v>
      </c>
      <c r="W125" s="225">
        <f t="shared" si="81"/>
        <v>0</v>
      </c>
      <c r="X125" s="225">
        <f t="shared" si="82"/>
        <v>0</v>
      </c>
      <c r="Y125" s="225">
        <f t="shared" si="83"/>
        <v>0</v>
      </c>
      <c r="Z125" s="225">
        <f t="shared" si="84"/>
        <v>1</v>
      </c>
      <c r="AA125" s="225">
        <f t="shared" si="85"/>
        <v>0</v>
      </c>
    </row>
    <row r="126" spans="1:28" ht="15.75">
      <c r="A126" s="1">
        <f t="shared" si="72"/>
        <v>1976</v>
      </c>
      <c r="B126" s="27">
        <v>800</v>
      </c>
      <c r="C126" s="1">
        <v>800</v>
      </c>
      <c r="D126" s="1">
        <v>2000</v>
      </c>
      <c r="E126" s="1">
        <v>1800</v>
      </c>
      <c r="F126" s="1">
        <v>1700</v>
      </c>
      <c r="G126" s="1">
        <v>1700</v>
      </c>
      <c r="H126" s="1">
        <v>1800</v>
      </c>
      <c r="I126" s="1">
        <v>1700</v>
      </c>
      <c r="J126" s="22">
        <v>1700</v>
      </c>
      <c r="K126" s="1">
        <v>1900</v>
      </c>
      <c r="L126" s="1">
        <v>1900</v>
      </c>
      <c r="M126" s="1">
        <v>900</v>
      </c>
      <c r="O126" s="254">
        <f t="shared" si="73"/>
        <v>1976</v>
      </c>
      <c r="P126" s="225">
        <f t="shared" si="74"/>
        <v>1</v>
      </c>
      <c r="Q126" s="225">
        <f t="shared" si="75"/>
        <v>1</v>
      </c>
      <c r="R126" s="225">
        <f t="shared" si="76"/>
        <v>0</v>
      </c>
      <c r="S126" s="225">
        <f t="shared" si="77"/>
        <v>0</v>
      </c>
      <c r="T126" s="225">
        <f t="shared" si="78"/>
        <v>0</v>
      </c>
      <c r="U126" s="225">
        <f t="shared" si="79"/>
        <v>0</v>
      </c>
      <c r="V126" s="225">
        <f t="shared" si="80"/>
        <v>0</v>
      </c>
      <c r="W126" s="225">
        <f t="shared" si="81"/>
        <v>0</v>
      </c>
      <c r="X126" s="225">
        <f t="shared" si="82"/>
        <v>0</v>
      </c>
      <c r="Y126" s="225">
        <f t="shared" si="83"/>
        <v>0</v>
      </c>
      <c r="Z126" s="225">
        <f t="shared" si="84"/>
        <v>0</v>
      </c>
      <c r="AA126" s="225">
        <f t="shared" si="85"/>
        <v>1</v>
      </c>
    </row>
    <row r="127" spans="1:28" ht="15.75">
      <c r="A127" s="1">
        <f t="shared" si="72"/>
        <v>1977</v>
      </c>
      <c r="B127" s="27">
        <v>800</v>
      </c>
      <c r="C127" s="1">
        <v>800</v>
      </c>
      <c r="D127" s="1">
        <v>2000</v>
      </c>
      <c r="E127" s="1">
        <v>2000</v>
      </c>
      <c r="F127" s="1">
        <v>1900</v>
      </c>
      <c r="G127" s="22">
        <v>1700</v>
      </c>
      <c r="H127" s="1">
        <v>1700</v>
      </c>
      <c r="I127" s="1">
        <v>1700</v>
      </c>
      <c r="J127" s="1">
        <v>1700</v>
      </c>
      <c r="K127" s="1">
        <v>1700</v>
      </c>
      <c r="L127" s="1">
        <v>1900</v>
      </c>
      <c r="M127" s="1">
        <v>900</v>
      </c>
      <c r="O127" s="254">
        <f t="shared" si="73"/>
        <v>1977</v>
      </c>
      <c r="P127" s="225">
        <f t="shared" si="74"/>
        <v>1</v>
      </c>
      <c r="Q127" s="225">
        <f t="shared" si="75"/>
        <v>1</v>
      </c>
      <c r="R127" s="225">
        <f t="shared" si="76"/>
        <v>0</v>
      </c>
      <c r="S127" s="225">
        <f t="shared" si="77"/>
        <v>0</v>
      </c>
      <c r="T127" s="225">
        <f t="shared" si="78"/>
        <v>0</v>
      </c>
      <c r="U127" s="225">
        <f t="shared" si="79"/>
        <v>0</v>
      </c>
      <c r="V127" s="225">
        <f t="shared" si="80"/>
        <v>0</v>
      </c>
      <c r="W127" s="225">
        <f t="shared" si="81"/>
        <v>0</v>
      </c>
      <c r="X127" s="225">
        <f t="shared" si="82"/>
        <v>0</v>
      </c>
      <c r="Y127" s="225">
        <f t="shared" si="83"/>
        <v>0</v>
      </c>
      <c r="Z127" s="225">
        <f t="shared" si="84"/>
        <v>0</v>
      </c>
      <c r="AA127" s="225">
        <f t="shared" si="85"/>
        <v>1</v>
      </c>
    </row>
    <row r="128" spans="1:28" ht="15.75">
      <c r="A128" s="1">
        <f t="shared" si="72"/>
        <v>1978</v>
      </c>
      <c r="B128" s="20">
        <v>800</v>
      </c>
      <c r="C128" s="21">
        <v>800</v>
      </c>
      <c r="D128" s="1">
        <v>800</v>
      </c>
      <c r="E128" s="1">
        <v>2000</v>
      </c>
      <c r="F128" s="1">
        <v>1700</v>
      </c>
      <c r="G128" s="22">
        <v>1700</v>
      </c>
      <c r="H128" s="1">
        <v>1700</v>
      </c>
      <c r="I128" s="1">
        <v>1700</v>
      </c>
      <c r="J128" s="1">
        <v>1700</v>
      </c>
      <c r="K128" s="1">
        <v>1600</v>
      </c>
      <c r="L128" s="1">
        <v>1900</v>
      </c>
      <c r="M128" s="1">
        <v>1900</v>
      </c>
      <c r="O128" s="254">
        <f t="shared" si="73"/>
        <v>1978</v>
      </c>
      <c r="P128" s="225">
        <f t="shared" si="74"/>
        <v>1</v>
      </c>
      <c r="Q128" s="225">
        <f t="shared" si="75"/>
        <v>1</v>
      </c>
      <c r="R128" s="225">
        <f t="shared" si="76"/>
        <v>1</v>
      </c>
      <c r="S128" s="225">
        <f t="shared" si="77"/>
        <v>0</v>
      </c>
      <c r="T128" s="225">
        <f t="shared" si="78"/>
        <v>0</v>
      </c>
      <c r="U128" s="225">
        <f t="shared" si="79"/>
        <v>0</v>
      </c>
      <c r="V128" s="225">
        <f t="shared" si="80"/>
        <v>0</v>
      </c>
      <c r="W128" s="225">
        <f t="shared" si="81"/>
        <v>0</v>
      </c>
      <c r="X128" s="225">
        <f t="shared" si="82"/>
        <v>0</v>
      </c>
      <c r="Y128" s="225">
        <f t="shared" si="83"/>
        <v>0</v>
      </c>
      <c r="Z128" s="225">
        <f t="shared" si="84"/>
        <v>0</v>
      </c>
      <c r="AA128" s="225">
        <f t="shared" si="85"/>
        <v>0</v>
      </c>
    </row>
    <row r="129" spans="1:27" ht="15.75">
      <c r="A129" s="1">
        <f t="shared" si="72"/>
        <v>1979</v>
      </c>
      <c r="B129" s="27">
        <v>800</v>
      </c>
      <c r="C129" s="1">
        <v>800</v>
      </c>
      <c r="D129" s="1">
        <v>800</v>
      </c>
      <c r="E129" s="1">
        <v>2000</v>
      </c>
      <c r="F129" s="1">
        <v>1800</v>
      </c>
      <c r="G129" s="1">
        <v>1800</v>
      </c>
      <c r="H129" s="22">
        <v>1700</v>
      </c>
      <c r="I129" s="1">
        <v>1800</v>
      </c>
      <c r="J129" s="1">
        <v>1700</v>
      </c>
      <c r="K129" s="1">
        <v>1700</v>
      </c>
      <c r="L129" s="1">
        <v>1900</v>
      </c>
      <c r="M129" s="1">
        <v>800</v>
      </c>
      <c r="O129" s="254">
        <f t="shared" si="73"/>
        <v>1979</v>
      </c>
      <c r="P129" s="225">
        <f t="shared" si="74"/>
        <v>1</v>
      </c>
      <c r="Q129" s="225">
        <f t="shared" si="75"/>
        <v>1</v>
      </c>
      <c r="R129" s="225">
        <f t="shared" si="76"/>
        <v>1</v>
      </c>
      <c r="S129" s="225">
        <f t="shared" si="77"/>
        <v>0</v>
      </c>
      <c r="T129" s="225">
        <f t="shared" si="78"/>
        <v>0</v>
      </c>
      <c r="U129" s="225">
        <f t="shared" si="79"/>
        <v>0</v>
      </c>
      <c r="V129" s="225">
        <f t="shared" si="80"/>
        <v>0</v>
      </c>
      <c r="W129" s="225">
        <f t="shared" si="81"/>
        <v>0</v>
      </c>
      <c r="X129" s="225">
        <f t="shared" si="82"/>
        <v>0</v>
      </c>
      <c r="Y129" s="225">
        <f t="shared" si="83"/>
        <v>0</v>
      </c>
      <c r="Z129" s="225">
        <f t="shared" si="84"/>
        <v>0</v>
      </c>
      <c r="AA129" s="225">
        <f t="shared" si="85"/>
        <v>1</v>
      </c>
    </row>
    <row r="130" spans="1:27" ht="15.75">
      <c r="A130" s="1">
        <f t="shared" si="72"/>
        <v>1980</v>
      </c>
      <c r="B130" s="20">
        <v>800</v>
      </c>
      <c r="C130" s="1">
        <v>1000</v>
      </c>
      <c r="D130" s="21">
        <v>2000</v>
      </c>
      <c r="E130" s="1">
        <v>2000</v>
      </c>
      <c r="F130" s="1">
        <v>1600</v>
      </c>
      <c r="G130" s="1">
        <v>1700</v>
      </c>
      <c r="H130" s="1">
        <v>2100</v>
      </c>
      <c r="I130" s="22">
        <v>1700</v>
      </c>
      <c r="J130" s="1">
        <v>1700</v>
      </c>
      <c r="K130" s="1">
        <v>1900</v>
      </c>
      <c r="L130" s="1">
        <v>1900</v>
      </c>
      <c r="M130" s="1">
        <v>900</v>
      </c>
      <c r="O130" s="254">
        <f t="shared" si="73"/>
        <v>1980</v>
      </c>
      <c r="P130" s="225">
        <f t="shared" si="74"/>
        <v>1</v>
      </c>
      <c r="Q130" s="225">
        <f t="shared" si="75"/>
        <v>0</v>
      </c>
      <c r="R130" s="225">
        <f t="shared" si="76"/>
        <v>0</v>
      </c>
      <c r="S130" s="225">
        <f t="shared" si="77"/>
        <v>0</v>
      </c>
      <c r="T130" s="225">
        <f t="shared" si="78"/>
        <v>0</v>
      </c>
      <c r="U130" s="225">
        <f t="shared" si="79"/>
        <v>0</v>
      </c>
      <c r="V130" s="225">
        <f t="shared" si="80"/>
        <v>0</v>
      </c>
      <c r="W130" s="225">
        <f t="shared" si="81"/>
        <v>0</v>
      </c>
      <c r="X130" s="225">
        <f t="shared" si="82"/>
        <v>0</v>
      </c>
      <c r="Y130" s="225">
        <f t="shared" si="83"/>
        <v>0</v>
      </c>
      <c r="Z130" s="225">
        <f t="shared" si="84"/>
        <v>0</v>
      </c>
      <c r="AA130" s="225">
        <f t="shared" si="85"/>
        <v>1</v>
      </c>
    </row>
    <row r="131" spans="1:27" ht="15.75">
      <c r="A131" s="1">
        <f t="shared" si="72"/>
        <v>1981</v>
      </c>
      <c r="B131" s="27">
        <v>800</v>
      </c>
      <c r="C131" s="1">
        <v>2000</v>
      </c>
      <c r="D131" s="1">
        <v>2000</v>
      </c>
      <c r="E131" s="1">
        <v>2000</v>
      </c>
      <c r="F131" s="1">
        <v>1800</v>
      </c>
      <c r="G131" s="22">
        <v>1700</v>
      </c>
      <c r="H131" s="1">
        <v>1800</v>
      </c>
      <c r="I131" s="1">
        <v>1800</v>
      </c>
      <c r="J131" s="1">
        <v>1800</v>
      </c>
      <c r="K131" s="1">
        <v>1600</v>
      </c>
      <c r="L131" s="1">
        <v>800</v>
      </c>
      <c r="M131" s="1">
        <v>800</v>
      </c>
      <c r="O131" s="254">
        <f t="shared" si="73"/>
        <v>1981</v>
      </c>
      <c r="P131" s="225">
        <f t="shared" si="74"/>
        <v>1</v>
      </c>
      <c r="Q131" s="225">
        <f t="shared" si="75"/>
        <v>0</v>
      </c>
      <c r="R131" s="225">
        <f t="shared" si="76"/>
        <v>0</v>
      </c>
      <c r="S131" s="225">
        <f t="shared" si="77"/>
        <v>0</v>
      </c>
      <c r="T131" s="225">
        <f t="shared" si="78"/>
        <v>0</v>
      </c>
      <c r="U131" s="225">
        <f t="shared" si="79"/>
        <v>0</v>
      </c>
      <c r="V131" s="225">
        <f t="shared" si="80"/>
        <v>0</v>
      </c>
      <c r="W131" s="225">
        <f t="shared" si="81"/>
        <v>0</v>
      </c>
      <c r="X131" s="225">
        <f t="shared" si="82"/>
        <v>0</v>
      </c>
      <c r="Y131" s="225">
        <f t="shared" si="83"/>
        <v>0</v>
      </c>
      <c r="Z131" s="225">
        <f t="shared" si="84"/>
        <v>1</v>
      </c>
      <c r="AA131" s="225">
        <f t="shared" si="85"/>
        <v>1</v>
      </c>
    </row>
    <row r="132" spans="1:27" ht="15.75">
      <c r="A132" s="1">
        <f t="shared" si="72"/>
        <v>1982</v>
      </c>
      <c r="B132" s="27">
        <v>800</v>
      </c>
      <c r="C132" s="1">
        <v>2000</v>
      </c>
      <c r="D132" s="1">
        <v>800</v>
      </c>
      <c r="E132" s="1">
        <v>2000</v>
      </c>
      <c r="F132" s="1">
        <v>1700</v>
      </c>
      <c r="G132" s="1">
        <v>1700</v>
      </c>
      <c r="H132" s="1">
        <v>1700</v>
      </c>
      <c r="I132" s="1">
        <v>1600</v>
      </c>
      <c r="J132" s="22">
        <v>1700</v>
      </c>
      <c r="K132" s="1">
        <v>1600</v>
      </c>
      <c r="L132" s="1">
        <v>1900</v>
      </c>
      <c r="M132" s="1">
        <v>900</v>
      </c>
      <c r="O132" s="254">
        <f t="shared" si="73"/>
        <v>1982</v>
      </c>
      <c r="P132" s="225">
        <f t="shared" si="74"/>
        <v>1</v>
      </c>
      <c r="Q132" s="225">
        <f t="shared" si="75"/>
        <v>0</v>
      </c>
      <c r="R132" s="225">
        <f t="shared" si="76"/>
        <v>1</v>
      </c>
      <c r="S132" s="225">
        <f t="shared" si="77"/>
        <v>0</v>
      </c>
      <c r="T132" s="225">
        <f t="shared" si="78"/>
        <v>0</v>
      </c>
      <c r="U132" s="225">
        <f t="shared" si="79"/>
        <v>0</v>
      </c>
      <c r="V132" s="225">
        <f t="shared" si="80"/>
        <v>0</v>
      </c>
      <c r="W132" s="225">
        <f t="shared" si="81"/>
        <v>0</v>
      </c>
      <c r="X132" s="225">
        <f t="shared" si="82"/>
        <v>0</v>
      </c>
      <c r="Y132" s="225">
        <f t="shared" si="83"/>
        <v>0</v>
      </c>
      <c r="Z132" s="225">
        <f t="shared" si="84"/>
        <v>0</v>
      </c>
      <c r="AA132" s="225">
        <f t="shared" si="85"/>
        <v>1</v>
      </c>
    </row>
    <row r="133" spans="1:27" ht="15.75">
      <c r="A133" s="1">
        <f t="shared" si="72"/>
        <v>1983</v>
      </c>
      <c r="B133" s="27">
        <v>800</v>
      </c>
      <c r="C133" s="1">
        <v>800</v>
      </c>
      <c r="D133" s="1">
        <v>2000</v>
      </c>
      <c r="E133" s="1">
        <v>1800</v>
      </c>
      <c r="F133" s="1">
        <v>1700</v>
      </c>
      <c r="G133" s="1">
        <v>1700</v>
      </c>
      <c r="H133" s="22">
        <v>1700</v>
      </c>
      <c r="I133" s="1">
        <v>1600</v>
      </c>
      <c r="J133" s="1">
        <v>1700</v>
      </c>
      <c r="K133" s="1">
        <v>1700</v>
      </c>
      <c r="L133" s="1">
        <v>800</v>
      </c>
      <c r="M133" s="1">
        <v>1000</v>
      </c>
      <c r="O133" s="254">
        <f t="shared" si="73"/>
        <v>1983</v>
      </c>
      <c r="P133" s="225">
        <f t="shared" si="74"/>
        <v>1</v>
      </c>
      <c r="Q133" s="225">
        <f t="shared" si="75"/>
        <v>1</v>
      </c>
      <c r="R133" s="225">
        <f t="shared" si="76"/>
        <v>0</v>
      </c>
      <c r="S133" s="225">
        <f t="shared" si="77"/>
        <v>0</v>
      </c>
      <c r="T133" s="225">
        <f t="shared" si="78"/>
        <v>0</v>
      </c>
      <c r="U133" s="225">
        <f t="shared" si="79"/>
        <v>0</v>
      </c>
      <c r="V133" s="225">
        <f t="shared" si="80"/>
        <v>0</v>
      </c>
      <c r="W133" s="225">
        <f t="shared" si="81"/>
        <v>0</v>
      </c>
      <c r="X133" s="225">
        <f t="shared" si="82"/>
        <v>0</v>
      </c>
      <c r="Y133" s="225">
        <f t="shared" si="83"/>
        <v>0</v>
      </c>
      <c r="Z133" s="225">
        <f t="shared" si="84"/>
        <v>1</v>
      </c>
      <c r="AA133" s="225">
        <f t="shared" si="85"/>
        <v>0</v>
      </c>
    </row>
    <row r="134" spans="1:27" ht="15.75">
      <c r="A134" s="1">
        <f t="shared" si="72"/>
        <v>1984</v>
      </c>
      <c r="B134" s="20">
        <v>1100</v>
      </c>
      <c r="C134" s="21">
        <v>800</v>
      </c>
      <c r="D134" s="1">
        <v>800</v>
      </c>
      <c r="E134" s="1">
        <v>1700</v>
      </c>
      <c r="F134" s="1">
        <v>1600</v>
      </c>
      <c r="G134" s="1">
        <v>1800</v>
      </c>
      <c r="H134" s="22">
        <v>1600</v>
      </c>
      <c r="I134" s="1">
        <v>1700</v>
      </c>
      <c r="J134" s="1">
        <v>1700</v>
      </c>
      <c r="K134" s="1">
        <v>1900</v>
      </c>
      <c r="L134" s="1">
        <v>800</v>
      </c>
      <c r="M134" s="1">
        <v>800</v>
      </c>
      <c r="O134" s="254">
        <f t="shared" si="73"/>
        <v>1984</v>
      </c>
      <c r="P134" s="225">
        <f t="shared" si="74"/>
        <v>0</v>
      </c>
      <c r="Q134" s="225">
        <f t="shared" si="75"/>
        <v>1</v>
      </c>
      <c r="R134" s="225">
        <f t="shared" si="76"/>
        <v>1</v>
      </c>
      <c r="S134" s="225">
        <f t="shared" si="77"/>
        <v>0</v>
      </c>
      <c r="T134" s="225">
        <f t="shared" si="78"/>
        <v>0</v>
      </c>
      <c r="U134" s="225">
        <f t="shared" si="79"/>
        <v>0</v>
      </c>
      <c r="V134" s="225">
        <f t="shared" si="80"/>
        <v>0</v>
      </c>
      <c r="W134" s="225">
        <f t="shared" si="81"/>
        <v>0</v>
      </c>
      <c r="X134" s="225">
        <f t="shared" si="82"/>
        <v>0</v>
      </c>
      <c r="Y134" s="225">
        <f t="shared" si="83"/>
        <v>0</v>
      </c>
      <c r="Z134" s="225">
        <f t="shared" si="84"/>
        <v>1</v>
      </c>
      <c r="AA134" s="225">
        <f t="shared" si="85"/>
        <v>1</v>
      </c>
    </row>
    <row r="135" spans="1:27" ht="15.75">
      <c r="A135" s="1">
        <f t="shared" si="72"/>
        <v>1985</v>
      </c>
      <c r="B135" s="27">
        <v>800</v>
      </c>
      <c r="C135" s="1">
        <v>800</v>
      </c>
      <c r="D135" s="1">
        <v>800</v>
      </c>
      <c r="E135" s="1">
        <v>1800</v>
      </c>
      <c r="F135" s="1">
        <v>1700</v>
      </c>
      <c r="G135" s="22">
        <v>1700</v>
      </c>
      <c r="H135" s="1">
        <v>1700</v>
      </c>
      <c r="I135" s="1">
        <v>1600</v>
      </c>
      <c r="J135" s="1">
        <v>1700</v>
      </c>
      <c r="K135" s="1">
        <v>1700</v>
      </c>
      <c r="L135" s="1">
        <v>1900</v>
      </c>
      <c r="M135" s="1">
        <v>900</v>
      </c>
      <c r="O135" s="254">
        <f t="shared" si="73"/>
        <v>1985</v>
      </c>
      <c r="P135" s="225">
        <f t="shared" si="74"/>
        <v>1</v>
      </c>
      <c r="Q135" s="225">
        <f t="shared" si="75"/>
        <v>1</v>
      </c>
      <c r="R135" s="225">
        <f t="shared" si="76"/>
        <v>1</v>
      </c>
      <c r="S135" s="225">
        <f t="shared" si="77"/>
        <v>0</v>
      </c>
      <c r="T135" s="225">
        <f t="shared" si="78"/>
        <v>0</v>
      </c>
      <c r="U135" s="225">
        <f t="shared" si="79"/>
        <v>0</v>
      </c>
      <c r="V135" s="225">
        <f t="shared" si="80"/>
        <v>0</v>
      </c>
      <c r="W135" s="225">
        <f t="shared" si="81"/>
        <v>0</v>
      </c>
      <c r="X135" s="225">
        <f t="shared" si="82"/>
        <v>0</v>
      </c>
      <c r="Y135" s="225">
        <f t="shared" si="83"/>
        <v>0</v>
      </c>
      <c r="Z135" s="225">
        <f t="shared" si="84"/>
        <v>0</v>
      </c>
      <c r="AA135" s="225">
        <f t="shared" si="85"/>
        <v>1</v>
      </c>
    </row>
    <row r="136" spans="1:27" ht="15.75">
      <c r="A136" s="1">
        <f t="shared" si="72"/>
        <v>1986</v>
      </c>
      <c r="B136" s="27">
        <v>800</v>
      </c>
      <c r="C136" s="1">
        <v>800</v>
      </c>
      <c r="D136" s="1">
        <v>800</v>
      </c>
      <c r="E136" s="1">
        <v>1700</v>
      </c>
      <c r="F136" s="1">
        <v>1700</v>
      </c>
      <c r="G136" s="1">
        <v>1600</v>
      </c>
      <c r="H136" s="1">
        <v>1600</v>
      </c>
      <c r="I136" s="22">
        <v>1700</v>
      </c>
      <c r="J136" s="1">
        <v>1700</v>
      </c>
      <c r="K136" s="1">
        <v>1700</v>
      </c>
      <c r="L136" s="1">
        <v>1900</v>
      </c>
      <c r="M136" s="1">
        <v>1900</v>
      </c>
      <c r="O136" s="254">
        <f t="shared" si="73"/>
        <v>1986</v>
      </c>
      <c r="P136" s="225">
        <f t="shared" si="74"/>
        <v>1</v>
      </c>
      <c r="Q136" s="225">
        <f t="shared" si="75"/>
        <v>1</v>
      </c>
      <c r="R136" s="225">
        <f t="shared" si="76"/>
        <v>1</v>
      </c>
      <c r="S136" s="225">
        <f t="shared" si="77"/>
        <v>0</v>
      </c>
      <c r="T136" s="225">
        <f t="shared" si="78"/>
        <v>0</v>
      </c>
      <c r="U136" s="225">
        <f t="shared" si="79"/>
        <v>0</v>
      </c>
      <c r="V136" s="225">
        <f t="shared" si="80"/>
        <v>0</v>
      </c>
      <c r="W136" s="225">
        <f t="shared" si="81"/>
        <v>0</v>
      </c>
      <c r="X136" s="225">
        <f t="shared" si="82"/>
        <v>0</v>
      </c>
      <c r="Y136" s="225">
        <f t="shared" si="83"/>
        <v>0</v>
      </c>
      <c r="Z136" s="225">
        <f t="shared" si="84"/>
        <v>0</v>
      </c>
      <c r="AA136" s="225">
        <f t="shared" si="85"/>
        <v>0</v>
      </c>
    </row>
    <row r="137" spans="1:27" ht="15.75">
      <c r="A137" s="1">
        <f t="shared" si="72"/>
        <v>1987</v>
      </c>
      <c r="B137" s="20">
        <v>900</v>
      </c>
      <c r="C137" s="21">
        <v>800</v>
      </c>
      <c r="D137" s="1">
        <v>2000</v>
      </c>
      <c r="E137" s="1">
        <v>800</v>
      </c>
      <c r="F137" s="1">
        <v>1700</v>
      </c>
      <c r="G137" s="1">
        <v>1700</v>
      </c>
      <c r="H137" s="1">
        <v>1700</v>
      </c>
      <c r="I137" s="22">
        <v>1600</v>
      </c>
      <c r="J137" s="1">
        <v>1700</v>
      </c>
      <c r="K137" s="1">
        <v>1700</v>
      </c>
      <c r="L137" s="1">
        <v>1900</v>
      </c>
      <c r="M137" s="1">
        <v>800</v>
      </c>
      <c r="O137" s="254">
        <f t="shared" si="73"/>
        <v>1987</v>
      </c>
      <c r="P137" s="225">
        <f t="shared" si="74"/>
        <v>1</v>
      </c>
      <c r="Q137" s="225">
        <f t="shared" si="75"/>
        <v>1</v>
      </c>
      <c r="R137" s="225">
        <f t="shared" si="76"/>
        <v>0</v>
      </c>
      <c r="S137" s="225">
        <f t="shared" si="77"/>
        <v>1</v>
      </c>
      <c r="T137" s="225">
        <f t="shared" si="78"/>
        <v>0</v>
      </c>
      <c r="U137" s="225">
        <f t="shared" si="79"/>
        <v>0</v>
      </c>
      <c r="V137" s="225">
        <f t="shared" si="80"/>
        <v>0</v>
      </c>
      <c r="W137" s="225">
        <f t="shared" si="81"/>
        <v>0</v>
      </c>
      <c r="X137" s="225">
        <f t="shared" si="82"/>
        <v>0</v>
      </c>
      <c r="Y137" s="225">
        <f t="shared" si="83"/>
        <v>0</v>
      </c>
      <c r="Z137" s="225">
        <f t="shared" si="84"/>
        <v>0</v>
      </c>
      <c r="AA137" s="225">
        <f t="shared" si="85"/>
        <v>1</v>
      </c>
    </row>
    <row r="138" spans="1:27" ht="15.75">
      <c r="A138" s="1">
        <f t="shared" si="72"/>
        <v>1988</v>
      </c>
      <c r="B138" s="27">
        <v>800</v>
      </c>
      <c r="C138" s="1">
        <v>900</v>
      </c>
      <c r="D138" s="1">
        <v>800</v>
      </c>
      <c r="E138" s="1">
        <v>1800</v>
      </c>
      <c r="F138" s="1">
        <v>1700</v>
      </c>
      <c r="G138" s="1">
        <v>1700</v>
      </c>
      <c r="H138" s="22">
        <v>1800</v>
      </c>
      <c r="I138" s="1">
        <v>1700</v>
      </c>
      <c r="J138" s="1">
        <v>1700</v>
      </c>
      <c r="K138" s="1">
        <v>1700</v>
      </c>
      <c r="L138" s="1">
        <v>1900</v>
      </c>
      <c r="M138" s="1">
        <v>800</v>
      </c>
      <c r="O138" s="254">
        <f t="shared" si="73"/>
        <v>1988</v>
      </c>
      <c r="P138" s="225">
        <f t="shared" si="74"/>
        <v>1</v>
      </c>
      <c r="Q138" s="225">
        <f t="shared" si="75"/>
        <v>1</v>
      </c>
      <c r="R138" s="225">
        <f t="shared" si="76"/>
        <v>1</v>
      </c>
      <c r="S138" s="225">
        <f t="shared" si="77"/>
        <v>0</v>
      </c>
      <c r="T138" s="225">
        <f t="shared" si="78"/>
        <v>0</v>
      </c>
      <c r="U138" s="225">
        <f t="shared" si="79"/>
        <v>0</v>
      </c>
      <c r="V138" s="225">
        <f t="shared" si="80"/>
        <v>0</v>
      </c>
      <c r="W138" s="225">
        <f t="shared" si="81"/>
        <v>0</v>
      </c>
      <c r="X138" s="225">
        <f t="shared" si="82"/>
        <v>0</v>
      </c>
      <c r="Y138" s="225">
        <f t="shared" si="83"/>
        <v>0</v>
      </c>
      <c r="Z138" s="225">
        <f t="shared" si="84"/>
        <v>0</v>
      </c>
      <c r="AA138" s="225">
        <f t="shared" si="85"/>
        <v>1</v>
      </c>
    </row>
    <row r="139" spans="1:27" ht="15.75">
      <c r="A139" s="1">
        <f t="shared" si="72"/>
        <v>1989</v>
      </c>
      <c r="B139" s="20">
        <v>800</v>
      </c>
      <c r="C139" s="21">
        <v>800</v>
      </c>
      <c r="D139" s="1">
        <v>800</v>
      </c>
      <c r="E139" s="1">
        <v>1800</v>
      </c>
      <c r="F139" s="1">
        <v>1700</v>
      </c>
      <c r="G139" s="22">
        <v>1700</v>
      </c>
      <c r="H139" s="1">
        <v>1800</v>
      </c>
      <c r="I139" s="1">
        <v>1700</v>
      </c>
      <c r="J139" s="1">
        <v>1800</v>
      </c>
      <c r="K139" s="1">
        <v>1800</v>
      </c>
      <c r="L139" s="1">
        <v>1900</v>
      </c>
      <c r="M139" s="21">
        <v>1800</v>
      </c>
      <c r="O139" s="254">
        <f t="shared" si="73"/>
        <v>1989</v>
      </c>
      <c r="P139" s="225">
        <f t="shared" si="74"/>
        <v>1</v>
      </c>
      <c r="Q139" s="225">
        <f t="shared" si="75"/>
        <v>1</v>
      </c>
      <c r="R139" s="225">
        <f t="shared" si="76"/>
        <v>1</v>
      </c>
      <c r="S139" s="225">
        <f t="shared" si="77"/>
        <v>0</v>
      </c>
      <c r="T139" s="225">
        <f t="shared" si="78"/>
        <v>0</v>
      </c>
      <c r="U139" s="225">
        <f t="shared" si="79"/>
        <v>0</v>
      </c>
      <c r="V139" s="225">
        <f t="shared" si="80"/>
        <v>0</v>
      </c>
      <c r="W139" s="225">
        <f t="shared" si="81"/>
        <v>0</v>
      </c>
      <c r="X139" s="225">
        <f t="shared" si="82"/>
        <v>0</v>
      </c>
      <c r="Y139" s="225">
        <f t="shared" si="83"/>
        <v>0</v>
      </c>
      <c r="Z139" s="225">
        <f t="shared" si="84"/>
        <v>0</v>
      </c>
      <c r="AA139" s="225">
        <f t="shared" si="85"/>
        <v>0</v>
      </c>
    </row>
    <row r="140" spans="1:27" ht="15.75">
      <c r="A140" s="1">
        <f t="shared" si="72"/>
        <v>1990</v>
      </c>
      <c r="B140" s="20">
        <v>1000</v>
      </c>
      <c r="C140" s="1">
        <v>800</v>
      </c>
      <c r="D140" s="1">
        <v>1700</v>
      </c>
      <c r="E140" s="1">
        <v>1800</v>
      </c>
      <c r="F140" s="1">
        <v>1800</v>
      </c>
      <c r="G140" s="22">
        <v>1800</v>
      </c>
      <c r="H140" s="1">
        <v>1800</v>
      </c>
      <c r="I140" s="1">
        <v>1700</v>
      </c>
      <c r="J140" s="1">
        <v>1700</v>
      </c>
      <c r="K140" s="1">
        <v>1700</v>
      </c>
      <c r="L140" s="1">
        <v>1900</v>
      </c>
      <c r="M140" s="202">
        <v>800</v>
      </c>
      <c r="O140" s="254">
        <f t="shared" si="73"/>
        <v>1990</v>
      </c>
      <c r="P140" s="225">
        <f t="shared" si="74"/>
        <v>0</v>
      </c>
      <c r="Q140" s="225">
        <f t="shared" si="75"/>
        <v>1</v>
      </c>
      <c r="R140" s="225">
        <f t="shared" si="76"/>
        <v>0</v>
      </c>
      <c r="S140" s="225">
        <f t="shared" si="77"/>
        <v>0</v>
      </c>
      <c r="T140" s="225">
        <f t="shared" si="78"/>
        <v>0</v>
      </c>
      <c r="U140" s="225">
        <f t="shared" si="79"/>
        <v>0</v>
      </c>
      <c r="V140" s="225">
        <f t="shared" si="80"/>
        <v>0</v>
      </c>
      <c r="W140" s="225">
        <f t="shared" si="81"/>
        <v>0</v>
      </c>
      <c r="X140" s="225">
        <f t="shared" si="82"/>
        <v>0</v>
      </c>
      <c r="Y140" s="225">
        <f t="shared" si="83"/>
        <v>0</v>
      </c>
      <c r="Z140" s="225">
        <f t="shared" si="84"/>
        <v>0</v>
      </c>
      <c r="AA140" s="225">
        <f t="shared" si="85"/>
        <v>1</v>
      </c>
    </row>
    <row r="141" spans="1:27" ht="15.75">
      <c r="A141" s="1">
        <f t="shared" si="72"/>
        <v>1991</v>
      </c>
      <c r="B141" s="20">
        <v>800</v>
      </c>
      <c r="C141" s="21">
        <v>900</v>
      </c>
      <c r="D141" s="1">
        <v>800</v>
      </c>
      <c r="E141" s="1">
        <v>1800</v>
      </c>
      <c r="F141" s="1">
        <v>1700</v>
      </c>
      <c r="G141" s="1">
        <v>1600</v>
      </c>
      <c r="H141" s="1">
        <v>1800</v>
      </c>
      <c r="I141" s="22">
        <v>1700</v>
      </c>
      <c r="J141" s="1">
        <v>1700</v>
      </c>
      <c r="K141" s="1">
        <v>1800</v>
      </c>
      <c r="L141" s="1">
        <v>800</v>
      </c>
      <c r="M141" s="1">
        <v>800</v>
      </c>
      <c r="O141" s="254">
        <f t="shared" si="73"/>
        <v>1991</v>
      </c>
      <c r="P141" s="225">
        <f t="shared" si="74"/>
        <v>1</v>
      </c>
      <c r="Q141" s="225">
        <f t="shared" si="75"/>
        <v>1</v>
      </c>
      <c r="R141" s="225">
        <f t="shared" si="76"/>
        <v>1</v>
      </c>
      <c r="S141" s="225">
        <f t="shared" si="77"/>
        <v>0</v>
      </c>
      <c r="T141" s="225">
        <f t="shared" si="78"/>
        <v>0</v>
      </c>
      <c r="U141" s="225">
        <f t="shared" si="79"/>
        <v>0</v>
      </c>
      <c r="V141" s="225">
        <f t="shared" si="80"/>
        <v>0</v>
      </c>
      <c r="W141" s="225">
        <f t="shared" si="81"/>
        <v>0</v>
      </c>
      <c r="X141" s="225">
        <f t="shared" si="82"/>
        <v>0</v>
      </c>
      <c r="Y141" s="225">
        <f t="shared" si="83"/>
        <v>0</v>
      </c>
      <c r="Z141" s="225">
        <f t="shared" si="84"/>
        <v>1</v>
      </c>
      <c r="AA141" s="225">
        <f t="shared" si="85"/>
        <v>1</v>
      </c>
    </row>
    <row r="142" spans="1:27" ht="15.75">
      <c r="A142" s="1">
        <f t="shared" si="72"/>
        <v>1992</v>
      </c>
      <c r="B142" s="27">
        <v>800</v>
      </c>
      <c r="C142" s="1">
        <v>900</v>
      </c>
      <c r="D142" s="1">
        <v>2000</v>
      </c>
      <c r="E142" s="1">
        <v>1800</v>
      </c>
      <c r="F142" s="1">
        <v>1700</v>
      </c>
      <c r="G142" s="1">
        <v>1800</v>
      </c>
      <c r="H142" s="22">
        <v>1600</v>
      </c>
      <c r="I142" s="1">
        <v>1800</v>
      </c>
      <c r="J142" s="1">
        <v>1800</v>
      </c>
      <c r="K142" s="1">
        <v>1700</v>
      </c>
      <c r="L142" s="1">
        <v>1900</v>
      </c>
      <c r="M142" s="1">
        <v>800</v>
      </c>
      <c r="O142" s="254">
        <f t="shared" si="73"/>
        <v>1992</v>
      </c>
      <c r="P142" s="225">
        <f t="shared" si="74"/>
        <v>1</v>
      </c>
      <c r="Q142" s="225">
        <f t="shared" si="75"/>
        <v>1</v>
      </c>
      <c r="R142" s="225">
        <f t="shared" si="76"/>
        <v>0</v>
      </c>
      <c r="S142" s="225">
        <f t="shared" si="77"/>
        <v>0</v>
      </c>
      <c r="T142" s="225">
        <f t="shared" si="78"/>
        <v>0</v>
      </c>
      <c r="U142" s="225">
        <f t="shared" si="79"/>
        <v>0</v>
      </c>
      <c r="V142" s="225">
        <f t="shared" si="80"/>
        <v>0</v>
      </c>
      <c r="W142" s="225">
        <f t="shared" si="81"/>
        <v>0</v>
      </c>
      <c r="X142" s="225">
        <f t="shared" si="82"/>
        <v>0</v>
      </c>
      <c r="Y142" s="225">
        <f t="shared" si="83"/>
        <v>0</v>
      </c>
      <c r="Z142" s="225">
        <f t="shared" si="84"/>
        <v>0</v>
      </c>
      <c r="AA142" s="225">
        <f t="shared" si="85"/>
        <v>1</v>
      </c>
    </row>
    <row r="143" spans="1:27" ht="15.75">
      <c r="A143" s="1">
        <f t="shared" si="72"/>
        <v>1993</v>
      </c>
      <c r="B143" s="20">
        <v>800</v>
      </c>
      <c r="C143" s="1">
        <v>900</v>
      </c>
      <c r="D143" s="21">
        <v>800</v>
      </c>
      <c r="E143" s="1">
        <v>1800</v>
      </c>
      <c r="F143" s="1">
        <v>1800</v>
      </c>
      <c r="G143" s="1">
        <v>1800</v>
      </c>
      <c r="H143" s="1">
        <v>1700</v>
      </c>
      <c r="I143" s="22">
        <v>1700</v>
      </c>
      <c r="J143" s="1">
        <v>1700</v>
      </c>
      <c r="K143" s="1">
        <v>1700</v>
      </c>
      <c r="L143" s="1">
        <v>1900</v>
      </c>
      <c r="M143" s="1">
        <v>900</v>
      </c>
      <c r="O143" s="254">
        <f t="shared" si="73"/>
        <v>1993</v>
      </c>
      <c r="P143" s="225">
        <f t="shared" si="74"/>
        <v>1</v>
      </c>
      <c r="Q143" s="225">
        <f t="shared" si="75"/>
        <v>1</v>
      </c>
      <c r="R143" s="225">
        <f t="shared" si="76"/>
        <v>1</v>
      </c>
      <c r="S143" s="225">
        <f t="shared" si="77"/>
        <v>0</v>
      </c>
      <c r="T143" s="225">
        <f t="shared" si="78"/>
        <v>0</v>
      </c>
      <c r="U143" s="225">
        <f t="shared" si="79"/>
        <v>0</v>
      </c>
      <c r="V143" s="225">
        <f t="shared" si="80"/>
        <v>0</v>
      </c>
      <c r="W143" s="225">
        <f t="shared" si="81"/>
        <v>0</v>
      </c>
      <c r="X143" s="225">
        <f t="shared" si="82"/>
        <v>0</v>
      </c>
      <c r="Y143" s="225">
        <f t="shared" si="83"/>
        <v>0</v>
      </c>
      <c r="Z143" s="225">
        <f t="shared" si="84"/>
        <v>0</v>
      </c>
      <c r="AA143" s="225">
        <f t="shared" si="85"/>
        <v>1</v>
      </c>
    </row>
    <row r="144" spans="1:27" ht="15.75">
      <c r="A144" s="1">
        <f t="shared" si="72"/>
        <v>1994</v>
      </c>
      <c r="B144" s="20">
        <v>800</v>
      </c>
      <c r="C144" s="21">
        <v>800</v>
      </c>
      <c r="D144" s="1">
        <v>1700</v>
      </c>
      <c r="E144" s="1">
        <v>1700</v>
      </c>
      <c r="F144" s="1">
        <v>1700</v>
      </c>
      <c r="G144" s="22">
        <v>1700</v>
      </c>
      <c r="H144" s="1">
        <v>1700</v>
      </c>
      <c r="I144" s="1">
        <v>1700</v>
      </c>
      <c r="J144" s="1">
        <v>1700</v>
      </c>
      <c r="K144" s="1">
        <v>1700</v>
      </c>
      <c r="L144" s="1">
        <v>1900</v>
      </c>
      <c r="M144" s="1">
        <v>1900</v>
      </c>
      <c r="O144" s="254">
        <f t="shared" si="73"/>
        <v>1994</v>
      </c>
      <c r="P144" s="225">
        <f t="shared" si="74"/>
        <v>1</v>
      </c>
      <c r="Q144" s="225">
        <f t="shared" si="75"/>
        <v>1</v>
      </c>
      <c r="R144" s="225">
        <f t="shared" si="76"/>
        <v>0</v>
      </c>
      <c r="S144" s="225">
        <f t="shared" si="77"/>
        <v>0</v>
      </c>
      <c r="T144" s="225">
        <f t="shared" si="78"/>
        <v>0</v>
      </c>
      <c r="U144" s="225">
        <f t="shared" si="79"/>
        <v>0</v>
      </c>
      <c r="V144" s="225">
        <f t="shared" si="80"/>
        <v>0</v>
      </c>
      <c r="W144" s="225">
        <f t="shared" si="81"/>
        <v>0</v>
      </c>
      <c r="X144" s="225">
        <f t="shared" si="82"/>
        <v>0</v>
      </c>
      <c r="Y144" s="225">
        <f t="shared" si="83"/>
        <v>0</v>
      </c>
      <c r="Z144" s="225">
        <f t="shared" si="84"/>
        <v>0</v>
      </c>
      <c r="AA144" s="225">
        <f t="shared" si="85"/>
        <v>0</v>
      </c>
    </row>
    <row r="145" spans="1:27" ht="15.75">
      <c r="A145" s="1">
        <f t="shared" si="72"/>
        <v>1995</v>
      </c>
      <c r="B145" s="20">
        <v>800</v>
      </c>
      <c r="C145" s="21">
        <v>800</v>
      </c>
      <c r="D145" s="1">
        <v>800</v>
      </c>
      <c r="E145" s="1">
        <v>1800</v>
      </c>
      <c r="F145" s="1">
        <v>1800</v>
      </c>
      <c r="G145" s="1">
        <v>1700</v>
      </c>
      <c r="H145" s="1">
        <v>1700</v>
      </c>
      <c r="I145" s="22">
        <v>1600</v>
      </c>
      <c r="J145" s="1">
        <v>1700</v>
      </c>
      <c r="K145" s="1">
        <v>1700</v>
      </c>
      <c r="L145" s="1">
        <v>1600</v>
      </c>
      <c r="M145" s="1">
        <v>800</v>
      </c>
      <c r="O145" s="254">
        <f t="shared" si="73"/>
        <v>1995</v>
      </c>
      <c r="P145" s="225">
        <f t="shared" si="74"/>
        <v>1</v>
      </c>
      <c r="Q145" s="225">
        <f t="shared" si="75"/>
        <v>1</v>
      </c>
      <c r="R145" s="225">
        <f t="shared" si="76"/>
        <v>1</v>
      </c>
      <c r="S145" s="225">
        <f t="shared" si="77"/>
        <v>0</v>
      </c>
      <c r="T145" s="225">
        <f t="shared" si="78"/>
        <v>0</v>
      </c>
      <c r="U145" s="225">
        <f t="shared" si="79"/>
        <v>0</v>
      </c>
      <c r="V145" s="225">
        <f t="shared" si="80"/>
        <v>0</v>
      </c>
      <c r="W145" s="225">
        <f t="shared" si="81"/>
        <v>0</v>
      </c>
      <c r="X145" s="225">
        <f t="shared" si="82"/>
        <v>0</v>
      </c>
      <c r="Y145" s="225">
        <f t="shared" si="83"/>
        <v>0</v>
      </c>
      <c r="Z145" s="225">
        <f t="shared" si="84"/>
        <v>0</v>
      </c>
      <c r="AA145" s="225">
        <f t="shared" si="85"/>
        <v>1</v>
      </c>
    </row>
    <row r="146" spans="1:27" ht="15.75">
      <c r="A146" s="1">
        <f t="shared" si="72"/>
        <v>1996</v>
      </c>
      <c r="B146" s="20">
        <v>800</v>
      </c>
      <c r="C146" s="21">
        <v>800</v>
      </c>
      <c r="D146" s="1">
        <v>900</v>
      </c>
      <c r="E146" s="1">
        <v>1700</v>
      </c>
      <c r="F146" s="1">
        <v>1800</v>
      </c>
      <c r="G146" s="1">
        <v>1400</v>
      </c>
      <c r="H146" s="22">
        <v>1700</v>
      </c>
      <c r="I146" s="1">
        <v>1800</v>
      </c>
      <c r="J146" s="1">
        <v>1700</v>
      </c>
      <c r="K146" s="1">
        <v>1500</v>
      </c>
      <c r="L146" s="1">
        <v>1400</v>
      </c>
      <c r="M146" s="1">
        <v>800</v>
      </c>
      <c r="O146" s="254">
        <f t="shared" si="73"/>
        <v>1996</v>
      </c>
      <c r="P146" s="225">
        <f t="shared" si="74"/>
        <v>1</v>
      </c>
      <c r="Q146" s="225">
        <f t="shared" si="75"/>
        <v>1</v>
      </c>
      <c r="R146" s="225">
        <f t="shared" si="76"/>
        <v>1</v>
      </c>
      <c r="S146" s="225">
        <f t="shared" si="77"/>
        <v>0</v>
      </c>
      <c r="T146" s="225">
        <f t="shared" si="78"/>
        <v>0</v>
      </c>
      <c r="U146" s="225">
        <f t="shared" si="79"/>
        <v>0</v>
      </c>
      <c r="V146" s="225">
        <f t="shared" si="80"/>
        <v>0</v>
      </c>
      <c r="W146" s="225">
        <f t="shared" si="81"/>
        <v>0</v>
      </c>
      <c r="X146" s="225">
        <f t="shared" si="82"/>
        <v>0</v>
      </c>
      <c r="Y146" s="225">
        <f t="shared" si="83"/>
        <v>0</v>
      </c>
      <c r="Z146" s="225">
        <f t="shared" si="84"/>
        <v>0</v>
      </c>
      <c r="AA146" s="225">
        <f t="shared" si="85"/>
        <v>1</v>
      </c>
    </row>
    <row r="147" spans="1:27" ht="15.75">
      <c r="A147" s="1">
        <f t="shared" si="72"/>
        <v>1997</v>
      </c>
      <c r="B147" s="27">
        <v>900</v>
      </c>
      <c r="C147" s="1">
        <v>800</v>
      </c>
      <c r="D147" s="1">
        <v>1900</v>
      </c>
      <c r="E147" s="1">
        <v>1800</v>
      </c>
      <c r="F147" s="22">
        <v>1700</v>
      </c>
      <c r="G147" s="1">
        <v>1700</v>
      </c>
      <c r="H147" s="1">
        <v>1600</v>
      </c>
      <c r="I147" s="1">
        <v>1700</v>
      </c>
      <c r="J147" s="1">
        <v>1700</v>
      </c>
      <c r="K147" s="1">
        <v>1700</v>
      </c>
      <c r="L147" s="1">
        <v>800</v>
      </c>
      <c r="M147" s="1">
        <v>2000</v>
      </c>
      <c r="O147" s="254">
        <f t="shared" si="73"/>
        <v>1997</v>
      </c>
      <c r="P147" s="225">
        <f t="shared" si="74"/>
        <v>1</v>
      </c>
      <c r="Q147" s="225">
        <f t="shared" si="75"/>
        <v>1</v>
      </c>
      <c r="R147" s="225">
        <f t="shared" si="76"/>
        <v>0</v>
      </c>
      <c r="S147" s="225">
        <f t="shared" si="77"/>
        <v>0</v>
      </c>
      <c r="T147" s="225">
        <f t="shared" si="78"/>
        <v>0</v>
      </c>
      <c r="U147" s="225">
        <f t="shared" si="79"/>
        <v>0</v>
      </c>
      <c r="V147" s="225">
        <f t="shared" si="80"/>
        <v>0</v>
      </c>
      <c r="W147" s="225">
        <f t="shared" si="81"/>
        <v>0</v>
      </c>
      <c r="X147" s="225">
        <f t="shared" si="82"/>
        <v>0</v>
      </c>
      <c r="Y147" s="225">
        <f t="shared" si="83"/>
        <v>0</v>
      </c>
      <c r="Z147" s="225">
        <f t="shared" si="84"/>
        <v>1</v>
      </c>
      <c r="AA147" s="225">
        <f t="shared" si="85"/>
        <v>0</v>
      </c>
    </row>
    <row r="148" spans="1:27" ht="15.75">
      <c r="A148" s="1">
        <f t="shared" si="72"/>
        <v>1998</v>
      </c>
      <c r="B148" s="20">
        <v>800</v>
      </c>
      <c r="C148" s="1">
        <v>800</v>
      </c>
      <c r="D148" s="21">
        <v>800</v>
      </c>
      <c r="E148" s="1">
        <v>1700</v>
      </c>
      <c r="F148" s="1">
        <v>1800</v>
      </c>
      <c r="G148" s="1">
        <v>1700</v>
      </c>
      <c r="H148" s="1">
        <v>1600</v>
      </c>
      <c r="I148" s="22">
        <v>1800</v>
      </c>
      <c r="J148" s="1">
        <v>1600</v>
      </c>
      <c r="K148" s="1">
        <v>1700</v>
      </c>
      <c r="L148" s="1">
        <v>1900</v>
      </c>
      <c r="M148" s="1">
        <v>800</v>
      </c>
      <c r="O148" s="254">
        <f t="shared" si="73"/>
        <v>1998</v>
      </c>
      <c r="P148" s="225">
        <f t="shared" si="74"/>
        <v>1</v>
      </c>
      <c r="Q148" s="225">
        <f t="shared" si="75"/>
        <v>1</v>
      </c>
      <c r="R148" s="225">
        <f t="shared" si="76"/>
        <v>1</v>
      </c>
      <c r="S148" s="225">
        <f t="shared" si="77"/>
        <v>0</v>
      </c>
      <c r="T148" s="225">
        <f t="shared" si="78"/>
        <v>0</v>
      </c>
      <c r="U148" s="225">
        <f t="shared" si="79"/>
        <v>0</v>
      </c>
      <c r="V148" s="225">
        <f t="shared" si="80"/>
        <v>0</v>
      </c>
      <c r="W148" s="225">
        <f t="shared" si="81"/>
        <v>0</v>
      </c>
      <c r="X148" s="225">
        <f t="shared" si="82"/>
        <v>0</v>
      </c>
      <c r="Y148" s="225">
        <f t="shared" si="83"/>
        <v>0</v>
      </c>
      <c r="Z148" s="225">
        <f t="shared" si="84"/>
        <v>0</v>
      </c>
      <c r="AA148" s="225">
        <f t="shared" si="85"/>
        <v>1</v>
      </c>
    </row>
    <row r="149" spans="1:27" ht="15.75">
      <c r="A149" s="1">
        <f t="shared" si="72"/>
        <v>1999</v>
      </c>
      <c r="B149" s="27">
        <v>800</v>
      </c>
      <c r="C149" s="1">
        <v>800</v>
      </c>
      <c r="D149" s="1">
        <v>800</v>
      </c>
      <c r="E149" s="1">
        <v>1700</v>
      </c>
      <c r="F149" s="1">
        <v>1700</v>
      </c>
      <c r="G149" s="1">
        <v>1700</v>
      </c>
      <c r="H149" s="1">
        <v>1700</v>
      </c>
      <c r="I149" s="22">
        <v>1700</v>
      </c>
      <c r="J149" s="1">
        <v>1700</v>
      </c>
      <c r="K149" s="1">
        <v>1700</v>
      </c>
      <c r="L149" s="1">
        <v>1900</v>
      </c>
      <c r="M149" s="1">
        <v>800</v>
      </c>
      <c r="O149" s="254">
        <f t="shared" si="73"/>
        <v>1999</v>
      </c>
      <c r="P149" s="225">
        <f t="shared" si="74"/>
        <v>1</v>
      </c>
      <c r="Q149" s="225">
        <f t="shared" si="75"/>
        <v>1</v>
      </c>
      <c r="R149" s="225">
        <f t="shared" si="76"/>
        <v>1</v>
      </c>
      <c r="S149" s="225">
        <f t="shared" si="77"/>
        <v>0</v>
      </c>
      <c r="T149" s="225">
        <f t="shared" si="78"/>
        <v>0</v>
      </c>
      <c r="U149" s="225">
        <f t="shared" si="79"/>
        <v>0</v>
      </c>
      <c r="V149" s="225">
        <f t="shared" si="80"/>
        <v>0</v>
      </c>
      <c r="W149" s="225">
        <f t="shared" si="81"/>
        <v>0</v>
      </c>
      <c r="X149" s="225">
        <f t="shared" si="82"/>
        <v>0</v>
      </c>
      <c r="Y149" s="225">
        <f t="shared" si="83"/>
        <v>0</v>
      </c>
      <c r="Z149" s="225">
        <f t="shared" si="84"/>
        <v>0</v>
      </c>
      <c r="AA149" s="225">
        <f t="shared" si="85"/>
        <v>1</v>
      </c>
    </row>
    <row r="150" spans="1:27" ht="15.75">
      <c r="A150" s="165">
        <f t="shared" si="72"/>
        <v>2000</v>
      </c>
      <c r="B150" s="27">
        <v>800</v>
      </c>
      <c r="C150" s="1">
        <v>900</v>
      </c>
      <c r="D150" s="1">
        <v>1600</v>
      </c>
      <c r="E150" s="1">
        <v>1800</v>
      </c>
      <c r="F150" s="1">
        <v>1700</v>
      </c>
      <c r="G150" s="1">
        <v>1700</v>
      </c>
      <c r="H150" s="1">
        <v>1700</v>
      </c>
      <c r="I150" s="22">
        <v>1700</v>
      </c>
      <c r="J150" s="1">
        <v>1700</v>
      </c>
      <c r="K150" s="1">
        <v>1800</v>
      </c>
      <c r="L150" s="1">
        <v>800</v>
      </c>
      <c r="M150" s="1">
        <v>800</v>
      </c>
      <c r="O150" s="254">
        <f t="shared" si="73"/>
        <v>2000</v>
      </c>
      <c r="P150" s="225">
        <f t="shared" si="74"/>
        <v>1</v>
      </c>
      <c r="Q150" s="225">
        <f t="shared" si="75"/>
        <v>1</v>
      </c>
      <c r="R150" s="225">
        <f t="shared" si="76"/>
        <v>0</v>
      </c>
      <c r="S150" s="225">
        <f t="shared" si="77"/>
        <v>0</v>
      </c>
      <c r="T150" s="225">
        <f t="shared" si="78"/>
        <v>0</v>
      </c>
      <c r="U150" s="225">
        <f t="shared" si="79"/>
        <v>0</v>
      </c>
      <c r="V150" s="225">
        <f t="shared" si="80"/>
        <v>0</v>
      </c>
      <c r="W150" s="225">
        <f t="shared" si="81"/>
        <v>0</v>
      </c>
      <c r="X150" s="225">
        <f t="shared" si="82"/>
        <v>0</v>
      </c>
      <c r="Y150" s="225">
        <f t="shared" si="83"/>
        <v>0</v>
      </c>
      <c r="Z150" s="225">
        <f t="shared" si="84"/>
        <v>1</v>
      </c>
      <c r="AA150" s="225">
        <f t="shared" si="85"/>
        <v>1</v>
      </c>
    </row>
    <row r="151" spans="1:27" ht="15.75">
      <c r="A151" s="165">
        <f t="shared" si="72"/>
        <v>2001</v>
      </c>
      <c r="B151" s="27">
        <v>800</v>
      </c>
      <c r="C151" s="1">
        <v>800</v>
      </c>
      <c r="D151" s="1">
        <v>2000</v>
      </c>
      <c r="E151" s="1">
        <v>1700</v>
      </c>
      <c r="F151" s="1">
        <v>1700</v>
      </c>
      <c r="G151" s="1">
        <v>1800</v>
      </c>
      <c r="H151" s="1">
        <v>1800</v>
      </c>
      <c r="I151" s="22">
        <v>1700</v>
      </c>
      <c r="J151" s="1">
        <v>1700</v>
      </c>
      <c r="K151" s="1">
        <v>1700</v>
      </c>
      <c r="L151" s="1">
        <v>1900</v>
      </c>
      <c r="M151" s="1">
        <v>1900</v>
      </c>
      <c r="O151" s="254">
        <f t="shared" si="73"/>
        <v>2001</v>
      </c>
      <c r="P151" s="225">
        <f t="shared" si="74"/>
        <v>1</v>
      </c>
      <c r="Q151" s="225">
        <f t="shared" si="75"/>
        <v>1</v>
      </c>
      <c r="R151" s="225">
        <f t="shared" si="76"/>
        <v>0</v>
      </c>
      <c r="S151" s="225">
        <f t="shared" si="77"/>
        <v>0</v>
      </c>
      <c r="T151" s="225">
        <f t="shared" si="78"/>
        <v>0</v>
      </c>
      <c r="U151" s="225">
        <f t="shared" si="79"/>
        <v>0</v>
      </c>
      <c r="V151" s="225">
        <f t="shared" si="80"/>
        <v>0</v>
      </c>
      <c r="W151" s="225">
        <f t="shared" si="81"/>
        <v>0</v>
      </c>
      <c r="X151" s="225">
        <f t="shared" si="82"/>
        <v>0</v>
      </c>
      <c r="Y151" s="225">
        <f t="shared" si="83"/>
        <v>0</v>
      </c>
      <c r="Z151" s="225">
        <f t="shared" si="84"/>
        <v>0</v>
      </c>
      <c r="AA151" s="225">
        <f t="shared" si="85"/>
        <v>0</v>
      </c>
    </row>
    <row r="152" spans="1:27" ht="15.75">
      <c r="A152" s="165">
        <f t="shared" si="72"/>
        <v>2002</v>
      </c>
      <c r="B152" s="27">
        <v>800</v>
      </c>
      <c r="C152" s="1">
        <v>800</v>
      </c>
      <c r="D152" s="1">
        <v>800</v>
      </c>
      <c r="E152" s="1">
        <v>1700</v>
      </c>
      <c r="F152" s="1">
        <v>1700</v>
      </c>
      <c r="G152" s="1">
        <v>1600</v>
      </c>
      <c r="H152" s="22">
        <v>1800</v>
      </c>
      <c r="I152" s="1">
        <v>1700</v>
      </c>
      <c r="J152" s="1">
        <v>1800</v>
      </c>
      <c r="K152" s="1">
        <v>1700</v>
      </c>
      <c r="L152" s="1">
        <v>1600</v>
      </c>
      <c r="M152" s="1">
        <v>800</v>
      </c>
      <c r="O152" s="254">
        <f t="shared" si="73"/>
        <v>2002</v>
      </c>
      <c r="P152" s="225">
        <f t="shared" si="74"/>
        <v>1</v>
      </c>
      <c r="Q152" s="225">
        <f t="shared" si="75"/>
        <v>1</v>
      </c>
      <c r="R152" s="225">
        <f t="shared" si="76"/>
        <v>1</v>
      </c>
      <c r="S152" s="225">
        <f t="shared" si="77"/>
        <v>0</v>
      </c>
      <c r="T152" s="225">
        <f t="shared" si="78"/>
        <v>0</v>
      </c>
      <c r="U152" s="225">
        <f t="shared" si="79"/>
        <v>0</v>
      </c>
      <c r="V152" s="225">
        <f t="shared" si="80"/>
        <v>0</v>
      </c>
      <c r="W152" s="225">
        <f t="shared" si="81"/>
        <v>0</v>
      </c>
      <c r="X152" s="225">
        <f t="shared" si="82"/>
        <v>0</v>
      </c>
      <c r="Y152" s="225">
        <f t="shared" si="83"/>
        <v>0</v>
      </c>
      <c r="Z152" s="225">
        <f t="shared" si="84"/>
        <v>0</v>
      </c>
      <c r="AA152" s="225">
        <f t="shared" si="85"/>
        <v>1</v>
      </c>
    </row>
    <row r="153" spans="1:27" ht="15.75">
      <c r="A153" s="165">
        <f t="shared" si="72"/>
        <v>2003</v>
      </c>
      <c r="B153" s="27">
        <v>800</v>
      </c>
      <c r="C153" s="1">
        <v>800</v>
      </c>
      <c r="D153" s="1">
        <v>1600</v>
      </c>
      <c r="E153" s="1">
        <v>1800</v>
      </c>
      <c r="F153" s="1">
        <v>1700</v>
      </c>
      <c r="G153" s="1">
        <v>1600</v>
      </c>
      <c r="H153" s="22">
        <v>1700</v>
      </c>
      <c r="I153" s="1">
        <v>1800</v>
      </c>
      <c r="J153" s="1">
        <v>1800</v>
      </c>
      <c r="K153" s="1">
        <v>1700</v>
      </c>
      <c r="L153" s="1">
        <v>1500</v>
      </c>
      <c r="M153" s="1">
        <v>900</v>
      </c>
      <c r="O153" s="254">
        <f t="shared" si="73"/>
        <v>2003</v>
      </c>
      <c r="P153" s="225">
        <f t="shared" si="74"/>
        <v>1</v>
      </c>
      <c r="Q153" s="225">
        <f t="shared" si="75"/>
        <v>1</v>
      </c>
      <c r="R153" s="225">
        <f t="shared" si="76"/>
        <v>0</v>
      </c>
      <c r="S153" s="225">
        <f t="shared" si="77"/>
        <v>0</v>
      </c>
      <c r="T153" s="225">
        <f t="shared" si="78"/>
        <v>0</v>
      </c>
      <c r="U153" s="225">
        <f t="shared" si="79"/>
        <v>0</v>
      </c>
      <c r="V153" s="225">
        <f t="shared" si="80"/>
        <v>0</v>
      </c>
      <c r="W153" s="225">
        <f t="shared" si="81"/>
        <v>0</v>
      </c>
      <c r="X153" s="225">
        <f t="shared" si="82"/>
        <v>0</v>
      </c>
      <c r="Y153" s="225">
        <f t="shared" si="83"/>
        <v>0</v>
      </c>
      <c r="Z153" s="225">
        <f t="shared" si="84"/>
        <v>0</v>
      </c>
      <c r="AA153" s="225">
        <f t="shared" si="85"/>
        <v>1</v>
      </c>
    </row>
    <row r="154" spans="1:27" ht="15.75">
      <c r="A154" s="165">
        <f t="shared" si="72"/>
        <v>2004</v>
      </c>
      <c r="B154" s="27">
        <v>800</v>
      </c>
      <c r="C154" s="1">
        <v>800</v>
      </c>
      <c r="D154" s="1">
        <v>1700</v>
      </c>
      <c r="E154" s="1">
        <v>1700</v>
      </c>
      <c r="F154" s="1">
        <v>1700</v>
      </c>
      <c r="G154" s="22">
        <v>1700</v>
      </c>
      <c r="H154" s="1">
        <v>1700</v>
      </c>
      <c r="I154" s="1">
        <v>1700</v>
      </c>
      <c r="J154" s="1">
        <v>1600</v>
      </c>
      <c r="K154" s="1">
        <v>1700</v>
      </c>
      <c r="L154" s="1">
        <v>1600</v>
      </c>
      <c r="M154" s="1">
        <v>800</v>
      </c>
      <c r="O154" s="254">
        <f t="shared" si="73"/>
        <v>2004</v>
      </c>
      <c r="P154" s="225">
        <f t="shared" si="74"/>
        <v>1</v>
      </c>
      <c r="Q154" s="225">
        <f t="shared" si="75"/>
        <v>1</v>
      </c>
      <c r="R154" s="225">
        <f t="shared" si="76"/>
        <v>0</v>
      </c>
      <c r="S154" s="225">
        <f t="shared" si="77"/>
        <v>0</v>
      </c>
      <c r="T154" s="225">
        <f t="shared" si="78"/>
        <v>0</v>
      </c>
      <c r="U154" s="225">
        <f t="shared" si="79"/>
        <v>0</v>
      </c>
      <c r="V154" s="225">
        <f t="shared" si="80"/>
        <v>0</v>
      </c>
      <c r="W154" s="225">
        <f t="shared" si="81"/>
        <v>0</v>
      </c>
      <c r="X154" s="225">
        <f t="shared" si="82"/>
        <v>0</v>
      </c>
      <c r="Y154" s="225">
        <f t="shared" si="83"/>
        <v>0</v>
      </c>
      <c r="Z154" s="225">
        <f t="shared" si="84"/>
        <v>0</v>
      </c>
      <c r="AA154" s="225">
        <f t="shared" si="85"/>
        <v>1</v>
      </c>
    </row>
    <row r="155" spans="1:27" ht="15.75">
      <c r="A155" s="165">
        <f t="shared" ref="A155:A173" si="86">A39</f>
        <v>2005</v>
      </c>
      <c r="B155" s="27">
        <v>800</v>
      </c>
      <c r="C155" s="1">
        <v>800</v>
      </c>
      <c r="D155" s="1">
        <v>2000</v>
      </c>
      <c r="E155" s="1">
        <v>1600</v>
      </c>
      <c r="F155" s="1">
        <v>1800</v>
      </c>
      <c r="G155" s="1">
        <v>1700</v>
      </c>
      <c r="H155" s="1">
        <v>1700</v>
      </c>
      <c r="I155" s="22">
        <v>1600</v>
      </c>
      <c r="J155" s="1">
        <v>1800</v>
      </c>
      <c r="K155" s="1">
        <v>1700</v>
      </c>
      <c r="L155" s="1">
        <v>1900</v>
      </c>
      <c r="M155" s="1">
        <v>800</v>
      </c>
      <c r="O155" s="254">
        <f t="shared" ref="O155:O171" si="87">+A155</f>
        <v>2005</v>
      </c>
      <c r="P155" s="225">
        <f t="shared" ref="P155:P172" si="88">IF(AND(B155&gt;700,B155&lt;1000),1,0)</f>
        <v>1</v>
      </c>
      <c r="Q155" s="225">
        <f t="shared" ref="Q155:Q172" si="89">IF(AND(C155&gt;700,C155&lt;1000),1,0)</f>
        <v>1</v>
      </c>
      <c r="R155" s="225">
        <f t="shared" ref="R155:R172" si="90">IF(AND(D155&gt;700,D155&lt;1000),1,0)</f>
        <v>0</v>
      </c>
      <c r="S155" s="225">
        <f t="shared" ref="S155:S172" si="91">IF(AND(E155&gt;700,E155&lt;1000),1,0)</f>
        <v>0</v>
      </c>
      <c r="T155" s="225">
        <f t="shared" ref="T155:T173" si="92">IF(AND(F155&gt;700,F155&lt;1000),1,0)</f>
        <v>0</v>
      </c>
      <c r="U155" s="225">
        <f t="shared" ref="U155:U173" si="93">IF(AND(G155&gt;700,G155&lt;1000),1,0)</f>
        <v>0</v>
      </c>
      <c r="V155" s="225">
        <f t="shared" ref="V155:V173" si="94">IF(AND(H155&gt;700,H155&lt;1000),1,0)</f>
        <v>0</v>
      </c>
      <c r="W155" s="225">
        <f t="shared" ref="W155:W172" si="95">IF(AND(I155&gt;700,I155&lt;1000),1,0)</f>
        <v>0</v>
      </c>
      <c r="X155" s="225">
        <f t="shared" ref="X155:X173" si="96">IF(AND(J155&gt;700,J155&lt;1000),1,0)</f>
        <v>0</v>
      </c>
      <c r="Y155" s="225">
        <f t="shared" ref="Y155:Y173" si="97">IF(AND(K155&gt;700,K155&lt;1000),1,0)</f>
        <v>0</v>
      </c>
      <c r="Z155" s="225">
        <f t="shared" ref="Z155:Z173" si="98">IF(AND(L155&gt;700,L155&lt;1000),1,0)</f>
        <v>0</v>
      </c>
      <c r="AA155" s="225">
        <f t="shared" ref="AA155:AA173" si="99">IF(AND(M155&gt;700,M155&lt;1000),1,0)</f>
        <v>1</v>
      </c>
    </row>
    <row r="156" spans="1:27" ht="15.75">
      <c r="A156" s="165">
        <f t="shared" si="86"/>
        <v>2006</v>
      </c>
      <c r="B156" s="322">
        <v>800</v>
      </c>
      <c r="C156" s="21">
        <v>800</v>
      </c>
      <c r="D156" s="1">
        <v>1700</v>
      </c>
      <c r="E156" s="1">
        <v>1700</v>
      </c>
      <c r="F156" s="1">
        <v>1800</v>
      </c>
      <c r="G156" s="1">
        <v>1800</v>
      </c>
      <c r="H156" s="1">
        <v>1700</v>
      </c>
      <c r="I156" s="22">
        <v>1700</v>
      </c>
      <c r="J156" s="1">
        <v>1700</v>
      </c>
      <c r="K156" s="1">
        <v>1600</v>
      </c>
      <c r="L156" s="1">
        <v>1700</v>
      </c>
      <c r="M156" s="1">
        <v>1900</v>
      </c>
      <c r="O156" s="254">
        <f t="shared" si="87"/>
        <v>2006</v>
      </c>
      <c r="P156" s="225">
        <f t="shared" si="88"/>
        <v>1</v>
      </c>
      <c r="Q156" s="225">
        <f t="shared" si="89"/>
        <v>1</v>
      </c>
      <c r="R156" s="225">
        <f t="shared" si="90"/>
        <v>0</v>
      </c>
      <c r="S156" s="225">
        <f t="shared" si="91"/>
        <v>0</v>
      </c>
      <c r="T156" s="225">
        <f t="shared" si="92"/>
        <v>0</v>
      </c>
      <c r="U156" s="225">
        <f t="shared" si="93"/>
        <v>0</v>
      </c>
      <c r="V156" s="225">
        <f t="shared" si="94"/>
        <v>0</v>
      </c>
      <c r="W156" s="225">
        <f t="shared" si="95"/>
        <v>0</v>
      </c>
      <c r="X156" s="225">
        <f t="shared" si="96"/>
        <v>0</v>
      </c>
      <c r="Y156" s="225">
        <f t="shared" si="97"/>
        <v>0</v>
      </c>
      <c r="Z156" s="225">
        <f t="shared" si="98"/>
        <v>0</v>
      </c>
      <c r="AA156" s="225">
        <f t="shared" si="99"/>
        <v>0</v>
      </c>
    </row>
    <row r="157" spans="1:27" ht="15.75">
      <c r="A157" s="220">
        <f t="shared" si="86"/>
        <v>2007</v>
      </c>
      <c r="B157" s="260">
        <v>800</v>
      </c>
      <c r="C157" s="192">
        <v>800</v>
      </c>
      <c r="D157" s="68">
        <v>1800</v>
      </c>
      <c r="E157" s="68">
        <v>1800</v>
      </c>
      <c r="F157" s="68">
        <v>1700</v>
      </c>
      <c r="G157" s="68">
        <v>1700</v>
      </c>
      <c r="H157" s="68">
        <v>1700</v>
      </c>
      <c r="I157" s="256">
        <v>1800</v>
      </c>
      <c r="J157" s="68">
        <v>1700</v>
      </c>
      <c r="K157" s="68">
        <v>1700</v>
      </c>
      <c r="L157" s="68">
        <v>1700</v>
      </c>
      <c r="M157" s="68">
        <v>2100</v>
      </c>
      <c r="O157" s="254">
        <f t="shared" si="87"/>
        <v>2007</v>
      </c>
      <c r="P157" s="225">
        <f t="shared" si="88"/>
        <v>1</v>
      </c>
      <c r="Q157" s="225">
        <f t="shared" si="89"/>
        <v>1</v>
      </c>
      <c r="R157" s="225">
        <f t="shared" si="90"/>
        <v>0</v>
      </c>
      <c r="S157" s="225">
        <f t="shared" si="91"/>
        <v>0</v>
      </c>
      <c r="T157" s="225">
        <f t="shared" si="92"/>
        <v>0</v>
      </c>
      <c r="U157" s="225">
        <f t="shared" si="93"/>
        <v>0</v>
      </c>
      <c r="V157" s="225">
        <f t="shared" si="94"/>
        <v>0</v>
      </c>
      <c r="W157" s="225">
        <f t="shared" si="95"/>
        <v>0</v>
      </c>
      <c r="X157" s="225">
        <f t="shared" si="96"/>
        <v>0</v>
      </c>
      <c r="Y157" s="225">
        <f t="shared" si="97"/>
        <v>0</v>
      </c>
      <c r="Z157" s="225">
        <f t="shared" si="98"/>
        <v>0</v>
      </c>
      <c r="AA157" s="225">
        <f t="shared" si="99"/>
        <v>0</v>
      </c>
    </row>
    <row r="158" spans="1:27" ht="15.75">
      <c r="A158" s="220">
        <f t="shared" si="86"/>
        <v>2008</v>
      </c>
      <c r="B158" s="261">
        <v>800</v>
      </c>
      <c r="C158" s="68">
        <v>800</v>
      </c>
      <c r="D158" s="68">
        <v>1800</v>
      </c>
      <c r="E158" s="68">
        <v>1700</v>
      </c>
      <c r="F158" s="68">
        <v>1700</v>
      </c>
      <c r="G158" s="256">
        <v>1700</v>
      </c>
      <c r="H158" s="68">
        <v>1600</v>
      </c>
      <c r="I158" s="68">
        <v>1700</v>
      </c>
      <c r="J158" s="68">
        <v>1600</v>
      </c>
      <c r="K158" s="68">
        <v>1700</v>
      </c>
      <c r="L158" s="68">
        <v>1600</v>
      </c>
      <c r="M158" s="68">
        <v>800</v>
      </c>
      <c r="O158" s="254">
        <f t="shared" si="87"/>
        <v>2008</v>
      </c>
      <c r="P158" s="225">
        <f t="shared" si="88"/>
        <v>1</v>
      </c>
      <c r="Q158" s="225">
        <f t="shared" si="89"/>
        <v>1</v>
      </c>
      <c r="R158" s="225">
        <f t="shared" si="90"/>
        <v>0</v>
      </c>
      <c r="S158" s="225">
        <f t="shared" si="91"/>
        <v>0</v>
      </c>
      <c r="T158" s="225">
        <f t="shared" si="92"/>
        <v>0</v>
      </c>
      <c r="U158" s="225">
        <f t="shared" si="93"/>
        <v>0</v>
      </c>
      <c r="V158" s="225">
        <f t="shared" si="94"/>
        <v>0</v>
      </c>
      <c r="W158" s="225">
        <f t="shared" si="95"/>
        <v>0</v>
      </c>
      <c r="X158" s="225">
        <f t="shared" si="96"/>
        <v>0</v>
      </c>
      <c r="Y158" s="225">
        <f t="shared" si="97"/>
        <v>0</v>
      </c>
      <c r="Z158" s="225">
        <f t="shared" si="98"/>
        <v>0</v>
      </c>
      <c r="AA158" s="225">
        <f t="shared" si="99"/>
        <v>1</v>
      </c>
    </row>
    <row r="159" spans="1:27" ht="16.5" thickBot="1">
      <c r="A159" s="220">
        <f t="shared" si="86"/>
        <v>2009</v>
      </c>
      <c r="B159" s="261">
        <v>800</v>
      </c>
      <c r="C159" s="68">
        <v>800</v>
      </c>
      <c r="D159" s="68">
        <v>800</v>
      </c>
      <c r="E159" s="68">
        <v>1800</v>
      </c>
      <c r="F159" s="68">
        <v>1700</v>
      </c>
      <c r="G159" s="22">
        <v>1600</v>
      </c>
      <c r="H159" s="68">
        <v>1700</v>
      </c>
      <c r="I159" s="68">
        <v>1700</v>
      </c>
      <c r="J159" s="68">
        <v>1700</v>
      </c>
      <c r="K159" s="68">
        <v>1700</v>
      </c>
      <c r="L159" s="68">
        <v>1500</v>
      </c>
      <c r="M159" s="68">
        <v>1900</v>
      </c>
      <c r="O159" s="254">
        <f t="shared" si="87"/>
        <v>2009</v>
      </c>
      <c r="P159" s="225">
        <f t="shared" si="88"/>
        <v>1</v>
      </c>
      <c r="Q159" s="225">
        <f t="shared" si="89"/>
        <v>1</v>
      </c>
      <c r="R159" s="225">
        <f t="shared" si="90"/>
        <v>1</v>
      </c>
      <c r="S159" s="225">
        <f t="shared" si="91"/>
        <v>0</v>
      </c>
      <c r="T159" s="225">
        <f t="shared" si="92"/>
        <v>0</v>
      </c>
      <c r="U159" s="225">
        <f t="shared" si="93"/>
        <v>0</v>
      </c>
      <c r="V159" s="225">
        <f t="shared" si="94"/>
        <v>0</v>
      </c>
      <c r="W159" s="225">
        <f t="shared" si="95"/>
        <v>0</v>
      </c>
      <c r="X159" s="225">
        <f t="shared" si="96"/>
        <v>0</v>
      </c>
      <c r="Y159" s="225">
        <f t="shared" si="97"/>
        <v>0</v>
      </c>
      <c r="Z159" s="225">
        <f t="shared" si="98"/>
        <v>0</v>
      </c>
      <c r="AA159" s="225">
        <f t="shared" si="99"/>
        <v>0</v>
      </c>
    </row>
    <row r="160" spans="1:27" ht="16.5" thickBot="1">
      <c r="A160" s="220">
        <f t="shared" si="86"/>
        <v>2010</v>
      </c>
      <c r="B160" s="262">
        <v>800</v>
      </c>
      <c r="C160" s="68">
        <v>800</v>
      </c>
      <c r="D160" s="68">
        <v>800</v>
      </c>
      <c r="E160" s="68">
        <v>1700</v>
      </c>
      <c r="F160" s="68">
        <v>1700</v>
      </c>
      <c r="G160" s="256">
        <v>1700</v>
      </c>
      <c r="H160" s="68">
        <v>1500</v>
      </c>
      <c r="I160" s="68">
        <v>1700</v>
      </c>
      <c r="J160" s="68">
        <v>1700</v>
      </c>
      <c r="K160" s="68">
        <v>1600</v>
      </c>
      <c r="L160" s="68">
        <v>1800</v>
      </c>
      <c r="M160" s="232">
        <v>800</v>
      </c>
      <c r="O160" s="254">
        <f t="shared" si="87"/>
        <v>2010</v>
      </c>
      <c r="P160" s="225">
        <f t="shared" si="88"/>
        <v>1</v>
      </c>
      <c r="Q160" s="225">
        <f t="shared" si="89"/>
        <v>1</v>
      </c>
      <c r="R160" s="225">
        <f t="shared" si="90"/>
        <v>1</v>
      </c>
      <c r="S160" s="225">
        <f t="shared" si="91"/>
        <v>0</v>
      </c>
      <c r="T160" s="225">
        <f t="shared" si="92"/>
        <v>0</v>
      </c>
      <c r="U160" s="225">
        <f t="shared" si="93"/>
        <v>0</v>
      </c>
      <c r="V160" s="225">
        <f t="shared" si="94"/>
        <v>0</v>
      </c>
      <c r="W160" s="225">
        <f t="shared" si="95"/>
        <v>0</v>
      </c>
      <c r="X160" s="225">
        <f t="shared" si="96"/>
        <v>0</v>
      </c>
      <c r="Y160" s="225">
        <f t="shared" si="97"/>
        <v>0</v>
      </c>
      <c r="Z160" s="225">
        <f t="shared" si="98"/>
        <v>0</v>
      </c>
      <c r="AA160" s="225">
        <f t="shared" si="99"/>
        <v>1</v>
      </c>
    </row>
    <row r="161" spans="1:27" ht="15.75">
      <c r="A161" s="220">
        <f t="shared" si="86"/>
        <v>2011</v>
      </c>
      <c r="B161" s="260">
        <v>800</v>
      </c>
      <c r="C161" s="68">
        <v>800</v>
      </c>
      <c r="D161" s="68">
        <v>1600</v>
      </c>
      <c r="E161" s="68">
        <v>1600</v>
      </c>
      <c r="F161" s="68">
        <v>1700</v>
      </c>
      <c r="G161" s="68">
        <v>1600</v>
      </c>
      <c r="H161" s="68">
        <v>1700</v>
      </c>
      <c r="I161" s="256">
        <v>1700</v>
      </c>
      <c r="J161" s="68">
        <v>1700</v>
      </c>
      <c r="K161" s="68">
        <v>1700</v>
      </c>
      <c r="L161" s="68">
        <v>1600</v>
      </c>
      <c r="M161" s="68">
        <v>1900</v>
      </c>
      <c r="O161" s="254">
        <f t="shared" si="87"/>
        <v>2011</v>
      </c>
      <c r="P161" s="225">
        <f t="shared" si="88"/>
        <v>1</v>
      </c>
      <c r="Q161" s="225">
        <f t="shared" si="89"/>
        <v>1</v>
      </c>
      <c r="R161" s="225">
        <f t="shared" si="90"/>
        <v>0</v>
      </c>
      <c r="S161" s="225">
        <f t="shared" si="91"/>
        <v>0</v>
      </c>
      <c r="T161" s="225">
        <f t="shared" si="92"/>
        <v>0</v>
      </c>
      <c r="U161" s="225">
        <f t="shared" si="93"/>
        <v>0</v>
      </c>
      <c r="V161" s="225">
        <f t="shared" si="94"/>
        <v>0</v>
      </c>
      <c r="W161" s="225">
        <f t="shared" si="95"/>
        <v>0</v>
      </c>
      <c r="X161" s="225">
        <f t="shared" si="96"/>
        <v>0</v>
      </c>
      <c r="Y161" s="225">
        <f t="shared" si="97"/>
        <v>0</v>
      </c>
      <c r="Z161" s="225">
        <f t="shared" si="98"/>
        <v>0</v>
      </c>
      <c r="AA161" s="225">
        <f t="shared" si="99"/>
        <v>0</v>
      </c>
    </row>
    <row r="162" spans="1:27" ht="15.75">
      <c r="A162" s="220">
        <f t="shared" si="86"/>
        <v>2012</v>
      </c>
      <c r="B162" s="261">
        <v>800</v>
      </c>
      <c r="C162" s="68">
        <v>800</v>
      </c>
      <c r="D162" s="68">
        <v>1800</v>
      </c>
      <c r="E162" s="68">
        <v>1800</v>
      </c>
      <c r="F162" s="68">
        <v>1700</v>
      </c>
      <c r="G162" s="68">
        <v>1700</v>
      </c>
      <c r="H162" s="68">
        <v>1700</v>
      </c>
      <c r="I162" s="22">
        <v>1700</v>
      </c>
      <c r="J162" s="68">
        <v>1700</v>
      </c>
      <c r="K162" s="68">
        <v>1600</v>
      </c>
      <c r="L162" s="68">
        <v>1900</v>
      </c>
      <c r="M162" s="68">
        <v>1900</v>
      </c>
      <c r="O162" s="254">
        <f t="shared" si="87"/>
        <v>2012</v>
      </c>
      <c r="P162" s="225">
        <f t="shared" si="88"/>
        <v>1</v>
      </c>
      <c r="Q162" s="225">
        <f t="shared" si="89"/>
        <v>1</v>
      </c>
      <c r="R162" s="225">
        <f t="shared" si="90"/>
        <v>0</v>
      </c>
      <c r="S162" s="225">
        <f t="shared" si="91"/>
        <v>0</v>
      </c>
      <c r="T162" s="225">
        <f t="shared" si="92"/>
        <v>0</v>
      </c>
      <c r="U162" s="225">
        <f t="shared" si="93"/>
        <v>0</v>
      </c>
      <c r="V162" s="225">
        <f t="shared" si="94"/>
        <v>0</v>
      </c>
      <c r="W162" s="225">
        <f t="shared" si="95"/>
        <v>0</v>
      </c>
      <c r="X162" s="225">
        <f t="shared" si="96"/>
        <v>0</v>
      </c>
      <c r="Y162" s="225">
        <f t="shared" si="97"/>
        <v>0</v>
      </c>
      <c r="Z162" s="225">
        <f t="shared" si="98"/>
        <v>0</v>
      </c>
      <c r="AA162" s="225">
        <f t="shared" si="99"/>
        <v>0</v>
      </c>
    </row>
    <row r="163" spans="1:27" ht="15.75">
      <c r="A163" s="220">
        <f t="shared" si="86"/>
        <v>2013</v>
      </c>
      <c r="B163" s="260">
        <v>1900</v>
      </c>
      <c r="C163" s="232">
        <v>800</v>
      </c>
      <c r="D163" s="68">
        <v>800</v>
      </c>
      <c r="E163" s="68">
        <v>1800</v>
      </c>
      <c r="F163" s="68">
        <v>1700</v>
      </c>
      <c r="G163" s="68">
        <v>1700</v>
      </c>
      <c r="H163" s="68">
        <v>1700</v>
      </c>
      <c r="I163" s="22">
        <v>1700</v>
      </c>
      <c r="J163" s="68">
        <v>1800</v>
      </c>
      <c r="K163" s="68">
        <v>1700</v>
      </c>
      <c r="L163" s="68">
        <v>1700</v>
      </c>
      <c r="M163" s="68">
        <v>1900</v>
      </c>
      <c r="O163" s="254">
        <f t="shared" si="87"/>
        <v>2013</v>
      </c>
      <c r="P163" s="225">
        <f t="shared" si="88"/>
        <v>0</v>
      </c>
      <c r="Q163" s="225">
        <f t="shared" si="89"/>
        <v>1</v>
      </c>
      <c r="R163" s="225">
        <f t="shared" si="90"/>
        <v>1</v>
      </c>
      <c r="S163" s="225">
        <f t="shared" si="91"/>
        <v>0</v>
      </c>
      <c r="T163" s="225">
        <f t="shared" si="92"/>
        <v>0</v>
      </c>
      <c r="U163" s="225">
        <f t="shared" si="93"/>
        <v>0</v>
      </c>
      <c r="V163" s="225">
        <f t="shared" si="94"/>
        <v>0</v>
      </c>
      <c r="W163" s="225">
        <f t="shared" si="95"/>
        <v>0</v>
      </c>
      <c r="X163" s="225">
        <f t="shared" si="96"/>
        <v>0</v>
      </c>
      <c r="Y163" s="225">
        <f t="shared" si="97"/>
        <v>0</v>
      </c>
      <c r="Z163" s="225">
        <f t="shared" si="98"/>
        <v>0</v>
      </c>
      <c r="AA163" s="225">
        <f t="shared" si="99"/>
        <v>0</v>
      </c>
    </row>
    <row r="164" spans="1:27" ht="15.75">
      <c r="A164" s="220">
        <f t="shared" si="86"/>
        <v>2014</v>
      </c>
      <c r="B164" s="261">
        <v>800</v>
      </c>
      <c r="C164" s="68">
        <v>800</v>
      </c>
      <c r="D164" s="68">
        <v>1800</v>
      </c>
      <c r="E164" s="68">
        <v>1600</v>
      </c>
      <c r="F164" s="68">
        <v>1700</v>
      </c>
      <c r="G164" s="68">
        <v>1700</v>
      </c>
      <c r="H164" s="68">
        <v>1700</v>
      </c>
      <c r="I164" s="256">
        <v>1700</v>
      </c>
      <c r="J164" s="68">
        <v>1800</v>
      </c>
      <c r="K164" s="68">
        <v>1700</v>
      </c>
      <c r="L164" s="68">
        <v>800</v>
      </c>
      <c r="M164" s="68">
        <v>900</v>
      </c>
      <c r="O164" s="254">
        <f t="shared" si="87"/>
        <v>2014</v>
      </c>
      <c r="P164" s="225">
        <f t="shared" si="88"/>
        <v>1</v>
      </c>
      <c r="Q164" s="225">
        <f t="shared" si="89"/>
        <v>1</v>
      </c>
      <c r="R164" s="225">
        <f t="shared" si="90"/>
        <v>0</v>
      </c>
      <c r="S164" s="225">
        <f t="shared" si="91"/>
        <v>0</v>
      </c>
      <c r="T164" s="225">
        <f t="shared" si="92"/>
        <v>0</v>
      </c>
      <c r="U164" s="225">
        <f t="shared" si="93"/>
        <v>0</v>
      </c>
      <c r="V164" s="225">
        <f t="shared" si="94"/>
        <v>0</v>
      </c>
      <c r="W164" s="225">
        <f t="shared" si="95"/>
        <v>0</v>
      </c>
      <c r="X164" s="225">
        <f t="shared" si="96"/>
        <v>0</v>
      </c>
      <c r="Y164" s="225">
        <f t="shared" si="97"/>
        <v>0</v>
      </c>
      <c r="Z164" s="225">
        <f t="shared" si="98"/>
        <v>1</v>
      </c>
      <c r="AA164" s="225">
        <f t="shared" si="99"/>
        <v>1</v>
      </c>
    </row>
    <row r="165" spans="1:27" ht="15.75">
      <c r="A165" s="220">
        <f t="shared" si="86"/>
        <v>2015</v>
      </c>
      <c r="B165" s="260">
        <v>800</v>
      </c>
      <c r="C165" s="232">
        <v>800</v>
      </c>
      <c r="D165" s="68">
        <v>1800</v>
      </c>
      <c r="E165" s="68">
        <v>1700</v>
      </c>
      <c r="F165" s="68">
        <v>1700</v>
      </c>
      <c r="G165" s="68">
        <v>1700</v>
      </c>
      <c r="H165" s="68">
        <v>1700</v>
      </c>
      <c r="I165" s="256">
        <v>1700</v>
      </c>
      <c r="J165" s="68">
        <v>1700</v>
      </c>
      <c r="K165" s="68">
        <v>1600</v>
      </c>
      <c r="L165" s="232">
        <v>1500</v>
      </c>
      <c r="M165" s="68">
        <v>1600</v>
      </c>
      <c r="O165" s="254">
        <f t="shared" si="87"/>
        <v>2015</v>
      </c>
      <c r="P165" s="225">
        <f t="shared" si="88"/>
        <v>1</v>
      </c>
      <c r="Q165" s="225">
        <f t="shared" si="89"/>
        <v>1</v>
      </c>
      <c r="R165" s="225">
        <f t="shared" si="90"/>
        <v>0</v>
      </c>
      <c r="S165" s="225">
        <f t="shared" si="91"/>
        <v>0</v>
      </c>
      <c r="T165" s="225">
        <f t="shared" si="92"/>
        <v>0</v>
      </c>
      <c r="U165" s="225">
        <f t="shared" si="93"/>
        <v>0</v>
      </c>
      <c r="V165" s="225">
        <f t="shared" si="94"/>
        <v>0</v>
      </c>
      <c r="W165" s="225">
        <f t="shared" si="95"/>
        <v>0</v>
      </c>
      <c r="X165" s="225">
        <f t="shared" si="96"/>
        <v>0</v>
      </c>
      <c r="Y165" s="225">
        <f t="shared" si="97"/>
        <v>0</v>
      </c>
      <c r="Z165" s="225">
        <f t="shared" si="98"/>
        <v>0</v>
      </c>
      <c r="AA165" s="225">
        <f t="shared" si="99"/>
        <v>0</v>
      </c>
    </row>
    <row r="166" spans="1:27" ht="15.75">
      <c r="A166" s="220">
        <f t="shared" si="86"/>
        <v>2016</v>
      </c>
      <c r="B166" s="260">
        <v>800</v>
      </c>
      <c r="C166" s="68">
        <v>800</v>
      </c>
      <c r="D166" s="68">
        <v>1800</v>
      </c>
      <c r="E166" s="68">
        <v>1700</v>
      </c>
      <c r="F166" s="68">
        <v>1700</v>
      </c>
      <c r="G166" s="68">
        <v>1700</v>
      </c>
      <c r="H166" s="256">
        <v>1700</v>
      </c>
      <c r="I166" s="68">
        <v>1700</v>
      </c>
      <c r="J166" s="68">
        <v>1700</v>
      </c>
      <c r="K166" s="68">
        <v>1700</v>
      </c>
      <c r="L166" s="68">
        <v>1700</v>
      </c>
      <c r="M166" s="68">
        <v>1600</v>
      </c>
      <c r="O166" s="254">
        <f t="shared" si="87"/>
        <v>2016</v>
      </c>
      <c r="P166" s="225">
        <f t="shared" si="88"/>
        <v>1</v>
      </c>
      <c r="Q166" s="225">
        <f t="shared" si="89"/>
        <v>1</v>
      </c>
      <c r="R166" s="225">
        <f t="shared" si="90"/>
        <v>0</v>
      </c>
      <c r="S166" s="225">
        <f t="shared" si="91"/>
        <v>0</v>
      </c>
      <c r="T166" s="225">
        <f t="shared" si="92"/>
        <v>0</v>
      </c>
      <c r="U166" s="225">
        <f t="shared" si="93"/>
        <v>0</v>
      </c>
      <c r="V166" s="225">
        <f t="shared" si="94"/>
        <v>0</v>
      </c>
      <c r="W166" s="225">
        <f t="shared" si="95"/>
        <v>0</v>
      </c>
      <c r="X166" s="225">
        <f t="shared" si="96"/>
        <v>0</v>
      </c>
      <c r="Y166" s="225">
        <f t="shared" si="97"/>
        <v>0</v>
      </c>
      <c r="Z166" s="225">
        <f t="shared" si="98"/>
        <v>0</v>
      </c>
      <c r="AA166" s="225">
        <f t="shared" si="99"/>
        <v>0</v>
      </c>
    </row>
    <row r="167" spans="1:27" ht="15.75">
      <c r="A167" s="220">
        <f t="shared" si="86"/>
        <v>2017</v>
      </c>
      <c r="B167" s="261">
        <v>800</v>
      </c>
      <c r="C167" s="68">
        <v>1600</v>
      </c>
      <c r="D167" s="68">
        <v>1700</v>
      </c>
      <c r="E167" s="68">
        <v>1700</v>
      </c>
      <c r="F167" s="68">
        <v>1600</v>
      </c>
      <c r="G167" s="68">
        <v>1800</v>
      </c>
      <c r="H167" s="256">
        <v>1700</v>
      </c>
      <c r="I167" s="68">
        <v>1600</v>
      </c>
      <c r="J167" s="68">
        <v>1500</v>
      </c>
      <c r="K167" s="68">
        <v>1700</v>
      </c>
      <c r="L167" s="68">
        <v>1600</v>
      </c>
      <c r="M167" s="68">
        <v>800</v>
      </c>
      <c r="O167" s="254">
        <f t="shared" si="87"/>
        <v>2017</v>
      </c>
      <c r="P167" s="225">
        <f t="shared" si="88"/>
        <v>1</v>
      </c>
      <c r="Q167" s="225">
        <f t="shared" si="89"/>
        <v>0</v>
      </c>
      <c r="R167" s="225">
        <f t="shared" si="90"/>
        <v>0</v>
      </c>
      <c r="S167" s="225">
        <f t="shared" si="91"/>
        <v>0</v>
      </c>
      <c r="T167" s="225">
        <f t="shared" si="92"/>
        <v>0</v>
      </c>
      <c r="U167" s="225">
        <f t="shared" si="93"/>
        <v>0</v>
      </c>
      <c r="V167" s="225">
        <f t="shared" si="94"/>
        <v>0</v>
      </c>
      <c r="W167" s="225">
        <f t="shared" si="95"/>
        <v>0</v>
      </c>
      <c r="X167" s="225">
        <f t="shared" si="96"/>
        <v>0</v>
      </c>
      <c r="Y167" s="225">
        <f t="shared" si="97"/>
        <v>0</v>
      </c>
      <c r="Z167" s="225">
        <f t="shared" si="98"/>
        <v>0</v>
      </c>
      <c r="AA167" s="225">
        <f t="shared" si="99"/>
        <v>1</v>
      </c>
    </row>
    <row r="168" spans="1:27" ht="15.75">
      <c r="A168" s="220">
        <f t="shared" si="86"/>
        <v>2018</v>
      </c>
      <c r="B168" s="261">
        <v>800</v>
      </c>
      <c r="C168" s="68">
        <v>1700</v>
      </c>
      <c r="D168" s="68">
        <v>1800</v>
      </c>
      <c r="E168" s="68">
        <v>1800</v>
      </c>
      <c r="F168" s="68">
        <v>1700</v>
      </c>
      <c r="G168" s="68">
        <v>1700</v>
      </c>
      <c r="H168" s="68">
        <v>1600</v>
      </c>
      <c r="I168" s="256">
        <v>1800</v>
      </c>
      <c r="J168" s="68">
        <v>1700</v>
      </c>
      <c r="K168" s="68">
        <v>1700</v>
      </c>
      <c r="L168" s="232">
        <v>1600</v>
      </c>
      <c r="M168" s="68">
        <v>1900</v>
      </c>
      <c r="O168" s="254">
        <f t="shared" si="87"/>
        <v>2018</v>
      </c>
      <c r="P168" s="225">
        <f t="shared" si="88"/>
        <v>1</v>
      </c>
      <c r="Q168" s="225">
        <f t="shared" si="89"/>
        <v>0</v>
      </c>
      <c r="R168" s="225">
        <f t="shared" si="90"/>
        <v>0</v>
      </c>
      <c r="S168" s="225">
        <f t="shared" si="91"/>
        <v>0</v>
      </c>
      <c r="T168" s="225">
        <f t="shared" si="92"/>
        <v>0</v>
      </c>
      <c r="U168" s="225">
        <f t="shared" si="93"/>
        <v>0</v>
      </c>
      <c r="V168" s="225">
        <f t="shared" si="94"/>
        <v>0</v>
      </c>
      <c r="W168" s="225">
        <f t="shared" si="95"/>
        <v>0</v>
      </c>
      <c r="X168" s="225">
        <f t="shared" si="96"/>
        <v>0</v>
      </c>
      <c r="Y168" s="225">
        <f t="shared" si="97"/>
        <v>0</v>
      </c>
      <c r="Z168" s="225">
        <f t="shared" si="98"/>
        <v>0</v>
      </c>
      <c r="AA168" s="225">
        <f t="shared" si="99"/>
        <v>0</v>
      </c>
    </row>
    <row r="169" spans="1:27" ht="15.75">
      <c r="A169" s="220">
        <f t="shared" si="86"/>
        <v>2019</v>
      </c>
      <c r="B169" s="68">
        <v>800</v>
      </c>
      <c r="C169" s="68">
        <v>1600</v>
      </c>
      <c r="D169" s="68">
        <v>1800</v>
      </c>
      <c r="E169" s="68">
        <v>1700</v>
      </c>
      <c r="F169" s="68">
        <v>1800</v>
      </c>
      <c r="G169" s="256">
        <v>1700</v>
      </c>
      <c r="H169" s="68">
        <v>1700</v>
      </c>
      <c r="I169" s="68">
        <v>1800</v>
      </c>
      <c r="J169" s="68">
        <v>1600</v>
      </c>
      <c r="K169" s="68">
        <v>1700</v>
      </c>
      <c r="L169" s="68">
        <v>1600</v>
      </c>
      <c r="M169" s="68">
        <v>1900</v>
      </c>
      <c r="O169" s="254">
        <f t="shared" si="87"/>
        <v>2019</v>
      </c>
      <c r="P169" s="225">
        <f t="shared" si="88"/>
        <v>1</v>
      </c>
      <c r="Q169" s="225">
        <f t="shared" si="89"/>
        <v>0</v>
      </c>
      <c r="R169" s="225">
        <f t="shared" si="90"/>
        <v>0</v>
      </c>
      <c r="S169" s="225">
        <f t="shared" si="91"/>
        <v>0</v>
      </c>
      <c r="T169" s="225">
        <f t="shared" si="92"/>
        <v>0</v>
      </c>
      <c r="U169" s="225">
        <f t="shared" si="93"/>
        <v>0</v>
      </c>
      <c r="V169" s="225">
        <f t="shared" si="94"/>
        <v>0</v>
      </c>
      <c r="W169" s="225">
        <f t="shared" si="95"/>
        <v>0</v>
      </c>
      <c r="X169" s="225">
        <f t="shared" si="96"/>
        <v>0</v>
      </c>
      <c r="Y169" s="225">
        <f t="shared" si="97"/>
        <v>0</v>
      </c>
      <c r="Z169" s="225">
        <f t="shared" si="98"/>
        <v>0</v>
      </c>
      <c r="AA169" s="225">
        <f t="shared" si="99"/>
        <v>0</v>
      </c>
    </row>
    <row r="170" spans="1:27" ht="15.75">
      <c r="A170" s="220">
        <f t="shared" si="86"/>
        <v>2020</v>
      </c>
      <c r="B170" s="281">
        <v>800</v>
      </c>
      <c r="C170" s="68">
        <v>1700</v>
      </c>
      <c r="D170" s="232">
        <v>1800</v>
      </c>
      <c r="E170" s="68">
        <v>1700</v>
      </c>
      <c r="F170" s="68">
        <v>1700</v>
      </c>
      <c r="G170" s="68">
        <v>1700</v>
      </c>
      <c r="H170" s="68">
        <v>1600</v>
      </c>
      <c r="I170" s="68">
        <v>1700</v>
      </c>
      <c r="J170" s="366">
        <v>1700</v>
      </c>
      <c r="K170" s="68">
        <v>1700</v>
      </c>
      <c r="L170" s="68">
        <v>1600</v>
      </c>
      <c r="M170" s="1">
        <v>1000</v>
      </c>
      <c r="O170" s="254">
        <f t="shared" si="87"/>
        <v>2020</v>
      </c>
      <c r="P170" s="225">
        <f t="shared" si="88"/>
        <v>1</v>
      </c>
      <c r="Q170" s="225">
        <f t="shared" si="89"/>
        <v>0</v>
      </c>
      <c r="R170" s="225">
        <f t="shared" si="90"/>
        <v>0</v>
      </c>
      <c r="S170" s="225">
        <f t="shared" si="91"/>
        <v>0</v>
      </c>
      <c r="T170" s="225">
        <f t="shared" si="92"/>
        <v>0</v>
      </c>
      <c r="U170" s="225">
        <f t="shared" si="93"/>
        <v>0</v>
      </c>
      <c r="V170" s="225">
        <f t="shared" si="94"/>
        <v>0</v>
      </c>
      <c r="W170" s="225">
        <f t="shared" si="95"/>
        <v>0</v>
      </c>
      <c r="X170" s="225">
        <f t="shared" si="96"/>
        <v>0</v>
      </c>
      <c r="Y170" s="225">
        <f t="shared" si="97"/>
        <v>0</v>
      </c>
      <c r="Z170" s="225">
        <f t="shared" si="98"/>
        <v>0</v>
      </c>
      <c r="AA170" s="225">
        <f t="shared" si="99"/>
        <v>0</v>
      </c>
    </row>
    <row r="171" spans="1:27" ht="15.75">
      <c r="A171" s="220">
        <f t="shared" si="86"/>
        <v>2021</v>
      </c>
      <c r="B171" s="260">
        <v>900</v>
      </c>
      <c r="C171" s="68">
        <v>800</v>
      </c>
      <c r="D171" s="232">
        <v>1800</v>
      </c>
      <c r="E171" s="68">
        <v>1700</v>
      </c>
      <c r="F171" s="68">
        <v>1700</v>
      </c>
      <c r="G171" s="68">
        <v>1700</v>
      </c>
      <c r="H171" s="68">
        <v>1800</v>
      </c>
      <c r="I171" s="256">
        <v>1800</v>
      </c>
      <c r="J171" s="68">
        <v>1600</v>
      </c>
      <c r="K171" s="68">
        <v>1700</v>
      </c>
      <c r="L171" s="68">
        <v>1700</v>
      </c>
      <c r="M171" s="68">
        <v>1600</v>
      </c>
      <c r="O171" s="254">
        <f t="shared" si="87"/>
        <v>2021</v>
      </c>
      <c r="P171" s="225">
        <f t="shared" si="88"/>
        <v>1</v>
      </c>
      <c r="Q171" s="225">
        <f t="shared" si="89"/>
        <v>1</v>
      </c>
      <c r="R171" s="225">
        <f t="shared" si="90"/>
        <v>0</v>
      </c>
      <c r="S171" s="225">
        <f t="shared" si="91"/>
        <v>0</v>
      </c>
      <c r="T171" s="225">
        <f t="shared" si="92"/>
        <v>0</v>
      </c>
      <c r="U171" s="225">
        <f t="shared" si="93"/>
        <v>0</v>
      </c>
      <c r="V171" s="225">
        <f t="shared" si="94"/>
        <v>0</v>
      </c>
      <c r="W171" s="225">
        <f t="shared" si="95"/>
        <v>0</v>
      </c>
      <c r="X171" s="225">
        <f t="shared" si="96"/>
        <v>0</v>
      </c>
      <c r="Y171" s="225">
        <f t="shared" si="97"/>
        <v>0</v>
      </c>
      <c r="Z171" s="225">
        <f t="shared" si="98"/>
        <v>0</v>
      </c>
      <c r="AA171" s="225">
        <f t="shared" si="99"/>
        <v>0</v>
      </c>
    </row>
    <row r="172" spans="1:27" ht="16.5" thickBot="1">
      <c r="A172" s="220">
        <f t="shared" si="86"/>
        <v>2022</v>
      </c>
      <c r="B172" s="261">
        <v>800</v>
      </c>
      <c r="C172" s="68">
        <v>1700</v>
      </c>
      <c r="D172" s="1">
        <v>1700</v>
      </c>
      <c r="E172" s="1">
        <v>1700</v>
      </c>
      <c r="F172" s="1">
        <v>1700</v>
      </c>
      <c r="G172" s="256">
        <v>1700</v>
      </c>
      <c r="H172" s="1">
        <v>1700</v>
      </c>
      <c r="I172" s="1">
        <v>1700</v>
      </c>
      <c r="J172" s="68">
        <v>1700</v>
      </c>
      <c r="K172" s="68">
        <v>1700</v>
      </c>
      <c r="L172" s="232">
        <v>1700</v>
      </c>
      <c r="M172" s="68">
        <v>1000</v>
      </c>
      <c r="O172" s="254">
        <f t="shared" ref="O172:O173" si="100">+A172</f>
        <v>2022</v>
      </c>
      <c r="P172" s="225">
        <f t="shared" si="88"/>
        <v>1</v>
      </c>
      <c r="Q172" s="225">
        <f t="shared" si="89"/>
        <v>0</v>
      </c>
      <c r="R172" s="225">
        <f t="shared" si="90"/>
        <v>0</v>
      </c>
      <c r="S172" s="225">
        <f t="shared" si="91"/>
        <v>0</v>
      </c>
      <c r="T172" s="225">
        <f t="shared" si="92"/>
        <v>0</v>
      </c>
      <c r="U172" s="225">
        <f t="shared" si="93"/>
        <v>0</v>
      </c>
      <c r="V172" s="225">
        <f t="shared" si="94"/>
        <v>0</v>
      </c>
      <c r="W172" s="225">
        <f t="shared" si="95"/>
        <v>0</v>
      </c>
      <c r="X172" s="225">
        <f t="shared" si="96"/>
        <v>0</v>
      </c>
      <c r="Y172" s="225">
        <f t="shared" si="97"/>
        <v>0</v>
      </c>
      <c r="Z172" s="225">
        <f t="shared" si="98"/>
        <v>0</v>
      </c>
      <c r="AA172" s="225">
        <f t="shared" si="99"/>
        <v>0</v>
      </c>
    </row>
    <row r="173" spans="1:27" ht="16.5" thickBot="1">
      <c r="A173" s="220">
        <f t="shared" si="86"/>
        <v>2023</v>
      </c>
      <c r="B173" s="281">
        <v>900</v>
      </c>
      <c r="C173" s="68">
        <v>1600</v>
      </c>
      <c r="D173" s="1">
        <v>1800</v>
      </c>
      <c r="E173" s="1">
        <v>1800</v>
      </c>
      <c r="F173" s="68">
        <v>1800</v>
      </c>
      <c r="G173" s="68">
        <v>1700</v>
      </c>
      <c r="H173" s="68">
        <v>1500</v>
      </c>
      <c r="I173" s="275">
        <v>1800</v>
      </c>
      <c r="J173" s="22">
        <v>1700</v>
      </c>
      <c r="K173" s="5">
        <v>1700</v>
      </c>
      <c r="L173" s="232">
        <v>1600</v>
      </c>
      <c r="M173" s="68">
        <v>1500</v>
      </c>
      <c r="O173" s="254">
        <f t="shared" si="100"/>
        <v>2023</v>
      </c>
      <c r="T173" s="225">
        <f t="shared" si="92"/>
        <v>0</v>
      </c>
      <c r="U173" s="225">
        <f t="shared" si="93"/>
        <v>0</v>
      </c>
      <c r="V173" s="225">
        <f t="shared" si="94"/>
        <v>0</v>
      </c>
      <c r="X173" s="225">
        <f t="shared" si="96"/>
        <v>0</v>
      </c>
      <c r="Y173" s="225">
        <f t="shared" si="97"/>
        <v>0</v>
      </c>
      <c r="Z173" s="225">
        <f t="shared" si="98"/>
        <v>0</v>
      </c>
      <c r="AA173" s="225">
        <f t="shared" si="99"/>
        <v>0</v>
      </c>
    </row>
    <row r="174" spans="1:27" ht="15.75">
      <c r="A174" s="165"/>
      <c r="C174" s="232"/>
      <c r="I174" s="255"/>
      <c r="K174" s="68"/>
      <c r="L174" s="68"/>
      <c r="M174" s="68"/>
    </row>
    <row r="176" spans="1:27">
      <c r="A176" s="1" t="s">
        <v>63</v>
      </c>
      <c r="B176" s="1">
        <f>MEDIAN(B123:B172)</f>
        <v>800</v>
      </c>
      <c r="C176" s="1">
        <f t="shared" ref="C176:M176" si="101">MEDIAN(C123:C172)</f>
        <v>800</v>
      </c>
      <c r="D176" s="1">
        <f t="shared" si="101"/>
        <v>1700</v>
      </c>
      <c r="E176" s="1">
        <f t="shared" si="101"/>
        <v>1750</v>
      </c>
      <c r="F176" s="1">
        <f t="shared" si="101"/>
        <v>1700</v>
      </c>
      <c r="G176" s="1">
        <f t="shared" si="101"/>
        <v>1700</v>
      </c>
      <c r="H176" s="1">
        <f t="shared" si="101"/>
        <v>1700</v>
      </c>
      <c r="I176" s="1">
        <f t="shared" si="101"/>
        <v>1700</v>
      </c>
      <c r="J176" s="1">
        <f t="shared" si="101"/>
        <v>1700</v>
      </c>
      <c r="K176" s="1">
        <f t="shared" si="101"/>
        <v>1700</v>
      </c>
      <c r="L176" s="1">
        <f t="shared" si="101"/>
        <v>1700</v>
      </c>
      <c r="M176" s="1">
        <f t="shared" si="101"/>
        <v>900</v>
      </c>
      <c r="O176" s="165" t="s">
        <v>306</v>
      </c>
      <c r="P176" s="225">
        <f>COUNTA(P123:P172)</f>
        <v>50</v>
      </c>
      <c r="Q176" s="225">
        <f t="shared" ref="Q176:W176" si="102">COUNTA(Q123:Q172)</f>
        <v>50</v>
      </c>
      <c r="R176" s="225">
        <f t="shared" si="102"/>
        <v>50</v>
      </c>
      <c r="S176" s="225">
        <f t="shared" si="102"/>
        <v>50</v>
      </c>
      <c r="T176" s="225">
        <f>COUNTA(T123:T173)</f>
        <v>51</v>
      </c>
      <c r="U176" s="225">
        <f>COUNTA(U123:U173)</f>
        <v>51</v>
      </c>
      <c r="V176" s="225">
        <f>COUNTA(V123:V173)</f>
        <v>51</v>
      </c>
      <c r="W176" s="225">
        <f t="shared" si="102"/>
        <v>50</v>
      </c>
      <c r="X176" s="225">
        <f>COUNTA(X123:X173)</f>
        <v>51</v>
      </c>
      <c r="Y176" s="225">
        <f>COUNTA(Y123:Y173)</f>
        <v>51</v>
      </c>
      <c r="Z176" s="225">
        <f>COUNTA(Z123:Z173)</f>
        <v>51</v>
      </c>
      <c r="AA176" s="225">
        <f>COUNTA(AA123:AA173)</f>
        <v>51</v>
      </c>
    </row>
    <row r="177" spans="1:28">
      <c r="A177" s="1" t="s">
        <v>64</v>
      </c>
      <c r="B177" s="68">
        <f>AVERAGE(B123:B172)</f>
        <v>862</v>
      </c>
      <c r="C177" s="68">
        <f t="shared" ref="C177:M177" si="103">AVERAGE(C123:C172)</f>
        <v>968</v>
      </c>
      <c r="D177" s="68">
        <f t="shared" si="103"/>
        <v>1438</v>
      </c>
      <c r="E177" s="68">
        <f t="shared" si="103"/>
        <v>1754</v>
      </c>
      <c r="F177" s="68">
        <f t="shared" si="103"/>
        <v>1722</v>
      </c>
      <c r="G177" s="68">
        <f t="shared" si="103"/>
        <v>1702</v>
      </c>
      <c r="H177" s="68">
        <f t="shared" si="103"/>
        <v>1710</v>
      </c>
      <c r="I177" s="68">
        <f t="shared" si="103"/>
        <v>1704</v>
      </c>
      <c r="J177" s="68">
        <f t="shared" si="103"/>
        <v>1700</v>
      </c>
      <c r="K177" s="68">
        <f t="shared" si="103"/>
        <v>1710</v>
      </c>
      <c r="L177" s="68">
        <f t="shared" si="103"/>
        <v>1612</v>
      </c>
      <c r="M177" s="68">
        <f t="shared" si="103"/>
        <v>1232</v>
      </c>
      <c r="O177" s="165" t="s">
        <v>307</v>
      </c>
      <c r="P177" s="225">
        <f>SUM(P123:P172)</f>
        <v>46</v>
      </c>
      <c r="Q177" s="225">
        <f t="shared" ref="Q177:W177" si="104">SUM(Q123:Q172)</f>
        <v>40</v>
      </c>
      <c r="R177" s="225">
        <f t="shared" si="104"/>
        <v>19</v>
      </c>
      <c r="S177" s="225">
        <f t="shared" si="104"/>
        <v>1</v>
      </c>
      <c r="T177" s="225">
        <f>SUM(T123:T173)</f>
        <v>0</v>
      </c>
      <c r="U177" s="225">
        <f>SUM(U123:U173)</f>
        <v>0</v>
      </c>
      <c r="V177" s="225">
        <f>SUM(V123:V173)</f>
        <v>0</v>
      </c>
      <c r="W177" s="225">
        <f t="shared" si="104"/>
        <v>0</v>
      </c>
      <c r="X177" s="225">
        <f>SUM(X123:X173)</f>
        <v>0</v>
      </c>
      <c r="Y177" s="225">
        <f>SUM(Y123:Y173)</f>
        <v>0</v>
      </c>
      <c r="Z177" s="225">
        <f>SUM(Z123:Z173)</f>
        <v>8</v>
      </c>
      <c r="AA177" s="225">
        <f>SUM(AA123:AA173)</f>
        <v>28</v>
      </c>
    </row>
    <row r="178" spans="1:28" ht="15.75">
      <c r="A178" s="1" t="s">
        <v>65</v>
      </c>
      <c r="B178" s="32">
        <f>P178</f>
        <v>0.92</v>
      </c>
      <c r="C178" s="32">
        <f t="shared" ref="C178:M178" si="105">Q178</f>
        <v>0.8</v>
      </c>
      <c r="D178" s="32">
        <f t="shared" si="105"/>
        <v>0.38</v>
      </c>
      <c r="E178" s="321">
        <f t="shared" si="105"/>
        <v>0.02</v>
      </c>
      <c r="F178" s="321">
        <f t="shared" si="105"/>
        <v>0</v>
      </c>
      <c r="G178" s="321">
        <f t="shared" si="105"/>
        <v>0</v>
      </c>
      <c r="H178" s="321">
        <f t="shared" si="105"/>
        <v>0</v>
      </c>
      <c r="I178" s="321">
        <f t="shared" si="105"/>
        <v>0</v>
      </c>
      <c r="J178" s="321">
        <f t="shared" si="105"/>
        <v>0</v>
      </c>
      <c r="K178" s="321">
        <f t="shared" si="105"/>
        <v>0</v>
      </c>
      <c r="L178" s="32">
        <f t="shared" si="105"/>
        <v>0.15686274509803921</v>
      </c>
      <c r="M178" s="32">
        <f t="shared" si="105"/>
        <v>0.5490196078431373</v>
      </c>
      <c r="O178" s="165" t="s">
        <v>65</v>
      </c>
      <c r="P178" s="324">
        <f>P177/P176</f>
        <v>0.92</v>
      </c>
      <c r="Q178" s="324">
        <f>Q177/Q176</f>
        <v>0.8</v>
      </c>
      <c r="R178" s="324">
        <f t="shared" ref="R178:AA178" si="106">R177/R176</f>
        <v>0.38</v>
      </c>
      <c r="S178" s="324">
        <f t="shared" si="106"/>
        <v>0.02</v>
      </c>
      <c r="T178" s="324">
        <f t="shared" si="106"/>
        <v>0</v>
      </c>
      <c r="U178" s="324">
        <f t="shared" si="106"/>
        <v>0</v>
      </c>
      <c r="V178" s="324">
        <f t="shared" si="106"/>
        <v>0</v>
      </c>
      <c r="W178" s="324">
        <f t="shared" si="106"/>
        <v>0</v>
      </c>
      <c r="X178" s="324">
        <f t="shared" si="106"/>
        <v>0</v>
      </c>
      <c r="Y178" s="324">
        <f t="shared" si="106"/>
        <v>0</v>
      </c>
      <c r="Z178" s="324">
        <f t="shared" si="106"/>
        <v>0.15686274509803921</v>
      </c>
      <c r="AA178" s="324">
        <f t="shared" si="106"/>
        <v>0.5490196078431373</v>
      </c>
      <c r="AB178" s="321"/>
    </row>
    <row r="179" spans="1:28" ht="16.5" thickBot="1">
      <c r="A179" s="1" t="s">
        <v>66</v>
      </c>
      <c r="B179" s="321">
        <f>1-B178</f>
        <v>7.999999999999996E-2</v>
      </c>
      <c r="C179" s="321">
        <f t="shared" ref="C179:M179" si="107">1-C178</f>
        <v>0.19999999999999996</v>
      </c>
      <c r="D179" s="32">
        <f t="shared" si="107"/>
        <v>0.62</v>
      </c>
      <c r="E179" s="32">
        <f t="shared" si="107"/>
        <v>0.98</v>
      </c>
      <c r="F179" s="32">
        <f t="shared" si="107"/>
        <v>1</v>
      </c>
      <c r="G179" s="32">
        <f t="shared" si="107"/>
        <v>1</v>
      </c>
      <c r="H179" s="32">
        <f t="shared" si="107"/>
        <v>1</v>
      </c>
      <c r="I179" s="32">
        <f t="shared" si="107"/>
        <v>1</v>
      </c>
      <c r="J179" s="32">
        <f t="shared" si="107"/>
        <v>1</v>
      </c>
      <c r="K179" s="32">
        <f t="shared" si="107"/>
        <v>1</v>
      </c>
      <c r="L179" s="32">
        <f t="shared" si="107"/>
        <v>0.84313725490196079</v>
      </c>
      <c r="M179" s="321">
        <f t="shared" si="107"/>
        <v>0.4509803921568627</v>
      </c>
    </row>
    <row r="180" spans="1:28">
      <c r="O180" s="277" t="s">
        <v>295</v>
      </c>
      <c r="P180" s="294">
        <f>COUNTA(P151:P160)</f>
        <v>10</v>
      </c>
      <c r="Q180" s="294">
        <f>COUNTA(Q151:Q160)</f>
        <v>10</v>
      </c>
      <c r="R180" s="294">
        <f>COUNTA(R151:R160)</f>
        <v>10</v>
      </c>
      <c r="S180" s="294">
        <f t="shared" ref="S180:AA180" si="108">COUNTA(S151:S160)</f>
        <v>10</v>
      </c>
      <c r="T180" s="294">
        <f>COUNTA(T151:T160)</f>
        <v>10</v>
      </c>
      <c r="U180" s="294">
        <f t="shared" si="108"/>
        <v>10</v>
      </c>
      <c r="V180" s="294">
        <f>COUNTA(V151:V160)</f>
        <v>10</v>
      </c>
      <c r="W180" s="294">
        <f t="shared" si="108"/>
        <v>10</v>
      </c>
      <c r="X180" s="294">
        <f t="shared" si="108"/>
        <v>10</v>
      </c>
      <c r="Y180" s="294">
        <f t="shared" si="108"/>
        <v>10</v>
      </c>
      <c r="Z180" s="294">
        <f t="shared" si="108"/>
        <v>10</v>
      </c>
      <c r="AA180" s="295">
        <f t="shared" si="108"/>
        <v>10</v>
      </c>
    </row>
    <row r="181" spans="1:28" ht="15.75">
      <c r="B181" s="5" t="s">
        <v>73</v>
      </c>
      <c r="O181" s="278"/>
      <c r="P181" s="225">
        <f>SUM(P151:P160)</f>
        <v>10</v>
      </c>
      <c r="Q181" s="225">
        <f t="shared" ref="Q181:AA181" si="109">SUM(Q151:Q160)</f>
        <v>10</v>
      </c>
      <c r="R181" s="225">
        <f t="shared" si="109"/>
        <v>3</v>
      </c>
      <c r="S181" s="225">
        <f t="shared" si="109"/>
        <v>0</v>
      </c>
      <c r="T181" s="225">
        <f t="shared" si="109"/>
        <v>0</v>
      </c>
      <c r="U181" s="225">
        <f t="shared" si="109"/>
        <v>0</v>
      </c>
      <c r="V181" s="225">
        <f t="shared" si="109"/>
        <v>0</v>
      </c>
      <c r="W181" s="225">
        <f t="shared" si="109"/>
        <v>0</v>
      </c>
      <c r="X181" s="225">
        <f t="shared" si="109"/>
        <v>0</v>
      </c>
      <c r="Y181" s="225">
        <f t="shared" si="109"/>
        <v>0</v>
      </c>
      <c r="Z181" s="225">
        <f t="shared" si="109"/>
        <v>0</v>
      </c>
      <c r="AA181" s="296">
        <f t="shared" si="109"/>
        <v>6</v>
      </c>
    </row>
    <row r="182" spans="1:28">
      <c r="O182" s="278"/>
      <c r="P182" s="297">
        <f>+P181/P180</f>
        <v>1</v>
      </c>
      <c r="Q182" s="297">
        <f t="shared" ref="Q182:AA182" si="110">+Q181/Q180</f>
        <v>1</v>
      </c>
      <c r="R182" s="297">
        <f t="shared" si="110"/>
        <v>0.3</v>
      </c>
      <c r="S182" s="297">
        <f t="shared" si="110"/>
        <v>0</v>
      </c>
      <c r="T182" s="297">
        <f t="shared" si="110"/>
        <v>0</v>
      </c>
      <c r="U182" s="297">
        <f t="shared" si="110"/>
        <v>0</v>
      </c>
      <c r="V182" s="297">
        <f t="shared" si="110"/>
        <v>0</v>
      </c>
      <c r="W182" s="297">
        <f t="shared" si="110"/>
        <v>0</v>
      </c>
      <c r="X182" s="297">
        <f t="shared" si="110"/>
        <v>0</v>
      </c>
      <c r="Y182" s="297">
        <f t="shared" si="110"/>
        <v>0</v>
      </c>
      <c r="Z182" s="297">
        <f t="shared" si="110"/>
        <v>0</v>
      </c>
      <c r="AA182" s="298">
        <f t="shared" si="110"/>
        <v>0.6</v>
      </c>
    </row>
    <row r="183" spans="1:28" ht="15.75" thickBot="1">
      <c r="O183" s="279"/>
      <c r="P183" s="299">
        <f>1-P182</f>
        <v>0</v>
      </c>
      <c r="Q183" s="299">
        <f t="shared" ref="Q183:AA183" si="111">1-Q182</f>
        <v>0</v>
      </c>
      <c r="R183" s="299">
        <f t="shared" si="111"/>
        <v>0.7</v>
      </c>
      <c r="S183" s="299">
        <f t="shared" si="111"/>
        <v>1</v>
      </c>
      <c r="T183" s="299">
        <f t="shared" si="111"/>
        <v>1</v>
      </c>
      <c r="U183" s="299">
        <f t="shared" si="111"/>
        <v>1</v>
      </c>
      <c r="V183" s="299">
        <f t="shared" si="111"/>
        <v>1</v>
      </c>
      <c r="W183" s="299">
        <f t="shared" si="111"/>
        <v>1</v>
      </c>
      <c r="X183" s="299">
        <f t="shared" si="111"/>
        <v>1</v>
      </c>
      <c r="Y183" s="299">
        <f t="shared" si="111"/>
        <v>1</v>
      </c>
      <c r="Z183" s="299">
        <f t="shared" si="111"/>
        <v>1</v>
      </c>
      <c r="AA183" s="300">
        <f t="shared" si="111"/>
        <v>0.4</v>
      </c>
    </row>
    <row r="184" spans="1:28">
      <c r="O184" s="277" t="s">
        <v>294</v>
      </c>
      <c r="P184" s="294">
        <f>COUNTA(P161:P170)</f>
        <v>10</v>
      </c>
      <c r="Q184" s="294">
        <f t="shared" ref="Q184:AA184" si="112">COUNTA(Q161:Q170)</f>
        <v>10</v>
      </c>
      <c r="R184" s="294">
        <f t="shared" si="112"/>
        <v>10</v>
      </c>
      <c r="S184" s="294">
        <f t="shared" si="112"/>
        <v>10</v>
      </c>
      <c r="T184" s="294">
        <f t="shared" si="112"/>
        <v>10</v>
      </c>
      <c r="U184" s="294">
        <f t="shared" si="112"/>
        <v>10</v>
      </c>
      <c r="V184" s="294">
        <f t="shared" si="112"/>
        <v>10</v>
      </c>
      <c r="W184" s="294">
        <f t="shared" si="112"/>
        <v>10</v>
      </c>
      <c r="X184" s="294">
        <f t="shared" si="112"/>
        <v>10</v>
      </c>
      <c r="Y184" s="294">
        <f t="shared" si="112"/>
        <v>10</v>
      </c>
      <c r="Z184" s="294">
        <f t="shared" si="112"/>
        <v>10</v>
      </c>
      <c r="AA184" s="295">
        <f t="shared" si="112"/>
        <v>10</v>
      </c>
    </row>
    <row r="185" spans="1:28">
      <c r="O185" s="278"/>
      <c r="P185" s="225">
        <f>SUM(P161:P170)</f>
        <v>9</v>
      </c>
      <c r="Q185" s="225">
        <f t="shared" ref="Q185:AA185" si="113">SUM(Q161:Q170)</f>
        <v>6</v>
      </c>
      <c r="R185" s="225">
        <f t="shared" si="113"/>
        <v>1</v>
      </c>
      <c r="S185" s="225">
        <f t="shared" si="113"/>
        <v>0</v>
      </c>
      <c r="T185" s="225">
        <f t="shared" si="113"/>
        <v>0</v>
      </c>
      <c r="U185" s="225">
        <f t="shared" si="113"/>
        <v>0</v>
      </c>
      <c r="V185" s="225">
        <f t="shared" si="113"/>
        <v>0</v>
      </c>
      <c r="W185" s="225">
        <f t="shared" si="113"/>
        <v>0</v>
      </c>
      <c r="X185" s="225">
        <f t="shared" si="113"/>
        <v>0</v>
      </c>
      <c r="Y185" s="225">
        <f t="shared" si="113"/>
        <v>0</v>
      </c>
      <c r="Z185" s="225">
        <f t="shared" si="113"/>
        <v>1</v>
      </c>
      <c r="AA185" s="296">
        <f t="shared" si="113"/>
        <v>2</v>
      </c>
    </row>
    <row r="186" spans="1:28">
      <c r="O186" s="278"/>
      <c r="P186" s="297">
        <f>+P185/P184</f>
        <v>0.9</v>
      </c>
      <c r="Q186" s="297">
        <f t="shared" ref="Q186:AA186" si="114">+Q185/Q184</f>
        <v>0.6</v>
      </c>
      <c r="R186" s="297">
        <f t="shared" si="114"/>
        <v>0.1</v>
      </c>
      <c r="S186" s="297">
        <f t="shared" si="114"/>
        <v>0</v>
      </c>
      <c r="T186" s="297">
        <f t="shared" si="114"/>
        <v>0</v>
      </c>
      <c r="U186" s="297">
        <f t="shared" si="114"/>
        <v>0</v>
      </c>
      <c r="V186" s="297">
        <f t="shared" si="114"/>
        <v>0</v>
      </c>
      <c r="W186" s="297">
        <f>+W185/W184</f>
        <v>0</v>
      </c>
      <c r="X186" s="297">
        <f t="shared" si="114"/>
        <v>0</v>
      </c>
      <c r="Y186" s="297">
        <f t="shared" si="114"/>
        <v>0</v>
      </c>
      <c r="Z186" s="297">
        <f t="shared" si="114"/>
        <v>0.1</v>
      </c>
      <c r="AA186" s="298">
        <f t="shared" si="114"/>
        <v>0.2</v>
      </c>
    </row>
    <row r="187" spans="1:28" ht="15.75" thickBot="1">
      <c r="O187" s="279"/>
      <c r="P187" s="299">
        <f t="shared" ref="P187:AA187" si="115">1-P186</f>
        <v>9.9999999999999978E-2</v>
      </c>
      <c r="Q187" s="299">
        <f t="shared" si="115"/>
        <v>0.4</v>
      </c>
      <c r="R187" s="299">
        <f t="shared" si="115"/>
        <v>0.9</v>
      </c>
      <c r="S187" s="299">
        <f t="shared" si="115"/>
        <v>1</v>
      </c>
      <c r="T187" s="299">
        <f t="shared" si="115"/>
        <v>1</v>
      </c>
      <c r="U187" s="299">
        <f t="shared" si="115"/>
        <v>1</v>
      </c>
      <c r="V187" s="299">
        <f t="shared" si="115"/>
        <v>1</v>
      </c>
      <c r="W187" s="299">
        <f t="shared" si="115"/>
        <v>1</v>
      </c>
      <c r="X187" s="299">
        <f t="shared" si="115"/>
        <v>1</v>
      </c>
      <c r="Y187" s="299">
        <f t="shared" si="115"/>
        <v>1</v>
      </c>
      <c r="Z187" s="299">
        <f t="shared" si="115"/>
        <v>0.9</v>
      </c>
      <c r="AA187" s="300">
        <f t="shared" si="115"/>
        <v>0.8</v>
      </c>
    </row>
    <row r="188" spans="1:28">
      <c r="B188" s="33">
        <v>65</v>
      </c>
      <c r="C188" s="1" t="s">
        <v>78</v>
      </c>
    </row>
    <row r="189" spans="1:28">
      <c r="B189" s="89">
        <v>65</v>
      </c>
      <c r="C189" s="1" t="s">
        <v>79</v>
      </c>
    </row>
    <row r="190" spans="1:28">
      <c r="B190" s="326"/>
      <c r="C190" s="1" t="s">
        <v>80</v>
      </c>
    </row>
    <row r="191" spans="1:28">
      <c r="B191" s="34">
        <v>65</v>
      </c>
      <c r="C191" s="1" t="s">
        <v>81</v>
      </c>
    </row>
    <row r="194" spans="1:39" ht="15.75">
      <c r="B194" s="5" t="s">
        <v>74</v>
      </c>
      <c r="P194" s="1"/>
      <c r="Q194" s="1"/>
      <c r="R194" s="1"/>
      <c r="S194" s="1"/>
      <c r="T194" s="1"/>
      <c r="U194" s="1"/>
      <c r="V194" s="1"/>
      <c r="W194" s="1"/>
    </row>
    <row r="195" spans="1:39" ht="15.75">
      <c r="B195" s="5"/>
      <c r="O195" s="254"/>
      <c r="P195" s="90" t="s">
        <v>333</v>
      </c>
      <c r="Q195" s="90" t="s">
        <v>265</v>
      </c>
      <c r="R195" s="90"/>
      <c r="S195" s="90" t="s">
        <v>333</v>
      </c>
      <c r="T195" s="90" t="s">
        <v>265</v>
      </c>
      <c r="U195" s="90"/>
      <c r="V195" s="90" t="s">
        <v>333</v>
      </c>
      <c r="W195" s="90" t="s">
        <v>265</v>
      </c>
      <c r="X195" s="90"/>
      <c r="Y195" s="90" t="s">
        <v>333</v>
      </c>
      <c r="Z195" s="90" t="s">
        <v>265</v>
      </c>
    </row>
    <row r="196" spans="1:39" ht="15.75">
      <c r="B196" s="165" t="s">
        <v>4</v>
      </c>
      <c r="C196" s="165" t="s">
        <v>8</v>
      </c>
      <c r="D196" s="165" t="s">
        <v>9</v>
      </c>
      <c r="E196" s="165" t="s">
        <v>10</v>
      </c>
      <c r="F196" s="165" t="s">
        <v>11</v>
      </c>
      <c r="G196" s="165" t="s">
        <v>12</v>
      </c>
      <c r="H196" s="165" t="s">
        <v>13</v>
      </c>
      <c r="I196" s="165" t="s">
        <v>15</v>
      </c>
      <c r="J196" s="165" t="s">
        <v>16</v>
      </c>
      <c r="K196" s="165" t="s">
        <v>17</v>
      </c>
      <c r="L196" s="165" t="s">
        <v>18</v>
      </c>
      <c r="M196" s="165" t="s">
        <v>19</v>
      </c>
      <c r="N196" s="165" t="s">
        <v>297</v>
      </c>
      <c r="O196" s="437" t="s">
        <v>334</v>
      </c>
      <c r="P196" s="436" t="s">
        <v>91</v>
      </c>
      <c r="Q196" s="436" t="s">
        <v>93</v>
      </c>
      <c r="R196" s="90"/>
      <c r="S196" s="436" t="s">
        <v>95</v>
      </c>
      <c r="T196" s="436" t="s">
        <v>97</v>
      </c>
      <c r="U196" s="90"/>
      <c r="V196" s="436" t="s">
        <v>98</v>
      </c>
      <c r="W196" s="436" t="s">
        <v>99</v>
      </c>
      <c r="X196" s="90"/>
      <c r="Y196" s="436" t="s">
        <v>315</v>
      </c>
      <c r="Z196" s="436" t="s">
        <v>316</v>
      </c>
      <c r="AD196" s="313"/>
      <c r="AE196" s="313" t="s">
        <v>4</v>
      </c>
      <c r="AG196" s="239"/>
      <c r="AH196" s="239" t="s">
        <v>15</v>
      </c>
      <c r="AJ196" s="239"/>
      <c r="AK196" s="313" t="s">
        <v>320</v>
      </c>
    </row>
    <row r="197" spans="1:39">
      <c r="A197" s="1">
        <f t="shared" ref="A197:A228" si="116">A7</f>
        <v>1973</v>
      </c>
      <c r="B197" s="327">
        <v>36</v>
      </c>
      <c r="C197" s="328">
        <v>41</v>
      </c>
      <c r="D197" s="221">
        <v>75</v>
      </c>
      <c r="E197" s="221">
        <v>75</v>
      </c>
      <c r="F197" s="221">
        <v>88</v>
      </c>
      <c r="G197" s="221">
        <v>88</v>
      </c>
      <c r="H197" s="221">
        <v>86</v>
      </c>
      <c r="I197" s="221">
        <v>88</v>
      </c>
      <c r="J197" s="221">
        <v>88</v>
      </c>
      <c r="K197" s="221">
        <v>88</v>
      </c>
      <c r="L197" s="221">
        <v>78</v>
      </c>
      <c r="M197" s="328">
        <v>42</v>
      </c>
      <c r="N197" s="68">
        <f>MIN(B197:M197)</f>
        <v>36</v>
      </c>
      <c r="O197" s="254">
        <f>+O198+1</f>
        <v>50</v>
      </c>
      <c r="Q197" s="304">
        <f>IF(L123&lt;1200,0,L197)</f>
        <v>78</v>
      </c>
      <c r="T197" s="304">
        <f>IF(D123&gt;1200,D197,0)</f>
        <v>75</v>
      </c>
      <c r="V197" s="291">
        <f t="shared" ref="V197:V209" si="117">+M197</f>
        <v>42</v>
      </c>
      <c r="W197" s="329"/>
      <c r="Y197" s="291">
        <f t="shared" ref="Y197:Y205" si="118">+C197</f>
        <v>41</v>
      </c>
      <c r="Z197"/>
      <c r="AC197" s="225">
        <f t="shared" ref="AC197:AC228" si="119">IF(B197&lt;32,1,0)</f>
        <v>0</v>
      </c>
      <c r="AD197" s="225">
        <v>1981</v>
      </c>
      <c r="AE197" s="225">
        <v>23</v>
      </c>
      <c r="AG197" s="1">
        <v>1995</v>
      </c>
      <c r="AH197" s="1">
        <v>97</v>
      </c>
      <c r="AJ197" s="1">
        <v>1983</v>
      </c>
      <c r="AK197" s="1">
        <v>27</v>
      </c>
    </row>
    <row r="198" spans="1:39">
      <c r="A198" s="1">
        <f t="shared" si="116"/>
        <v>1974</v>
      </c>
      <c r="B198" s="223">
        <v>73</v>
      </c>
      <c r="C198" s="166">
        <v>38</v>
      </c>
      <c r="D198" s="222">
        <v>82</v>
      </c>
      <c r="E198" s="222">
        <v>83</v>
      </c>
      <c r="F198" s="222">
        <v>86</v>
      </c>
      <c r="G198" s="222">
        <v>89</v>
      </c>
      <c r="H198" s="222">
        <v>87</v>
      </c>
      <c r="I198" s="222">
        <v>89</v>
      </c>
      <c r="J198" s="222">
        <v>89</v>
      </c>
      <c r="K198" s="222">
        <v>77</v>
      </c>
      <c r="L198" s="222">
        <v>72</v>
      </c>
      <c r="M198" s="166">
        <v>39</v>
      </c>
      <c r="N198" s="68">
        <f t="shared" ref="N198:N246" si="120">MIN(B198:M198)</f>
        <v>38</v>
      </c>
      <c r="O198" s="254">
        <f>+O199+1</f>
        <v>49</v>
      </c>
      <c r="Q198" s="304">
        <f>IF(L124&lt;1200,0,L198)</f>
        <v>72</v>
      </c>
      <c r="T198" s="304">
        <f>IF(D124&gt;1200,D198,0)</f>
        <v>82</v>
      </c>
      <c r="V198" s="291">
        <f t="shared" si="117"/>
        <v>39</v>
      </c>
      <c r="W198" s="330"/>
      <c r="Y198" s="291">
        <f t="shared" si="118"/>
        <v>38</v>
      </c>
      <c r="Z198"/>
      <c r="AC198" s="225">
        <f t="shared" si="119"/>
        <v>0</v>
      </c>
      <c r="AD198" s="225">
        <v>1982</v>
      </c>
      <c r="AE198" s="225">
        <v>24</v>
      </c>
      <c r="AG198" s="1">
        <v>1993</v>
      </c>
      <c r="AH198" s="1">
        <v>95</v>
      </c>
      <c r="AJ198" s="1">
        <v>1989</v>
      </c>
      <c r="AK198" s="1">
        <v>32</v>
      </c>
    </row>
    <row r="199" spans="1:39">
      <c r="A199" s="1">
        <f t="shared" si="116"/>
        <v>1975</v>
      </c>
      <c r="B199" s="331">
        <v>36</v>
      </c>
      <c r="C199" s="166">
        <v>45</v>
      </c>
      <c r="D199" s="166">
        <v>42</v>
      </c>
      <c r="E199" s="222">
        <v>89</v>
      </c>
      <c r="F199" s="222">
        <v>92</v>
      </c>
      <c r="G199" s="222">
        <v>90</v>
      </c>
      <c r="H199" s="222">
        <v>86</v>
      </c>
      <c r="I199" s="222">
        <v>93</v>
      </c>
      <c r="J199" s="222">
        <v>92</v>
      </c>
      <c r="K199" s="222">
        <v>81</v>
      </c>
      <c r="L199" s="166">
        <v>44</v>
      </c>
      <c r="M199" s="332">
        <v>43</v>
      </c>
      <c r="N199" s="68">
        <f t="shared" si="120"/>
        <v>36</v>
      </c>
      <c r="O199" s="254">
        <f>+O200+1</f>
        <v>48</v>
      </c>
      <c r="P199" s="291">
        <f>+L199</f>
        <v>44</v>
      </c>
      <c r="Q199" s="330"/>
      <c r="S199" s="225">
        <f>IF(D125&lt;1200,D199,0)</f>
        <v>42</v>
      </c>
      <c r="T199" s="330"/>
      <c r="V199" s="291">
        <f t="shared" si="117"/>
        <v>43</v>
      </c>
      <c r="W199" s="329"/>
      <c r="Y199" s="291">
        <f t="shared" si="118"/>
        <v>45</v>
      </c>
      <c r="Z199"/>
      <c r="AC199" s="225">
        <f t="shared" si="119"/>
        <v>0</v>
      </c>
      <c r="AD199" s="225">
        <v>1985</v>
      </c>
      <c r="AE199" s="225">
        <v>26</v>
      </c>
      <c r="AG199" s="1">
        <v>2020</v>
      </c>
      <c r="AH199" s="68">
        <v>95</v>
      </c>
      <c r="AJ199" s="1">
        <v>1981</v>
      </c>
      <c r="AK199" s="1">
        <v>34</v>
      </c>
    </row>
    <row r="200" spans="1:39">
      <c r="A200" s="1">
        <f t="shared" si="116"/>
        <v>1976</v>
      </c>
      <c r="B200" s="331">
        <v>32</v>
      </c>
      <c r="C200" s="166">
        <v>45</v>
      </c>
      <c r="D200" s="222">
        <v>74</v>
      </c>
      <c r="E200" s="222">
        <v>82</v>
      </c>
      <c r="F200" s="222">
        <v>88</v>
      </c>
      <c r="G200" s="222">
        <v>87</v>
      </c>
      <c r="H200" s="222">
        <v>86</v>
      </c>
      <c r="I200" s="222">
        <v>90</v>
      </c>
      <c r="J200" s="222">
        <v>87</v>
      </c>
      <c r="K200" s="222">
        <v>80</v>
      </c>
      <c r="L200" s="332">
        <v>40</v>
      </c>
      <c r="M200" s="166">
        <v>41</v>
      </c>
      <c r="N200" s="68">
        <f t="shared" si="120"/>
        <v>32</v>
      </c>
      <c r="O200" s="254">
        <f>+O201+1</f>
        <v>47</v>
      </c>
      <c r="P200" s="291">
        <f>+L200</f>
        <v>40</v>
      </c>
      <c r="Q200" s="329"/>
      <c r="T200" s="304">
        <f>IF(D126&gt;1200,D200,0)</f>
        <v>74</v>
      </c>
      <c r="V200" s="291">
        <f t="shared" si="117"/>
        <v>41</v>
      </c>
      <c r="W200" s="330"/>
      <c r="Y200" s="291">
        <f t="shared" si="118"/>
        <v>45</v>
      </c>
      <c r="Z200"/>
      <c r="AC200" s="225">
        <f t="shared" si="119"/>
        <v>0</v>
      </c>
      <c r="AD200" s="225">
        <v>1986</v>
      </c>
      <c r="AE200" s="225">
        <v>27</v>
      </c>
      <c r="AG200" s="1">
        <v>2007</v>
      </c>
      <c r="AH200" s="1">
        <v>94</v>
      </c>
      <c r="AJ200" s="1">
        <v>1996</v>
      </c>
      <c r="AK200" s="1">
        <v>34</v>
      </c>
    </row>
    <row r="201" spans="1:39">
      <c r="A201" s="1">
        <f t="shared" si="116"/>
        <v>1977</v>
      </c>
      <c r="B201" s="331">
        <v>31</v>
      </c>
      <c r="C201" s="166">
        <v>37</v>
      </c>
      <c r="D201" s="222">
        <v>77</v>
      </c>
      <c r="E201" s="222">
        <v>78</v>
      </c>
      <c r="F201" s="222">
        <v>80</v>
      </c>
      <c r="G201" s="222">
        <v>93</v>
      </c>
      <c r="H201" s="222">
        <v>91</v>
      </c>
      <c r="I201" s="222">
        <v>89</v>
      </c>
      <c r="J201" s="222">
        <v>89</v>
      </c>
      <c r="K201" s="222">
        <v>84</v>
      </c>
      <c r="L201" s="222">
        <v>76</v>
      </c>
      <c r="M201" s="166">
        <v>41</v>
      </c>
      <c r="N201" s="68">
        <f t="shared" si="120"/>
        <v>31</v>
      </c>
      <c r="O201" s="254">
        <f t="shared" ref="O201:O238" si="121">+O202+1</f>
        <v>46</v>
      </c>
      <c r="Q201" s="304">
        <f>IF(L127&lt;1200,0,L201)</f>
        <v>76</v>
      </c>
      <c r="T201" s="304">
        <f>IF(D127&gt;1200,D201,0)</f>
        <v>77</v>
      </c>
      <c r="V201" s="291">
        <f t="shared" si="117"/>
        <v>41</v>
      </c>
      <c r="W201" s="330"/>
      <c r="Y201" s="291">
        <f t="shared" si="118"/>
        <v>37</v>
      </c>
      <c r="Z201"/>
      <c r="AC201" s="225">
        <f t="shared" si="119"/>
        <v>1</v>
      </c>
      <c r="AD201" s="225">
        <v>2003</v>
      </c>
      <c r="AE201" s="225">
        <v>28</v>
      </c>
      <c r="AG201" s="1">
        <v>1975</v>
      </c>
      <c r="AH201" s="1">
        <v>93</v>
      </c>
      <c r="AJ201" s="1">
        <v>2000</v>
      </c>
      <c r="AK201" s="1">
        <v>35</v>
      </c>
      <c r="AM201" s="166"/>
    </row>
    <row r="202" spans="1:39">
      <c r="A202" s="1">
        <f t="shared" si="116"/>
        <v>1978</v>
      </c>
      <c r="B202" s="331">
        <v>30</v>
      </c>
      <c r="C202" s="166">
        <v>32</v>
      </c>
      <c r="D202" s="166">
        <v>43</v>
      </c>
      <c r="E202" s="222">
        <v>77</v>
      </c>
      <c r="F202" s="222">
        <v>90</v>
      </c>
      <c r="G202" s="222">
        <v>90</v>
      </c>
      <c r="H202" s="222">
        <v>89</v>
      </c>
      <c r="I202" s="222">
        <v>91</v>
      </c>
      <c r="J202" s="222">
        <v>90</v>
      </c>
      <c r="K202" s="222">
        <v>87</v>
      </c>
      <c r="L202" s="222">
        <v>76</v>
      </c>
      <c r="M202" s="332">
        <v>52</v>
      </c>
      <c r="N202" s="68">
        <f t="shared" si="120"/>
        <v>30</v>
      </c>
      <c r="O202" s="254">
        <f t="shared" si="121"/>
        <v>45</v>
      </c>
      <c r="Q202" s="304">
        <f>IF(L128&lt;1200,0,L202)</f>
        <v>76</v>
      </c>
      <c r="S202" s="225">
        <f>IF(D128&lt;1200,D202,0)</f>
        <v>43</v>
      </c>
      <c r="T202" s="330"/>
      <c r="V202" s="291">
        <f t="shared" si="117"/>
        <v>52</v>
      </c>
      <c r="W202" s="329"/>
      <c r="Y202" s="291">
        <f t="shared" si="118"/>
        <v>32</v>
      </c>
      <c r="Z202"/>
      <c r="AC202" s="225">
        <f t="shared" si="119"/>
        <v>1</v>
      </c>
      <c r="AD202" s="225">
        <v>2018</v>
      </c>
      <c r="AE202" s="225">
        <v>29</v>
      </c>
      <c r="AG202" s="1">
        <v>1989</v>
      </c>
      <c r="AH202" s="1">
        <v>93</v>
      </c>
      <c r="AJ202" s="1">
        <v>2004</v>
      </c>
      <c r="AK202" s="1">
        <v>35</v>
      </c>
    </row>
    <row r="203" spans="1:39">
      <c r="A203" s="1">
        <f t="shared" si="116"/>
        <v>1979</v>
      </c>
      <c r="B203" s="331">
        <v>32</v>
      </c>
      <c r="C203" s="166">
        <v>36</v>
      </c>
      <c r="D203" s="166">
        <v>50</v>
      </c>
      <c r="E203" s="222">
        <v>77</v>
      </c>
      <c r="F203" s="222">
        <v>85</v>
      </c>
      <c r="G203" s="222">
        <v>90</v>
      </c>
      <c r="H203" s="222">
        <v>91</v>
      </c>
      <c r="I203" s="222">
        <v>87</v>
      </c>
      <c r="J203" s="222">
        <v>89</v>
      </c>
      <c r="K203" s="222">
        <v>86</v>
      </c>
      <c r="L203" s="332">
        <v>41</v>
      </c>
      <c r="M203" s="166">
        <v>42</v>
      </c>
      <c r="N203" s="68">
        <f t="shared" si="120"/>
        <v>32</v>
      </c>
      <c r="O203" s="254">
        <f t="shared" si="121"/>
        <v>44</v>
      </c>
      <c r="P203" s="291">
        <f>+L203</f>
        <v>41</v>
      </c>
      <c r="Q203" s="329"/>
      <c r="S203" s="225">
        <f>IF(D129&lt;1200,D203,0)</f>
        <v>50</v>
      </c>
      <c r="T203" s="330"/>
      <c r="V203" s="291">
        <f t="shared" si="117"/>
        <v>42</v>
      </c>
      <c r="W203" s="330" t="s">
        <v>86</v>
      </c>
      <c r="Y203" s="291">
        <f t="shared" si="118"/>
        <v>36</v>
      </c>
      <c r="Z203"/>
      <c r="AC203" s="225">
        <f t="shared" si="119"/>
        <v>0</v>
      </c>
      <c r="AD203" s="225">
        <v>1978</v>
      </c>
      <c r="AE203" s="225">
        <v>30</v>
      </c>
      <c r="AG203" s="280">
        <v>2022</v>
      </c>
      <c r="AH203" s="434">
        <v>93</v>
      </c>
      <c r="AJ203" s="1">
        <v>2010</v>
      </c>
      <c r="AK203" s="1">
        <v>36</v>
      </c>
    </row>
    <row r="204" spans="1:39">
      <c r="A204" s="1">
        <f t="shared" si="116"/>
        <v>1980</v>
      </c>
      <c r="B204" s="331">
        <v>37</v>
      </c>
      <c r="C204" s="166">
        <v>42</v>
      </c>
      <c r="D204" s="332">
        <v>39</v>
      </c>
      <c r="E204" s="222">
        <v>74</v>
      </c>
      <c r="F204" s="222">
        <v>89</v>
      </c>
      <c r="G204" s="222">
        <v>87</v>
      </c>
      <c r="H204" s="222">
        <v>87</v>
      </c>
      <c r="I204" s="222">
        <v>90</v>
      </c>
      <c r="J204" s="222">
        <v>89</v>
      </c>
      <c r="K204" s="222">
        <v>76</v>
      </c>
      <c r="L204" s="222">
        <v>74</v>
      </c>
      <c r="M204" s="166">
        <v>46</v>
      </c>
      <c r="N204" s="68">
        <f t="shared" si="120"/>
        <v>37</v>
      </c>
      <c r="O204" s="254">
        <f t="shared" si="121"/>
        <v>43</v>
      </c>
      <c r="Q204" s="304">
        <f>IF(L130&lt;1200,0,L204)</f>
        <v>74</v>
      </c>
      <c r="T204" s="329"/>
      <c r="V204" s="291">
        <f t="shared" si="117"/>
        <v>46</v>
      </c>
      <c r="W204" s="330" t="s">
        <v>86</v>
      </c>
      <c r="Y204" s="291">
        <f t="shared" si="118"/>
        <v>42</v>
      </c>
      <c r="Z204"/>
      <c r="AC204" s="225">
        <f t="shared" si="119"/>
        <v>0</v>
      </c>
      <c r="AD204" s="225">
        <v>2008</v>
      </c>
      <c r="AE204" s="225">
        <v>30</v>
      </c>
      <c r="AG204" s="1">
        <v>1986</v>
      </c>
      <c r="AH204" s="1">
        <v>92</v>
      </c>
      <c r="AJ204" s="280">
        <v>2022</v>
      </c>
      <c r="AK204" s="280">
        <v>36</v>
      </c>
    </row>
    <row r="205" spans="1:39">
      <c r="A205" s="1">
        <f t="shared" si="116"/>
        <v>1981</v>
      </c>
      <c r="B205" s="331">
        <v>23</v>
      </c>
      <c r="C205" s="332">
        <v>39</v>
      </c>
      <c r="D205" s="332">
        <v>54</v>
      </c>
      <c r="E205" s="222">
        <v>74</v>
      </c>
      <c r="F205" s="222">
        <v>83</v>
      </c>
      <c r="G205" s="222">
        <v>88</v>
      </c>
      <c r="H205" s="222">
        <v>91</v>
      </c>
      <c r="I205" s="222">
        <v>88</v>
      </c>
      <c r="J205" s="222">
        <v>85</v>
      </c>
      <c r="K205" s="222">
        <v>86</v>
      </c>
      <c r="L205" s="166">
        <v>41</v>
      </c>
      <c r="M205" s="166">
        <v>34</v>
      </c>
      <c r="N205" s="68">
        <f t="shared" si="120"/>
        <v>23</v>
      </c>
      <c r="O205" s="254">
        <f t="shared" si="121"/>
        <v>42</v>
      </c>
      <c r="P205" s="291">
        <f>+L205</f>
        <v>41</v>
      </c>
      <c r="Q205" s="330"/>
      <c r="T205" s="329"/>
      <c r="V205" s="291">
        <f t="shared" si="117"/>
        <v>34</v>
      </c>
      <c r="W205" s="330" t="s">
        <v>86</v>
      </c>
      <c r="Y205" s="291">
        <f t="shared" si="118"/>
        <v>39</v>
      </c>
      <c r="Z205"/>
      <c r="AC205" s="225">
        <f t="shared" si="119"/>
        <v>1</v>
      </c>
      <c r="AD205" s="225">
        <v>1977</v>
      </c>
      <c r="AE205" s="225">
        <v>31</v>
      </c>
      <c r="AG205" s="1">
        <v>1987</v>
      </c>
      <c r="AH205" s="1">
        <v>92</v>
      </c>
      <c r="AJ205" s="1">
        <v>1984</v>
      </c>
      <c r="AK205" s="1">
        <v>37</v>
      </c>
      <c r="AM205" s="166"/>
    </row>
    <row r="206" spans="1:39">
      <c r="A206" s="1">
        <f t="shared" si="116"/>
        <v>1982</v>
      </c>
      <c r="B206" s="331">
        <v>24</v>
      </c>
      <c r="C206" s="222">
        <v>73</v>
      </c>
      <c r="D206" s="166">
        <v>42</v>
      </c>
      <c r="E206" s="222">
        <v>75</v>
      </c>
      <c r="F206" s="222">
        <v>88</v>
      </c>
      <c r="G206" s="222">
        <v>89</v>
      </c>
      <c r="H206" s="222">
        <v>84</v>
      </c>
      <c r="I206" s="222">
        <v>90</v>
      </c>
      <c r="J206" s="222">
        <v>91</v>
      </c>
      <c r="K206" s="222">
        <v>87</v>
      </c>
      <c r="L206" s="222">
        <v>77</v>
      </c>
      <c r="M206" s="166">
        <v>43</v>
      </c>
      <c r="N206" s="68">
        <f t="shared" si="120"/>
        <v>24</v>
      </c>
      <c r="O206" s="254">
        <f t="shared" si="121"/>
        <v>41</v>
      </c>
      <c r="Q206" s="304">
        <f>IF(L132&lt;1200,0,L206)</f>
        <v>77</v>
      </c>
      <c r="S206" s="225">
        <f>IF(D132&lt;1200,D206,0)</f>
        <v>42</v>
      </c>
      <c r="T206" s="330"/>
      <c r="V206" s="291">
        <f t="shared" si="117"/>
        <v>43</v>
      </c>
      <c r="W206" s="330" t="s">
        <v>86</v>
      </c>
      <c r="Z206" s="304">
        <f>IF(C132&gt;=1200,C206,0)</f>
        <v>73</v>
      </c>
      <c r="AC206" s="225">
        <f t="shared" si="119"/>
        <v>1</v>
      </c>
      <c r="AD206" s="225">
        <v>1976</v>
      </c>
      <c r="AE206" s="225">
        <v>32</v>
      </c>
      <c r="AG206" s="1">
        <v>1988</v>
      </c>
      <c r="AH206" s="1">
        <v>92</v>
      </c>
      <c r="AJ206" s="1">
        <v>1988</v>
      </c>
      <c r="AK206" s="1">
        <v>37</v>
      </c>
      <c r="AM206" s="166"/>
    </row>
    <row r="207" spans="1:39">
      <c r="A207" s="1">
        <f t="shared" si="116"/>
        <v>1983</v>
      </c>
      <c r="B207" s="331">
        <v>37</v>
      </c>
      <c r="C207" s="166">
        <v>40</v>
      </c>
      <c r="D207" s="332">
        <v>48</v>
      </c>
      <c r="E207" s="222">
        <v>81</v>
      </c>
      <c r="F207" s="222">
        <v>85</v>
      </c>
      <c r="G207" s="222">
        <v>88</v>
      </c>
      <c r="H207" s="222">
        <v>90</v>
      </c>
      <c r="I207" s="222">
        <v>90</v>
      </c>
      <c r="J207" s="222">
        <v>89</v>
      </c>
      <c r="K207" s="222">
        <v>84</v>
      </c>
      <c r="L207" s="166">
        <v>46</v>
      </c>
      <c r="M207" s="166">
        <v>27</v>
      </c>
      <c r="N207" s="68">
        <f t="shared" si="120"/>
        <v>27</v>
      </c>
      <c r="O207" s="254">
        <f t="shared" si="121"/>
        <v>40</v>
      </c>
      <c r="P207" s="291">
        <f>+L207</f>
        <v>46</v>
      </c>
      <c r="Q207" s="330"/>
      <c r="T207" s="329"/>
      <c r="V207" s="291">
        <f t="shared" si="117"/>
        <v>27</v>
      </c>
      <c r="W207" s="330" t="s">
        <v>86</v>
      </c>
      <c r="Y207" s="291">
        <f t="shared" ref="Y207:Y240" si="122">+C207</f>
        <v>40</v>
      </c>
      <c r="Z207"/>
      <c r="AC207" s="225">
        <f t="shared" si="119"/>
        <v>0</v>
      </c>
      <c r="AD207" s="225">
        <v>1979</v>
      </c>
      <c r="AE207" s="225">
        <v>32</v>
      </c>
      <c r="AG207" s="1">
        <v>1990</v>
      </c>
      <c r="AH207" s="1">
        <v>92</v>
      </c>
      <c r="AJ207" s="1">
        <v>1995</v>
      </c>
      <c r="AK207" s="1">
        <v>37</v>
      </c>
    </row>
    <row r="208" spans="1:39">
      <c r="A208" s="1">
        <f t="shared" si="116"/>
        <v>1984</v>
      </c>
      <c r="B208" s="331">
        <v>41</v>
      </c>
      <c r="C208" s="166">
        <v>38</v>
      </c>
      <c r="D208" s="166">
        <v>42</v>
      </c>
      <c r="E208" s="222">
        <v>86</v>
      </c>
      <c r="F208" s="222">
        <v>93</v>
      </c>
      <c r="G208" s="222">
        <v>88</v>
      </c>
      <c r="H208" s="222">
        <v>91</v>
      </c>
      <c r="I208" s="222">
        <v>91</v>
      </c>
      <c r="J208" s="222">
        <v>89</v>
      </c>
      <c r="K208" s="222">
        <v>79</v>
      </c>
      <c r="L208" s="166">
        <v>47</v>
      </c>
      <c r="M208" s="166">
        <v>37</v>
      </c>
      <c r="N208" s="68">
        <f t="shared" si="120"/>
        <v>37</v>
      </c>
      <c r="O208" s="254">
        <f t="shared" si="121"/>
        <v>39</v>
      </c>
      <c r="P208" s="291">
        <f>+L208</f>
        <v>47</v>
      </c>
      <c r="Q208" s="330"/>
      <c r="S208" s="225">
        <f>IF(D134&lt;1200,D208,0)</f>
        <v>42</v>
      </c>
      <c r="T208" s="330"/>
      <c r="V208" s="291">
        <f t="shared" si="117"/>
        <v>37</v>
      </c>
      <c r="W208" s="330" t="s">
        <v>86</v>
      </c>
      <c r="Y208" s="291">
        <f t="shared" si="122"/>
        <v>38</v>
      </c>
      <c r="Z208"/>
      <c r="AC208" s="225">
        <f t="shared" si="119"/>
        <v>0</v>
      </c>
      <c r="AD208" s="225">
        <v>1999</v>
      </c>
      <c r="AE208" s="225">
        <v>32</v>
      </c>
      <c r="AG208" s="1">
        <v>2000</v>
      </c>
      <c r="AH208" s="1">
        <v>92</v>
      </c>
      <c r="AJ208" s="1">
        <v>1974</v>
      </c>
      <c r="AK208" s="1">
        <v>39</v>
      </c>
    </row>
    <row r="209" spans="1:41">
      <c r="A209" s="1">
        <f t="shared" si="116"/>
        <v>1985</v>
      </c>
      <c r="B209" s="331">
        <v>26</v>
      </c>
      <c r="C209" s="166">
        <v>42</v>
      </c>
      <c r="D209" s="166">
        <v>49</v>
      </c>
      <c r="E209" s="222">
        <v>82</v>
      </c>
      <c r="F209" s="222">
        <v>90</v>
      </c>
      <c r="G209" s="222">
        <v>96</v>
      </c>
      <c r="H209" s="222">
        <v>92</v>
      </c>
      <c r="I209" s="222">
        <v>91</v>
      </c>
      <c r="J209" s="222">
        <v>90</v>
      </c>
      <c r="K209" s="222">
        <v>90</v>
      </c>
      <c r="L209" s="222">
        <v>79</v>
      </c>
      <c r="M209" s="166">
        <v>40</v>
      </c>
      <c r="N209" s="68">
        <f t="shared" si="120"/>
        <v>26</v>
      </c>
      <c r="O209" s="254">
        <f t="shared" si="121"/>
        <v>38</v>
      </c>
      <c r="Q209" s="304">
        <f t="shared" ref="Q209:Q214" si="123">IF(L135&lt;1200,0,L209)</f>
        <v>79</v>
      </c>
      <c r="S209" s="225">
        <f>IF(D135&lt;1200,D209,0)</f>
        <v>49</v>
      </c>
      <c r="T209" s="330"/>
      <c r="V209" s="291">
        <f t="shared" si="117"/>
        <v>40</v>
      </c>
      <c r="W209" s="330" t="s">
        <v>86</v>
      </c>
      <c r="Y209" s="291">
        <f t="shared" si="122"/>
        <v>42</v>
      </c>
      <c r="Z209"/>
      <c r="AC209" s="225">
        <f t="shared" si="119"/>
        <v>1</v>
      </c>
      <c r="AD209" s="225">
        <v>2010</v>
      </c>
      <c r="AE209" s="225">
        <v>32</v>
      </c>
      <c r="AG209" s="1">
        <v>2001</v>
      </c>
      <c r="AH209" s="1">
        <v>92</v>
      </c>
      <c r="AJ209" s="1">
        <v>2005</v>
      </c>
      <c r="AK209" s="1">
        <v>39</v>
      </c>
    </row>
    <row r="210" spans="1:41">
      <c r="A210" s="1">
        <f t="shared" si="116"/>
        <v>1986</v>
      </c>
      <c r="B210" s="331">
        <v>27</v>
      </c>
      <c r="C210" s="166">
        <v>40</v>
      </c>
      <c r="D210" s="166">
        <v>51</v>
      </c>
      <c r="E210" s="222">
        <v>89</v>
      </c>
      <c r="F210" s="222">
        <v>93</v>
      </c>
      <c r="G210" s="222">
        <v>90</v>
      </c>
      <c r="H210" s="222">
        <v>94</v>
      </c>
      <c r="I210" s="222">
        <v>92</v>
      </c>
      <c r="J210" s="222">
        <v>92</v>
      </c>
      <c r="K210" s="222">
        <v>91</v>
      </c>
      <c r="L210" s="222">
        <v>78</v>
      </c>
      <c r="M210" s="222">
        <v>75</v>
      </c>
      <c r="N210" s="68">
        <f t="shared" si="120"/>
        <v>27</v>
      </c>
      <c r="O210" s="254">
        <f t="shared" si="121"/>
        <v>37</v>
      </c>
      <c r="Q210" s="304">
        <f t="shared" si="123"/>
        <v>78</v>
      </c>
      <c r="S210" s="225">
        <f>IF(D136&lt;1200,D210,0)</f>
        <v>51</v>
      </c>
      <c r="T210" s="330"/>
      <c r="V210" s="225" t="s">
        <v>86</v>
      </c>
      <c r="W210" s="304">
        <f>IF(M136&gt;=1200,M210,0)</f>
        <v>75</v>
      </c>
      <c r="Y210" s="291">
        <f t="shared" si="122"/>
        <v>40</v>
      </c>
      <c r="Z210"/>
      <c r="AC210" s="225">
        <f t="shared" si="119"/>
        <v>1</v>
      </c>
      <c r="AD210" s="225">
        <v>2011</v>
      </c>
      <c r="AE210" s="225">
        <v>32</v>
      </c>
      <c r="AG210" s="1">
        <v>2006</v>
      </c>
      <c r="AH210" s="1">
        <v>92</v>
      </c>
      <c r="AJ210" s="1">
        <v>1985</v>
      </c>
      <c r="AK210" s="1">
        <v>40</v>
      </c>
    </row>
    <row r="211" spans="1:41">
      <c r="A211" s="1">
        <f t="shared" si="116"/>
        <v>1987</v>
      </c>
      <c r="B211" s="331">
        <v>43</v>
      </c>
      <c r="C211" s="166">
        <v>39</v>
      </c>
      <c r="D211" s="332">
        <v>51</v>
      </c>
      <c r="E211" s="166">
        <v>51</v>
      </c>
      <c r="F211" s="222">
        <v>88</v>
      </c>
      <c r="G211" s="222">
        <v>94</v>
      </c>
      <c r="H211" s="222">
        <v>92</v>
      </c>
      <c r="I211" s="222">
        <v>92</v>
      </c>
      <c r="J211" s="222">
        <v>91</v>
      </c>
      <c r="K211" s="222">
        <v>87</v>
      </c>
      <c r="L211" s="222">
        <v>77</v>
      </c>
      <c r="M211" s="166">
        <v>41</v>
      </c>
      <c r="N211" s="68">
        <f t="shared" si="120"/>
        <v>39</v>
      </c>
      <c r="O211" s="254">
        <f t="shared" si="121"/>
        <v>36</v>
      </c>
      <c r="Q211" s="304">
        <f t="shared" si="123"/>
        <v>77</v>
      </c>
      <c r="T211" s="329"/>
      <c r="V211" s="225">
        <f>IF(M137&lt;1200,M211,0)</f>
        <v>41</v>
      </c>
      <c r="W211" s="330" t="s">
        <v>86</v>
      </c>
      <c r="Y211" s="291">
        <f t="shared" si="122"/>
        <v>39</v>
      </c>
      <c r="Z211"/>
      <c r="AC211" s="225">
        <f t="shared" si="119"/>
        <v>0</v>
      </c>
      <c r="AD211" s="225">
        <v>1996</v>
      </c>
      <c r="AE211" s="225">
        <v>33</v>
      </c>
      <c r="AG211" s="1">
        <v>2011</v>
      </c>
      <c r="AH211" s="1">
        <v>92</v>
      </c>
      <c r="AJ211" s="1">
        <v>1976</v>
      </c>
      <c r="AK211" s="1">
        <v>41</v>
      </c>
    </row>
    <row r="212" spans="1:41">
      <c r="A212" s="1">
        <f t="shared" si="116"/>
        <v>1988</v>
      </c>
      <c r="B212" s="331">
        <v>36</v>
      </c>
      <c r="C212" s="166">
        <v>44</v>
      </c>
      <c r="D212" s="166">
        <v>45</v>
      </c>
      <c r="E212" s="222">
        <v>81</v>
      </c>
      <c r="F212" s="222">
        <v>90</v>
      </c>
      <c r="G212" s="222">
        <v>88</v>
      </c>
      <c r="H212" s="222">
        <v>94</v>
      </c>
      <c r="I212" s="222">
        <v>92</v>
      </c>
      <c r="J212" s="222">
        <v>91</v>
      </c>
      <c r="K212" s="222">
        <v>83</v>
      </c>
      <c r="L212" s="222">
        <v>76</v>
      </c>
      <c r="M212" s="166">
        <v>37</v>
      </c>
      <c r="N212" s="68">
        <f t="shared" si="120"/>
        <v>36</v>
      </c>
      <c r="O212" s="254">
        <f t="shared" si="121"/>
        <v>35</v>
      </c>
      <c r="Q212" s="304">
        <f t="shared" si="123"/>
        <v>76</v>
      </c>
      <c r="S212" s="225">
        <f>IF(D138&lt;1200,D212,0)</f>
        <v>45</v>
      </c>
      <c r="T212" s="330"/>
      <c r="V212" s="225">
        <f>IF(M138&lt;1200,M212,0)</f>
        <v>37</v>
      </c>
      <c r="W212" s="330" t="s">
        <v>86</v>
      </c>
      <c r="Y212" s="291">
        <f t="shared" si="122"/>
        <v>44</v>
      </c>
      <c r="Z212"/>
      <c r="AC212" s="225">
        <f t="shared" si="119"/>
        <v>0</v>
      </c>
      <c r="AD212" s="225">
        <v>2005</v>
      </c>
      <c r="AE212" s="225">
        <v>33</v>
      </c>
      <c r="AG212" s="1">
        <v>2012</v>
      </c>
      <c r="AH212" s="1">
        <v>92</v>
      </c>
      <c r="AJ212" s="1">
        <v>1977</v>
      </c>
      <c r="AK212" s="1">
        <v>41</v>
      </c>
    </row>
    <row r="213" spans="1:41">
      <c r="A213" s="1">
        <f t="shared" si="116"/>
        <v>1989</v>
      </c>
      <c r="B213" s="331">
        <v>44</v>
      </c>
      <c r="C213" s="166">
        <v>37</v>
      </c>
      <c r="D213" s="166">
        <v>44</v>
      </c>
      <c r="E213" s="222">
        <v>80</v>
      </c>
      <c r="F213" s="222">
        <v>95</v>
      </c>
      <c r="G213" s="222">
        <v>93</v>
      </c>
      <c r="H213" s="222">
        <v>93</v>
      </c>
      <c r="I213" s="222">
        <v>93</v>
      </c>
      <c r="J213" s="222">
        <v>89</v>
      </c>
      <c r="K213" s="222">
        <v>86</v>
      </c>
      <c r="L213" s="222">
        <v>74</v>
      </c>
      <c r="M213" s="332">
        <v>32</v>
      </c>
      <c r="N213" s="68">
        <f t="shared" si="120"/>
        <v>32</v>
      </c>
      <c r="O213" s="254">
        <f t="shared" si="121"/>
        <v>34</v>
      </c>
      <c r="Q213" s="304">
        <f t="shared" si="123"/>
        <v>74</v>
      </c>
      <c r="S213" s="225">
        <f>IF(D139&lt;1200,D213,0)</f>
        <v>44</v>
      </c>
      <c r="T213" s="330"/>
      <c r="V213" s="291">
        <f>+M213</f>
        <v>32</v>
      </c>
      <c r="W213" s="329"/>
      <c r="Y213" s="291">
        <f t="shared" si="122"/>
        <v>37</v>
      </c>
      <c r="Z213"/>
      <c r="AC213" s="225">
        <f t="shared" si="119"/>
        <v>0</v>
      </c>
      <c r="AD213" s="225">
        <v>2000</v>
      </c>
      <c r="AE213" s="225">
        <v>34</v>
      </c>
      <c r="AG213" s="1">
        <v>2014</v>
      </c>
      <c r="AH213" s="1">
        <v>92</v>
      </c>
      <c r="AJ213" s="1">
        <v>1987</v>
      </c>
      <c r="AK213" s="1">
        <v>41</v>
      </c>
    </row>
    <row r="214" spans="1:41">
      <c r="A214" s="1">
        <f t="shared" si="116"/>
        <v>1990</v>
      </c>
      <c r="B214" s="331">
        <v>47</v>
      </c>
      <c r="C214" s="166">
        <v>51</v>
      </c>
      <c r="D214" s="222">
        <v>82</v>
      </c>
      <c r="E214" s="222">
        <v>85</v>
      </c>
      <c r="F214" s="222">
        <v>90</v>
      </c>
      <c r="G214" s="222">
        <v>89</v>
      </c>
      <c r="H214" s="222">
        <v>92</v>
      </c>
      <c r="I214" s="222">
        <v>92</v>
      </c>
      <c r="J214" s="222">
        <v>94</v>
      </c>
      <c r="K214" s="222">
        <v>90</v>
      </c>
      <c r="L214" s="222">
        <v>79</v>
      </c>
      <c r="M214" s="166">
        <v>46</v>
      </c>
      <c r="N214" s="68">
        <f t="shared" si="120"/>
        <v>46</v>
      </c>
      <c r="O214" s="254">
        <f t="shared" si="121"/>
        <v>33</v>
      </c>
      <c r="Q214" s="304">
        <f t="shared" si="123"/>
        <v>79</v>
      </c>
      <c r="T214" s="304">
        <f>IF(D140&gt;1200,D214,0)</f>
        <v>82</v>
      </c>
      <c r="V214" s="225">
        <f>IF(M140&lt;1200,M214,0)</f>
        <v>46</v>
      </c>
      <c r="W214" s="330" t="s">
        <v>86</v>
      </c>
      <c r="Y214" s="291">
        <f t="shared" si="122"/>
        <v>51</v>
      </c>
      <c r="Z214"/>
      <c r="AC214" s="225">
        <f t="shared" si="119"/>
        <v>0</v>
      </c>
      <c r="AD214" s="225">
        <v>2001</v>
      </c>
      <c r="AE214" s="225">
        <v>35</v>
      </c>
      <c r="AG214" s="1">
        <v>2015</v>
      </c>
      <c r="AH214" s="1">
        <v>92</v>
      </c>
      <c r="AJ214" s="1">
        <v>1991</v>
      </c>
      <c r="AK214" s="1">
        <v>41</v>
      </c>
    </row>
    <row r="215" spans="1:41">
      <c r="A215" s="1">
        <f t="shared" si="116"/>
        <v>1991</v>
      </c>
      <c r="B215" s="331">
        <v>44</v>
      </c>
      <c r="C215" s="166">
        <v>38</v>
      </c>
      <c r="D215" s="166">
        <v>51</v>
      </c>
      <c r="E215" s="222">
        <v>89</v>
      </c>
      <c r="F215" s="222">
        <v>90</v>
      </c>
      <c r="G215" s="222">
        <v>91</v>
      </c>
      <c r="H215" s="222">
        <v>92</v>
      </c>
      <c r="I215" s="222">
        <v>90</v>
      </c>
      <c r="J215" s="222">
        <v>93</v>
      </c>
      <c r="K215" s="222">
        <v>85</v>
      </c>
      <c r="L215" s="166">
        <v>45</v>
      </c>
      <c r="M215" s="166">
        <v>41</v>
      </c>
      <c r="N215" s="68">
        <f t="shared" si="120"/>
        <v>38</v>
      </c>
      <c r="O215" s="254">
        <f t="shared" si="121"/>
        <v>32</v>
      </c>
      <c r="P215" s="291">
        <f>+L215</f>
        <v>45</v>
      </c>
      <c r="Q215" s="330"/>
      <c r="S215" s="225">
        <f>IF(D141&lt;1200,D215,0)</f>
        <v>51</v>
      </c>
      <c r="T215" s="330"/>
      <c r="V215" s="225">
        <f>IF(M141&lt;1200,M215,0)</f>
        <v>41</v>
      </c>
      <c r="W215" s="330" t="s">
        <v>86</v>
      </c>
      <c r="Y215" s="291">
        <f t="shared" si="122"/>
        <v>38</v>
      </c>
      <c r="Z215"/>
      <c r="AC215" s="225">
        <f t="shared" si="119"/>
        <v>0</v>
      </c>
      <c r="AD215" s="225">
        <v>2009</v>
      </c>
      <c r="AE215" s="225">
        <v>35</v>
      </c>
      <c r="AG215" s="1">
        <v>2017</v>
      </c>
      <c r="AH215" s="1">
        <v>92</v>
      </c>
      <c r="AJ215" s="1">
        <v>1973</v>
      </c>
      <c r="AK215" s="1">
        <v>42</v>
      </c>
      <c r="AM215" s="166"/>
    </row>
    <row r="216" spans="1:41">
      <c r="A216" s="1">
        <f t="shared" si="116"/>
        <v>1992</v>
      </c>
      <c r="B216" s="331">
        <v>38</v>
      </c>
      <c r="C216" s="166">
        <v>47</v>
      </c>
      <c r="D216" s="332">
        <v>53</v>
      </c>
      <c r="E216" s="222">
        <v>83</v>
      </c>
      <c r="F216" s="222">
        <v>86</v>
      </c>
      <c r="G216" s="222">
        <v>90</v>
      </c>
      <c r="H216" s="222">
        <v>94</v>
      </c>
      <c r="I216" s="222">
        <v>91</v>
      </c>
      <c r="J216" s="222">
        <v>87</v>
      </c>
      <c r="K216" s="222">
        <v>83</v>
      </c>
      <c r="L216" s="222">
        <v>78</v>
      </c>
      <c r="M216" s="166">
        <v>46</v>
      </c>
      <c r="N216" s="68">
        <f t="shared" si="120"/>
        <v>38</v>
      </c>
      <c r="O216" s="254">
        <f t="shared" si="121"/>
        <v>31</v>
      </c>
      <c r="Q216" s="304">
        <f>IF(L142&lt;1200,0,L216)</f>
        <v>78</v>
      </c>
      <c r="T216" s="329"/>
      <c r="V216" s="225">
        <f>IF(M142&lt;1200,M216,0)</f>
        <v>46</v>
      </c>
      <c r="W216" s="330" t="s">
        <v>86</v>
      </c>
      <c r="Y216" s="291">
        <f t="shared" si="122"/>
        <v>47</v>
      </c>
      <c r="Z216"/>
      <c r="AC216" s="225">
        <f t="shared" si="119"/>
        <v>0</v>
      </c>
      <c r="AD216" s="225">
        <v>1973</v>
      </c>
      <c r="AE216" s="225">
        <v>36</v>
      </c>
      <c r="AG216" s="1">
        <v>1978</v>
      </c>
      <c r="AH216" s="1">
        <v>91</v>
      </c>
      <c r="AJ216" s="1">
        <v>1979</v>
      </c>
      <c r="AK216" s="1">
        <v>42</v>
      </c>
    </row>
    <row r="217" spans="1:41">
      <c r="A217" s="1">
        <f t="shared" si="116"/>
        <v>1993</v>
      </c>
      <c r="B217" s="331">
        <v>43</v>
      </c>
      <c r="C217" s="166">
        <v>40</v>
      </c>
      <c r="D217" s="166">
        <v>37</v>
      </c>
      <c r="E217" s="222">
        <v>82</v>
      </c>
      <c r="F217" s="222">
        <v>81</v>
      </c>
      <c r="G217" s="222">
        <v>91</v>
      </c>
      <c r="H217" s="222">
        <v>91</v>
      </c>
      <c r="I217" s="222">
        <v>95</v>
      </c>
      <c r="J217" s="222">
        <v>91</v>
      </c>
      <c r="K217" s="222">
        <v>89</v>
      </c>
      <c r="L217" s="222">
        <v>78</v>
      </c>
      <c r="M217" s="166">
        <v>46</v>
      </c>
      <c r="N217" s="68">
        <f t="shared" si="120"/>
        <v>37</v>
      </c>
      <c r="O217" s="254">
        <f t="shared" si="121"/>
        <v>30</v>
      </c>
      <c r="Q217" s="304">
        <f>IF(L143&lt;1200,0,L217)</f>
        <v>78</v>
      </c>
      <c r="S217" s="225">
        <f>IF(D143&lt;1200,D217,0)</f>
        <v>37</v>
      </c>
      <c r="T217" s="330"/>
      <c r="V217" s="225">
        <f>IF(M143&lt;1200,M217,0)</f>
        <v>46</v>
      </c>
      <c r="W217" s="330" t="s">
        <v>86</v>
      </c>
      <c r="Y217" s="291">
        <f t="shared" si="122"/>
        <v>40</v>
      </c>
      <c r="Z217"/>
      <c r="AC217" s="225">
        <f t="shared" si="119"/>
        <v>0</v>
      </c>
      <c r="AD217" s="225">
        <v>1975</v>
      </c>
      <c r="AE217" s="225">
        <v>36</v>
      </c>
      <c r="AG217" s="1">
        <v>1984</v>
      </c>
      <c r="AH217" s="1">
        <v>91</v>
      </c>
      <c r="AJ217" s="1">
        <v>1975</v>
      </c>
      <c r="AK217" s="1">
        <v>43</v>
      </c>
    </row>
    <row r="218" spans="1:41">
      <c r="A218" s="1">
        <f t="shared" si="116"/>
        <v>1994</v>
      </c>
      <c r="B218" s="331">
        <v>43</v>
      </c>
      <c r="C218" s="166">
        <v>37</v>
      </c>
      <c r="D218" s="222">
        <v>83</v>
      </c>
      <c r="E218" s="222">
        <v>86</v>
      </c>
      <c r="F218" s="222">
        <v>90</v>
      </c>
      <c r="G218" s="222">
        <v>94</v>
      </c>
      <c r="H218" s="222">
        <v>93</v>
      </c>
      <c r="I218" s="222">
        <v>91</v>
      </c>
      <c r="J218" s="222">
        <v>88</v>
      </c>
      <c r="K218" s="222">
        <v>83</v>
      </c>
      <c r="L218" s="222">
        <v>78</v>
      </c>
      <c r="M218" s="222">
        <v>71</v>
      </c>
      <c r="N218" s="68">
        <f t="shared" si="120"/>
        <v>37</v>
      </c>
      <c r="O218" s="254">
        <f t="shared" si="121"/>
        <v>29</v>
      </c>
      <c r="Q218" s="304">
        <f>IF(L144&lt;1200,0,L218)</f>
        <v>78</v>
      </c>
      <c r="T218" s="304">
        <f>IF(D144&gt;1200,D218,0)</f>
        <v>83</v>
      </c>
      <c r="W218" s="304">
        <f>IF(M144&gt;=1200,M218,0)</f>
        <v>71</v>
      </c>
      <c r="Y218" s="291">
        <f t="shared" si="122"/>
        <v>37</v>
      </c>
      <c r="Z218"/>
      <c r="AC218" s="225">
        <f t="shared" si="119"/>
        <v>0</v>
      </c>
      <c r="AD218" s="225">
        <v>1988</v>
      </c>
      <c r="AE218" s="225">
        <v>36</v>
      </c>
      <c r="AG218" s="1">
        <v>1985</v>
      </c>
      <c r="AH218" s="1">
        <v>91</v>
      </c>
      <c r="AJ218" s="1">
        <v>1982</v>
      </c>
      <c r="AK218" s="1">
        <v>43</v>
      </c>
    </row>
    <row r="219" spans="1:41">
      <c r="A219" s="1">
        <f t="shared" si="116"/>
        <v>1995</v>
      </c>
      <c r="B219" s="331">
        <v>39</v>
      </c>
      <c r="C219" s="166">
        <v>29</v>
      </c>
      <c r="D219" s="166">
        <v>49</v>
      </c>
      <c r="E219" s="222">
        <v>86</v>
      </c>
      <c r="F219" s="222">
        <v>91</v>
      </c>
      <c r="G219" s="222">
        <v>90</v>
      </c>
      <c r="H219" s="222">
        <v>92</v>
      </c>
      <c r="I219" s="222">
        <v>97</v>
      </c>
      <c r="J219" s="222">
        <v>90</v>
      </c>
      <c r="K219" s="222">
        <v>87</v>
      </c>
      <c r="L219" s="222">
        <v>83</v>
      </c>
      <c r="M219" s="166">
        <v>37</v>
      </c>
      <c r="N219" s="68">
        <f t="shared" si="120"/>
        <v>29</v>
      </c>
      <c r="O219" s="254">
        <f t="shared" si="121"/>
        <v>28</v>
      </c>
      <c r="Q219" s="304">
        <f>IF(L145&lt;1200,0,L219)</f>
        <v>83</v>
      </c>
      <c r="S219" s="225">
        <f>IF(D145&lt;1200,D219,0)</f>
        <v>49</v>
      </c>
      <c r="T219" s="330"/>
      <c r="V219" s="225">
        <f>IF(M145&lt;1200,M219,0)</f>
        <v>37</v>
      </c>
      <c r="W219" s="330" t="s">
        <v>86</v>
      </c>
      <c r="Y219" s="291">
        <f t="shared" si="122"/>
        <v>29</v>
      </c>
      <c r="Z219"/>
      <c r="AC219" s="225">
        <f t="shared" si="119"/>
        <v>0</v>
      </c>
      <c r="AD219" s="225">
        <v>2012</v>
      </c>
      <c r="AE219" s="225">
        <v>36</v>
      </c>
      <c r="AG219" s="1">
        <v>1992</v>
      </c>
      <c r="AH219" s="1">
        <v>91</v>
      </c>
      <c r="AJ219" s="1">
        <v>1998</v>
      </c>
      <c r="AK219" s="1">
        <v>44</v>
      </c>
    </row>
    <row r="220" spans="1:41">
      <c r="A220" s="1">
        <f t="shared" si="116"/>
        <v>1996</v>
      </c>
      <c r="B220" s="331">
        <v>33</v>
      </c>
      <c r="C220" s="166">
        <v>26</v>
      </c>
      <c r="D220" s="166">
        <v>38</v>
      </c>
      <c r="E220" s="222">
        <v>87</v>
      </c>
      <c r="F220" s="222">
        <v>90</v>
      </c>
      <c r="G220" s="222">
        <v>91</v>
      </c>
      <c r="H220" s="222">
        <v>93</v>
      </c>
      <c r="I220" s="222">
        <v>91</v>
      </c>
      <c r="J220" s="222">
        <v>91</v>
      </c>
      <c r="K220" s="222">
        <v>89</v>
      </c>
      <c r="L220" s="222">
        <v>83</v>
      </c>
      <c r="M220" s="166">
        <v>34</v>
      </c>
      <c r="N220" s="68">
        <f t="shared" si="120"/>
        <v>26</v>
      </c>
      <c r="O220" s="254">
        <f t="shared" si="121"/>
        <v>27</v>
      </c>
      <c r="Q220" s="304">
        <f>IF(L146&lt;1200,0,L220)</f>
        <v>83</v>
      </c>
      <c r="S220" s="225">
        <f>IF(D146&lt;1200,D220,0)</f>
        <v>38</v>
      </c>
      <c r="T220" s="330"/>
      <c r="V220" s="225">
        <f>IF(M146&lt;1200,M220,0)</f>
        <v>34</v>
      </c>
      <c r="W220" s="330" t="s">
        <v>86</v>
      </c>
      <c r="Y220" s="291">
        <f t="shared" si="122"/>
        <v>26</v>
      </c>
      <c r="Z220"/>
      <c r="AC220" s="225">
        <f t="shared" si="119"/>
        <v>0</v>
      </c>
      <c r="AD220" s="225">
        <v>1980</v>
      </c>
      <c r="AE220" s="225">
        <v>37</v>
      </c>
      <c r="AG220" s="1">
        <v>1994</v>
      </c>
      <c r="AH220" s="1">
        <v>91</v>
      </c>
      <c r="AJ220" s="1">
        <v>2008</v>
      </c>
      <c r="AK220" s="1">
        <v>44</v>
      </c>
    </row>
    <row r="221" spans="1:41" ht="15.75">
      <c r="A221" s="1">
        <f t="shared" si="116"/>
        <v>1997</v>
      </c>
      <c r="B221" s="331">
        <v>44</v>
      </c>
      <c r="C221" s="166">
        <v>44</v>
      </c>
      <c r="D221" s="222">
        <v>77</v>
      </c>
      <c r="E221" s="222">
        <v>80</v>
      </c>
      <c r="F221" s="222">
        <v>88</v>
      </c>
      <c r="G221" s="222">
        <v>90</v>
      </c>
      <c r="H221" s="222">
        <v>87</v>
      </c>
      <c r="I221" s="222">
        <v>91</v>
      </c>
      <c r="J221" s="222">
        <v>91</v>
      </c>
      <c r="K221" s="222">
        <v>87</v>
      </c>
      <c r="L221" s="38">
        <v>81</v>
      </c>
      <c r="M221" s="332">
        <v>54</v>
      </c>
      <c r="N221" s="68">
        <f t="shared" si="120"/>
        <v>44</v>
      </c>
      <c r="O221" s="254">
        <f t="shared" si="121"/>
        <v>26</v>
      </c>
      <c r="Q221" s="329">
        <f>+L221</f>
        <v>81</v>
      </c>
      <c r="T221" s="304">
        <f>IF(D147&gt;1200,D221,0)</f>
        <v>77</v>
      </c>
      <c r="V221" s="291">
        <f>+M221</f>
        <v>54</v>
      </c>
      <c r="W221" s="329"/>
      <c r="Y221" s="291">
        <f t="shared" si="122"/>
        <v>44</v>
      </c>
      <c r="Z221"/>
      <c r="AC221" s="225">
        <f t="shared" si="119"/>
        <v>0</v>
      </c>
      <c r="AD221" s="225">
        <v>1983</v>
      </c>
      <c r="AE221" s="225">
        <v>37</v>
      </c>
      <c r="AG221" s="1">
        <v>1996</v>
      </c>
      <c r="AH221" s="1">
        <v>91</v>
      </c>
      <c r="AJ221" s="1">
        <v>2020</v>
      </c>
      <c r="AK221" s="1">
        <v>44</v>
      </c>
    </row>
    <row r="222" spans="1:41">
      <c r="A222" s="1">
        <f t="shared" si="116"/>
        <v>1998</v>
      </c>
      <c r="B222" s="331">
        <v>50</v>
      </c>
      <c r="C222" s="166">
        <v>47</v>
      </c>
      <c r="D222" s="166">
        <v>44</v>
      </c>
      <c r="E222" s="222">
        <v>81</v>
      </c>
      <c r="F222" s="222">
        <v>87</v>
      </c>
      <c r="G222" s="222">
        <v>92</v>
      </c>
      <c r="H222" s="222">
        <v>93</v>
      </c>
      <c r="I222" s="222">
        <v>91</v>
      </c>
      <c r="J222" s="222">
        <v>89</v>
      </c>
      <c r="K222" s="222">
        <v>89</v>
      </c>
      <c r="L222" s="222">
        <v>74</v>
      </c>
      <c r="M222" s="166">
        <v>44</v>
      </c>
      <c r="N222" s="68">
        <f t="shared" si="120"/>
        <v>44</v>
      </c>
      <c r="O222" s="254">
        <f t="shared" si="121"/>
        <v>25</v>
      </c>
      <c r="Q222" s="304">
        <f>IF(L148&lt;1200,0,L222)</f>
        <v>74</v>
      </c>
      <c r="S222" s="225">
        <f>IF(D148&lt;1200,D222,0)</f>
        <v>44</v>
      </c>
      <c r="T222" s="330"/>
      <c r="V222" s="225">
        <f>IF(M148&lt;1200,M222,0)</f>
        <v>44</v>
      </c>
      <c r="W222" s="330" t="s">
        <v>86</v>
      </c>
      <c r="Y222" s="291">
        <f t="shared" si="122"/>
        <v>47</v>
      </c>
      <c r="Z222"/>
      <c r="AC222" s="225">
        <f t="shared" si="119"/>
        <v>0</v>
      </c>
      <c r="AD222" s="225">
        <v>2020</v>
      </c>
      <c r="AE222" s="225">
        <v>37</v>
      </c>
      <c r="AG222" s="1">
        <v>1997</v>
      </c>
      <c r="AH222" s="1">
        <v>91</v>
      </c>
      <c r="AJ222" s="1">
        <v>2002</v>
      </c>
      <c r="AK222" s="1">
        <v>45</v>
      </c>
    </row>
    <row r="223" spans="1:41" ht="15.75">
      <c r="A223" s="1">
        <f t="shared" si="116"/>
        <v>1999</v>
      </c>
      <c r="B223" s="331">
        <v>32</v>
      </c>
      <c r="C223" s="166">
        <v>44</v>
      </c>
      <c r="D223" s="166">
        <v>49</v>
      </c>
      <c r="E223" s="222">
        <v>88</v>
      </c>
      <c r="F223" s="222">
        <v>86</v>
      </c>
      <c r="G223" s="222">
        <v>86</v>
      </c>
      <c r="H223" s="222">
        <v>87</v>
      </c>
      <c r="I223" s="222">
        <v>90</v>
      </c>
      <c r="J223" s="222">
        <v>84</v>
      </c>
      <c r="K223" s="222">
        <v>83</v>
      </c>
      <c r="L223" s="222">
        <v>73</v>
      </c>
      <c r="M223" s="38">
        <v>67</v>
      </c>
      <c r="N223" s="68">
        <f t="shared" si="120"/>
        <v>32</v>
      </c>
      <c r="O223" s="254">
        <f t="shared" si="121"/>
        <v>24</v>
      </c>
      <c r="Q223" s="304">
        <f>IF(L149&lt;1200,0,L223)</f>
        <v>73</v>
      </c>
      <c r="S223" s="225">
        <f>IF(D149&lt;1200,D223,0)</f>
        <v>49</v>
      </c>
      <c r="T223" s="330"/>
      <c r="V223" s="225">
        <f>IF(M149&lt;1200,M223,0)</f>
        <v>67</v>
      </c>
      <c r="W223" s="301" t="s">
        <v>86</v>
      </c>
      <c r="Y223" s="291">
        <f t="shared" si="122"/>
        <v>44</v>
      </c>
      <c r="Z223"/>
      <c r="AC223" s="225">
        <f t="shared" si="119"/>
        <v>0</v>
      </c>
      <c r="AD223" s="225">
        <v>1992</v>
      </c>
      <c r="AE223" s="225">
        <v>38</v>
      </c>
      <c r="AG223" s="1">
        <v>1998</v>
      </c>
      <c r="AH223" s="1">
        <v>91</v>
      </c>
      <c r="AI223" s="1" t="s">
        <v>86</v>
      </c>
      <c r="AJ223" s="1">
        <v>1980</v>
      </c>
      <c r="AK223" s="1">
        <v>46</v>
      </c>
    </row>
    <row r="224" spans="1:41">
      <c r="A224" s="165">
        <f t="shared" si="116"/>
        <v>2000</v>
      </c>
      <c r="B224" s="331">
        <v>34</v>
      </c>
      <c r="C224" s="166">
        <v>56</v>
      </c>
      <c r="D224" s="222">
        <v>82</v>
      </c>
      <c r="E224" s="222">
        <v>79</v>
      </c>
      <c r="F224" s="222">
        <v>88</v>
      </c>
      <c r="G224" s="222">
        <v>89</v>
      </c>
      <c r="H224" s="222">
        <v>89</v>
      </c>
      <c r="I224" s="222">
        <v>92</v>
      </c>
      <c r="J224" s="222">
        <v>90</v>
      </c>
      <c r="K224" s="222">
        <v>83</v>
      </c>
      <c r="L224" s="166">
        <v>40</v>
      </c>
      <c r="M224" s="166">
        <v>35</v>
      </c>
      <c r="N224" s="68">
        <f t="shared" si="120"/>
        <v>34</v>
      </c>
      <c r="O224" s="254">
        <f t="shared" si="121"/>
        <v>23</v>
      </c>
      <c r="P224" s="291">
        <f>+L224</f>
        <v>40</v>
      </c>
      <c r="Q224" s="330"/>
      <c r="T224" s="304">
        <f>IF(D150&gt;1200,D224,0)</f>
        <v>82</v>
      </c>
      <c r="V224" s="225">
        <f>IF(M150&lt;1200,M224,0)</f>
        <v>35</v>
      </c>
      <c r="W224" s="330" t="s">
        <v>86</v>
      </c>
      <c r="Y224" s="291">
        <f t="shared" si="122"/>
        <v>56</v>
      </c>
      <c r="Z224"/>
      <c r="AC224" s="225">
        <f t="shared" si="119"/>
        <v>0</v>
      </c>
      <c r="AD224" s="225">
        <v>1995</v>
      </c>
      <c r="AE224" s="225">
        <v>39</v>
      </c>
      <c r="AG224" s="1">
        <v>2005</v>
      </c>
      <c r="AH224" s="1">
        <v>91</v>
      </c>
      <c r="AI224" s="1" t="s">
        <v>86</v>
      </c>
      <c r="AJ224" s="1">
        <v>1990</v>
      </c>
      <c r="AK224" s="1">
        <v>46</v>
      </c>
      <c r="AO224" s="1" t="s">
        <v>322</v>
      </c>
    </row>
    <row r="225" spans="1:42">
      <c r="A225" s="165">
        <f t="shared" si="116"/>
        <v>2001</v>
      </c>
      <c r="B225" s="331">
        <v>35</v>
      </c>
      <c r="C225" s="166">
        <v>45</v>
      </c>
      <c r="D225" s="222">
        <v>74</v>
      </c>
      <c r="E225" s="222">
        <v>86</v>
      </c>
      <c r="F225" s="222">
        <v>88</v>
      </c>
      <c r="G225" s="222">
        <v>89</v>
      </c>
      <c r="H225" s="222">
        <v>90</v>
      </c>
      <c r="I225" s="222">
        <v>92</v>
      </c>
      <c r="J225" s="222">
        <v>88</v>
      </c>
      <c r="K225" s="222">
        <v>84</v>
      </c>
      <c r="L225" s="222">
        <v>82</v>
      </c>
      <c r="M225" s="222">
        <v>81</v>
      </c>
      <c r="N225" s="68">
        <f t="shared" si="120"/>
        <v>35</v>
      </c>
      <c r="O225" s="254">
        <f t="shared" si="121"/>
        <v>22</v>
      </c>
      <c r="Q225" s="304">
        <f t="shared" ref="Q225:Q237" si="124">IF(L151&lt;1200,0,L225)</f>
        <v>82</v>
      </c>
      <c r="T225" s="304">
        <f>IF(D151&gt;1200,D225,0)</f>
        <v>74</v>
      </c>
      <c r="W225" s="304">
        <f>IF(M151&gt;=1200,M225,0)</f>
        <v>81</v>
      </c>
      <c r="Y225" s="291">
        <f t="shared" si="122"/>
        <v>45</v>
      </c>
      <c r="Z225"/>
      <c r="AC225" s="225">
        <f t="shared" si="119"/>
        <v>0</v>
      </c>
      <c r="AD225" s="225">
        <v>2002</v>
      </c>
      <c r="AE225" s="225">
        <v>39</v>
      </c>
      <c r="AG225" s="1">
        <v>2018</v>
      </c>
      <c r="AH225" s="1">
        <v>91</v>
      </c>
      <c r="AI225" s="1" t="s">
        <v>86</v>
      </c>
      <c r="AJ225" s="1">
        <v>1992</v>
      </c>
      <c r="AK225" s="1">
        <v>46</v>
      </c>
      <c r="AO225" s="1" t="s">
        <v>321</v>
      </c>
    </row>
    <row r="226" spans="1:42">
      <c r="A226" s="165">
        <f t="shared" si="116"/>
        <v>2002</v>
      </c>
      <c r="B226" s="331">
        <v>39</v>
      </c>
      <c r="C226" s="166">
        <v>36</v>
      </c>
      <c r="D226" s="166">
        <v>38</v>
      </c>
      <c r="E226" s="222">
        <v>83</v>
      </c>
      <c r="F226" s="222">
        <v>86</v>
      </c>
      <c r="G226" s="222">
        <v>89</v>
      </c>
      <c r="H226" s="222">
        <v>91</v>
      </c>
      <c r="I226" s="222">
        <v>87</v>
      </c>
      <c r="J226" s="222">
        <v>86</v>
      </c>
      <c r="K226" s="222">
        <v>89</v>
      </c>
      <c r="L226" s="222">
        <v>82</v>
      </c>
      <c r="M226" s="166">
        <v>45</v>
      </c>
      <c r="N226" s="68">
        <f t="shared" si="120"/>
        <v>36</v>
      </c>
      <c r="O226" s="254">
        <f t="shared" si="121"/>
        <v>21</v>
      </c>
      <c r="Q226" s="304">
        <f t="shared" si="124"/>
        <v>82</v>
      </c>
      <c r="S226" s="225">
        <f>IF(D152&lt;1200,D226,0)</f>
        <v>38</v>
      </c>
      <c r="V226" s="225">
        <f>IF(M152&lt;1200,M226,0)</f>
        <v>45</v>
      </c>
      <c r="W226" s="330" t="s">
        <v>86</v>
      </c>
      <c r="Y226" s="291">
        <f t="shared" si="122"/>
        <v>36</v>
      </c>
      <c r="Z226"/>
      <c r="AC226" s="225">
        <f t="shared" si="119"/>
        <v>0</v>
      </c>
      <c r="AD226" s="225">
        <v>2014</v>
      </c>
      <c r="AE226" s="225">
        <v>40</v>
      </c>
      <c r="AG226" s="1">
        <v>2019</v>
      </c>
      <c r="AH226" s="1">
        <v>91</v>
      </c>
      <c r="AI226" s="1" t="s">
        <v>86</v>
      </c>
      <c r="AJ226" s="1">
        <v>1993</v>
      </c>
      <c r="AK226" s="1">
        <v>46</v>
      </c>
      <c r="AO226" s="1">
        <v>2003</v>
      </c>
      <c r="AP226" s="1">
        <v>28</v>
      </c>
    </row>
    <row r="227" spans="1:42">
      <c r="A227" s="220">
        <f t="shared" si="116"/>
        <v>2003</v>
      </c>
      <c r="B227" s="40">
        <v>28</v>
      </c>
      <c r="C227" s="40">
        <v>48</v>
      </c>
      <c r="D227" s="222">
        <v>82</v>
      </c>
      <c r="E227" s="222">
        <v>80</v>
      </c>
      <c r="F227" s="222">
        <v>87</v>
      </c>
      <c r="G227" s="222">
        <v>84</v>
      </c>
      <c r="H227" s="222">
        <v>86</v>
      </c>
      <c r="I227" s="222">
        <v>88</v>
      </c>
      <c r="J227" s="222">
        <v>86</v>
      </c>
      <c r="K227" s="222">
        <v>84</v>
      </c>
      <c r="L227" s="222">
        <v>86</v>
      </c>
      <c r="M227" s="166">
        <v>46</v>
      </c>
      <c r="N227" s="68">
        <f t="shared" si="120"/>
        <v>28</v>
      </c>
      <c r="O227" s="254">
        <f t="shared" si="121"/>
        <v>20</v>
      </c>
      <c r="Q227" s="304">
        <f t="shared" si="124"/>
        <v>86</v>
      </c>
      <c r="T227" s="304">
        <f>IF(D153&gt;1200,D227,0)</f>
        <v>82</v>
      </c>
      <c r="V227" s="225">
        <f>IF(M153&lt;1200,M227,0)</f>
        <v>46</v>
      </c>
      <c r="Y227" s="291">
        <f t="shared" si="122"/>
        <v>48</v>
      </c>
      <c r="Z227"/>
      <c r="AC227" s="225">
        <f t="shared" si="119"/>
        <v>1</v>
      </c>
      <c r="AD227" s="225">
        <v>1984</v>
      </c>
      <c r="AE227" s="225">
        <v>41</v>
      </c>
      <c r="AG227" s="1">
        <v>1976</v>
      </c>
      <c r="AH227" s="1">
        <v>90</v>
      </c>
      <c r="AJ227" s="1">
        <v>2003</v>
      </c>
      <c r="AK227" s="1">
        <v>46</v>
      </c>
      <c r="AO227" s="1">
        <v>2018</v>
      </c>
      <c r="AP227" s="1">
        <v>29</v>
      </c>
    </row>
    <row r="228" spans="1:42">
      <c r="A228" s="220">
        <f t="shared" si="116"/>
        <v>2004</v>
      </c>
      <c r="B228" s="40">
        <v>41</v>
      </c>
      <c r="C228" s="40">
        <v>47</v>
      </c>
      <c r="D228" s="222">
        <v>78</v>
      </c>
      <c r="E228" s="222">
        <v>84</v>
      </c>
      <c r="F228" s="222">
        <v>89</v>
      </c>
      <c r="G228" s="222">
        <v>92</v>
      </c>
      <c r="H228" s="222">
        <v>91</v>
      </c>
      <c r="I228" s="222">
        <v>90</v>
      </c>
      <c r="J228" s="222">
        <v>89</v>
      </c>
      <c r="K228" s="222">
        <v>75</v>
      </c>
      <c r="L228" s="222">
        <v>84</v>
      </c>
      <c r="M228" s="166">
        <v>35</v>
      </c>
      <c r="N228" s="68">
        <f t="shared" si="120"/>
        <v>35</v>
      </c>
      <c r="O228" s="254">
        <f t="shared" si="121"/>
        <v>19</v>
      </c>
      <c r="Q228" s="304">
        <f t="shared" si="124"/>
        <v>84</v>
      </c>
      <c r="T228" s="304">
        <f>IF(D154&gt;1200,D228,0)</f>
        <v>78</v>
      </c>
      <c r="V228" s="225">
        <f>IF(M154&lt;1200,M228,0)</f>
        <v>35</v>
      </c>
      <c r="Y228" s="291">
        <f t="shared" si="122"/>
        <v>47</v>
      </c>
      <c r="Z228"/>
      <c r="AC228" s="225">
        <f t="shared" si="119"/>
        <v>0</v>
      </c>
      <c r="AD228" s="225">
        <v>2004</v>
      </c>
      <c r="AE228" s="225">
        <v>41</v>
      </c>
      <c r="AG228" s="1">
        <v>1980</v>
      </c>
      <c r="AH228" s="1">
        <v>90</v>
      </c>
      <c r="AJ228" s="1">
        <v>2017</v>
      </c>
      <c r="AK228" s="1">
        <v>46</v>
      </c>
      <c r="AO228" s="1">
        <v>2008</v>
      </c>
      <c r="AP228" s="1">
        <v>30</v>
      </c>
    </row>
    <row r="229" spans="1:42">
      <c r="A229" s="220">
        <f t="shared" ref="A229:A247" si="125">A39</f>
        <v>2005</v>
      </c>
      <c r="B229" s="40">
        <v>33</v>
      </c>
      <c r="C229" s="40">
        <v>43</v>
      </c>
      <c r="D229" s="40">
        <v>47</v>
      </c>
      <c r="E229" s="222">
        <v>80</v>
      </c>
      <c r="F229" s="222">
        <v>87</v>
      </c>
      <c r="G229" s="222">
        <v>88</v>
      </c>
      <c r="H229" s="222">
        <v>91</v>
      </c>
      <c r="I229" s="222">
        <v>91</v>
      </c>
      <c r="J229" s="222">
        <v>92</v>
      </c>
      <c r="K229" s="222">
        <v>83</v>
      </c>
      <c r="L229" s="222">
        <v>79</v>
      </c>
      <c r="M229" s="166">
        <v>39</v>
      </c>
      <c r="N229" s="68">
        <f t="shared" si="120"/>
        <v>33</v>
      </c>
      <c r="O229" s="254">
        <f t="shared" si="121"/>
        <v>18</v>
      </c>
      <c r="Q229" s="304">
        <f t="shared" si="124"/>
        <v>79</v>
      </c>
      <c r="T229" s="329"/>
      <c r="V229" s="225">
        <f>IF(M155&lt;1200,M229,0)</f>
        <v>39</v>
      </c>
      <c r="Y229" s="291">
        <f t="shared" si="122"/>
        <v>43</v>
      </c>
      <c r="Z229"/>
      <c r="AC229" s="225">
        <f t="shared" ref="AC229:AC246" si="126">IF(B229&lt;32,1,0)</f>
        <v>0</v>
      </c>
      <c r="AD229" s="225">
        <v>2016</v>
      </c>
      <c r="AE229" s="225">
        <v>42</v>
      </c>
      <c r="AG229" s="1">
        <v>1982</v>
      </c>
      <c r="AH229" s="1">
        <v>90</v>
      </c>
      <c r="AJ229" s="1">
        <v>2007</v>
      </c>
      <c r="AK229" s="1">
        <v>47</v>
      </c>
      <c r="AO229" s="1">
        <v>2010</v>
      </c>
      <c r="AP229" s="1">
        <v>32</v>
      </c>
    </row>
    <row r="230" spans="1:42">
      <c r="A230" s="220">
        <f t="shared" si="125"/>
        <v>2006</v>
      </c>
      <c r="B230" s="40">
        <v>44</v>
      </c>
      <c r="C230" s="40">
        <v>40</v>
      </c>
      <c r="D230" s="222">
        <v>80</v>
      </c>
      <c r="E230" s="222">
        <v>84</v>
      </c>
      <c r="F230" s="222">
        <v>87</v>
      </c>
      <c r="G230" s="222">
        <v>91</v>
      </c>
      <c r="H230" s="222">
        <v>90</v>
      </c>
      <c r="I230" s="222">
        <v>92</v>
      </c>
      <c r="J230" s="222">
        <v>89</v>
      </c>
      <c r="K230" s="222">
        <v>86</v>
      </c>
      <c r="L230" s="222">
        <v>84</v>
      </c>
      <c r="M230" s="222">
        <v>77</v>
      </c>
      <c r="N230" s="68">
        <f t="shared" si="120"/>
        <v>40</v>
      </c>
      <c r="O230" s="254">
        <f t="shared" si="121"/>
        <v>17</v>
      </c>
      <c r="Q230" s="304">
        <f t="shared" si="124"/>
        <v>84</v>
      </c>
      <c r="T230" s="304">
        <f>IF(D156&gt;1200,D230,0)</f>
        <v>80</v>
      </c>
      <c r="W230" s="304">
        <f>IF(M156&gt;=1200,M230,0)</f>
        <v>77</v>
      </c>
      <c r="Y230" s="291">
        <f t="shared" si="122"/>
        <v>40</v>
      </c>
      <c r="Z230"/>
      <c r="AC230" s="225">
        <f t="shared" si="126"/>
        <v>0</v>
      </c>
      <c r="AD230" s="225">
        <v>1987</v>
      </c>
      <c r="AE230" s="225">
        <v>43</v>
      </c>
      <c r="AG230" s="1">
        <v>1983</v>
      </c>
      <c r="AH230" s="1">
        <v>90</v>
      </c>
      <c r="AJ230" s="1">
        <v>1978</v>
      </c>
      <c r="AK230" s="1">
        <v>52</v>
      </c>
      <c r="AO230" s="1">
        <v>2011</v>
      </c>
      <c r="AP230" s="1">
        <v>32</v>
      </c>
    </row>
    <row r="231" spans="1:42">
      <c r="A231" s="220">
        <f t="shared" si="125"/>
        <v>2007</v>
      </c>
      <c r="B231" s="40">
        <v>43</v>
      </c>
      <c r="C231" s="40">
        <v>41</v>
      </c>
      <c r="D231" s="222">
        <v>77</v>
      </c>
      <c r="E231" s="222">
        <v>81</v>
      </c>
      <c r="F231" s="222">
        <v>87</v>
      </c>
      <c r="G231" s="222">
        <v>89</v>
      </c>
      <c r="H231" s="222">
        <v>90</v>
      </c>
      <c r="I231" s="222">
        <v>94</v>
      </c>
      <c r="J231" s="222">
        <v>90</v>
      </c>
      <c r="K231" s="222">
        <v>89</v>
      </c>
      <c r="L231" s="222">
        <v>80</v>
      </c>
      <c r="M231" s="222">
        <v>47</v>
      </c>
      <c r="N231" s="68">
        <f t="shared" si="120"/>
        <v>41</v>
      </c>
      <c r="O231" s="254">
        <f t="shared" si="121"/>
        <v>16</v>
      </c>
      <c r="Q231" s="304">
        <f t="shared" si="124"/>
        <v>80</v>
      </c>
      <c r="T231" s="304">
        <f>IF(D157&gt;1200,D231,0)</f>
        <v>77</v>
      </c>
      <c r="V231" s="291">
        <f>+M231</f>
        <v>47</v>
      </c>
      <c r="Y231" s="291">
        <f t="shared" si="122"/>
        <v>41</v>
      </c>
      <c r="Z231"/>
      <c r="AC231" s="225">
        <f t="shared" si="126"/>
        <v>0</v>
      </c>
      <c r="AD231" s="225">
        <v>1993</v>
      </c>
      <c r="AE231" s="225">
        <v>43</v>
      </c>
      <c r="AG231" s="1">
        <v>1991</v>
      </c>
      <c r="AH231" s="1">
        <v>90</v>
      </c>
      <c r="AJ231" s="1">
        <v>1997</v>
      </c>
      <c r="AK231" s="1">
        <v>54</v>
      </c>
      <c r="AO231" s="1">
        <v>2005</v>
      </c>
      <c r="AP231" s="1">
        <v>33</v>
      </c>
    </row>
    <row r="232" spans="1:42">
      <c r="A232" s="220">
        <f t="shared" si="125"/>
        <v>2008</v>
      </c>
      <c r="B232" s="40">
        <v>30</v>
      </c>
      <c r="C232" s="40">
        <v>43</v>
      </c>
      <c r="D232" s="222">
        <v>78</v>
      </c>
      <c r="E232" s="222">
        <v>81</v>
      </c>
      <c r="F232" s="222">
        <v>90</v>
      </c>
      <c r="G232" s="222">
        <v>96</v>
      </c>
      <c r="H232" s="222">
        <v>92</v>
      </c>
      <c r="I232" s="222">
        <v>89</v>
      </c>
      <c r="J232" s="222">
        <v>88</v>
      </c>
      <c r="K232" s="222">
        <v>83</v>
      </c>
      <c r="L232" s="222">
        <v>84</v>
      </c>
      <c r="M232" s="40">
        <v>44</v>
      </c>
      <c r="N232" s="68">
        <f t="shared" si="120"/>
        <v>30</v>
      </c>
      <c r="O232" s="254">
        <f t="shared" si="121"/>
        <v>15</v>
      </c>
      <c r="Q232" s="304">
        <f t="shared" si="124"/>
        <v>84</v>
      </c>
      <c r="T232" s="304">
        <f>IF(D158&gt;1200,D232,0)</f>
        <v>78</v>
      </c>
      <c r="V232" s="291">
        <f>+M232</f>
        <v>44</v>
      </c>
      <c r="Y232" s="291">
        <f t="shared" si="122"/>
        <v>43</v>
      </c>
      <c r="Z232"/>
      <c r="AC232" s="225">
        <f t="shared" si="126"/>
        <v>1</v>
      </c>
      <c r="AD232" s="225">
        <v>1994</v>
      </c>
      <c r="AE232" s="225">
        <v>43</v>
      </c>
      <c r="AG232" s="1">
        <v>1999</v>
      </c>
      <c r="AH232" s="1">
        <v>90</v>
      </c>
      <c r="AJ232" s="1">
        <v>2014</v>
      </c>
      <c r="AK232" s="1">
        <v>57</v>
      </c>
      <c r="AO232" s="1">
        <v>2009</v>
      </c>
      <c r="AP232" s="1">
        <v>35</v>
      </c>
    </row>
    <row r="233" spans="1:42">
      <c r="A233" s="220">
        <f t="shared" si="125"/>
        <v>2009</v>
      </c>
      <c r="B233" s="40">
        <v>35</v>
      </c>
      <c r="C233" s="40">
        <v>38</v>
      </c>
      <c r="D233" s="40">
        <v>44</v>
      </c>
      <c r="E233" s="222">
        <v>80</v>
      </c>
      <c r="F233" s="222">
        <v>89</v>
      </c>
      <c r="G233" s="222">
        <v>93</v>
      </c>
      <c r="H233" s="222">
        <v>88</v>
      </c>
      <c r="I233" s="222">
        <v>89</v>
      </c>
      <c r="J233" s="222">
        <v>92</v>
      </c>
      <c r="K233" s="222">
        <v>89</v>
      </c>
      <c r="L233" s="222">
        <v>80</v>
      </c>
      <c r="M233" s="222">
        <v>75</v>
      </c>
      <c r="N233" s="68">
        <f t="shared" si="120"/>
        <v>35</v>
      </c>
      <c r="O233" s="254">
        <f t="shared" si="121"/>
        <v>14</v>
      </c>
      <c r="Q233" s="304">
        <f t="shared" si="124"/>
        <v>80</v>
      </c>
      <c r="S233" s="225">
        <f>IF(D159&lt;1200,D233,0)</f>
        <v>44</v>
      </c>
      <c r="T233" s="330"/>
      <c r="W233" s="304">
        <f>IF(M159&gt;=1200,M233,0)</f>
        <v>75</v>
      </c>
      <c r="Y233" s="291">
        <f t="shared" si="122"/>
        <v>38</v>
      </c>
      <c r="Z233"/>
      <c r="AC233" s="225">
        <f t="shared" si="126"/>
        <v>0</v>
      </c>
      <c r="AD233" s="225">
        <v>2007</v>
      </c>
      <c r="AE233" s="225">
        <v>43</v>
      </c>
      <c r="AG233" s="1">
        <v>2004</v>
      </c>
      <c r="AH233" s="1">
        <v>90</v>
      </c>
      <c r="AJ233" s="1">
        <v>1999</v>
      </c>
      <c r="AK233" s="1">
        <v>67</v>
      </c>
      <c r="AO233" s="1">
        <v>2012</v>
      </c>
      <c r="AP233" s="1">
        <v>36</v>
      </c>
    </row>
    <row r="234" spans="1:42">
      <c r="A234" s="220">
        <f t="shared" si="125"/>
        <v>2010</v>
      </c>
      <c r="B234" s="40">
        <v>32</v>
      </c>
      <c r="C234" s="40">
        <v>43</v>
      </c>
      <c r="D234" s="40">
        <v>45</v>
      </c>
      <c r="E234" s="222">
        <v>81</v>
      </c>
      <c r="F234" s="222">
        <v>85</v>
      </c>
      <c r="G234" s="222">
        <v>91</v>
      </c>
      <c r="H234" s="222">
        <v>92</v>
      </c>
      <c r="I234" s="222">
        <v>90</v>
      </c>
      <c r="J234" s="222">
        <v>85</v>
      </c>
      <c r="K234" s="222">
        <v>87</v>
      </c>
      <c r="L234" s="222">
        <v>80</v>
      </c>
      <c r="M234" s="40">
        <v>36</v>
      </c>
      <c r="N234" s="68">
        <f t="shared" si="120"/>
        <v>32</v>
      </c>
      <c r="O234" s="254">
        <f t="shared" si="121"/>
        <v>13</v>
      </c>
      <c r="Q234" s="304">
        <f t="shared" si="124"/>
        <v>80</v>
      </c>
      <c r="S234" s="225">
        <f>IF(D160&lt;1200,D234,0)</f>
        <v>45</v>
      </c>
      <c r="T234" s="330"/>
      <c r="V234" s="225">
        <f>IF(M160&lt;1200,M234,0)</f>
        <v>36</v>
      </c>
      <c r="Y234" s="291">
        <f t="shared" si="122"/>
        <v>43</v>
      </c>
      <c r="Z234"/>
      <c r="AC234" s="225">
        <f t="shared" si="126"/>
        <v>0</v>
      </c>
      <c r="AD234" s="225">
        <v>2017</v>
      </c>
      <c r="AE234" s="225">
        <v>43</v>
      </c>
      <c r="AG234" s="1">
        <v>2010</v>
      </c>
      <c r="AH234" s="1">
        <v>90</v>
      </c>
      <c r="AJ234" s="1">
        <v>1994</v>
      </c>
      <c r="AK234" s="1">
        <v>71</v>
      </c>
      <c r="AO234" s="1">
        <v>2020</v>
      </c>
      <c r="AP234" s="1">
        <v>37</v>
      </c>
    </row>
    <row r="235" spans="1:42">
      <c r="A235" s="220">
        <f t="shared" si="125"/>
        <v>2011</v>
      </c>
      <c r="B235" s="40">
        <v>32</v>
      </c>
      <c r="C235" s="40">
        <v>46</v>
      </c>
      <c r="D235" s="222">
        <v>73</v>
      </c>
      <c r="E235" s="222">
        <v>86</v>
      </c>
      <c r="F235" s="222">
        <v>89</v>
      </c>
      <c r="G235" s="222">
        <v>94</v>
      </c>
      <c r="H235" s="222">
        <v>92</v>
      </c>
      <c r="I235" s="222">
        <v>92</v>
      </c>
      <c r="J235" s="222">
        <v>89</v>
      </c>
      <c r="K235" s="222">
        <v>82</v>
      </c>
      <c r="L235" s="222">
        <v>80</v>
      </c>
      <c r="M235" s="222">
        <v>71</v>
      </c>
      <c r="N235" s="68">
        <f t="shared" si="120"/>
        <v>32</v>
      </c>
      <c r="O235" s="254">
        <f t="shared" si="121"/>
        <v>12</v>
      </c>
      <c r="Q235" s="304">
        <f t="shared" si="124"/>
        <v>80</v>
      </c>
      <c r="T235" s="304">
        <f>IF(D161&gt;1200,D235,0)</f>
        <v>73</v>
      </c>
      <c r="W235" s="304">
        <f>IF(M161&gt;=1200,M235,0)</f>
        <v>71</v>
      </c>
      <c r="Y235" s="291">
        <f t="shared" si="122"/>
        <v>46</v>
      </c>
      <c r="Z235"/>
      <c r="AC235" s="225">
        <f t="shared" si="126"/>
        <v>0</v>
      </c>
      <c r="AD235" s="225">
        <v>1989</v>
      </c>
      <c r="AE235" s="225">
        <v>44</v>
      </c>
      <c r="AG235" s="1">
        <v>2013</v>
      </c>
      <c r="AH235" s="1">
        <v>90</v>
      </c>
      <c r="AJ235" s="1">
        <v>2011</v>
      </c>
      <c r="AK235" s="1">
        <v>71</v>
      </c>
      <c r="AO235" s="1">
        <v>2002</v>
      </c>
      <c r="AP235" s="1">
        <v>39</v>
      </c>
    </row>
    <row r="236" spans="1:42">
      <c r="A236" s="220">
        <f t="shared" si="125"/>
        <v>2012</v>
      </c>
      <c r="B236" s="40">
        <v>36</v>
      </c>
      <c r="C236" s="40">
        <v>41</v>
      </c>
      <c r="D236" s="222">
        <v>79</v>
      </c>
      <c r="E236" s="222">
        <v>81</v>
      </c>
      <c r="F236" s="222">
        <v>92</v>
      </c>
      <c r="G236" s="222">
        <v>88</v>
      </c>
      <c r="H236" s="222">
        <v>91</v>
      </c>
      <c r="I236" s="222">
        <v>92</v>
      </c>
      <c r="J236" s="222">
        <v>87</v>
      </c>
      <c r="K236" s="222">
        <v>87</v>
      </c>
      <c r="L236" s="222">
        <v>75</v>
      </c>
      <c r="M236" s="222">
        <v>74</v>
      </c>
      <c r="N236" s="68">
        <f t="shared" si="120"/>
        <v>36</v>
      </c>
      <c r="O236" s="254">
        <f t="shared" si="121"/>
        <v>11</v>
      </c>
      <c r="Q236" s="304">
        <f t="shared" si="124"/>
        <v>75</v>
      </c>
      <c r="T236" s="304">
        <f>IF(D162&gt;1200,D236,0)</f>
        <v>79</v>
      </c>
      <c r="W236" s="304">
        <f>IF(M162&gt;=1200,M236,0)</f>
        <v>74</v>
      </c>
      <c r="Y236" s="291">
        <f t="shared" si="122"/>
        <v>41</v>
      </c>
      <c r="Z236"/>
      <c r="AC236" s="225">
        <f t="shared" si="126"/>
        <v>0</v>
      </c>
      <c r="AD236" s="225">
        <v>1991</v>
      </c>
      <c r="AE236" s="225">
        <v>44</v>
      </c>
      <c r="AG236" s="1">
        <v>1974</v>
      </c>
      <c r="AH236" s="1">
        <v>89</v>
      </c>
      <c r="AJ236" s="1">
        <v>2013</v>
      </c>
      <c r="AK236" s="1">
        <v>71</v>
      </c>
      <c r="AO236" s="1">
        <v>2014</v>
      </c>
      <c r="AP236" s="1">
        <v>40</v>
      </c>
    </row>
    <row r="237" spans="1:42">
      <c r="A237" s="220">
        <f t="shared" si="125"/>
        <v>2013</v>
      </c>
      <c r="B237" s="222">
        <v>81</v>
      </c>
      <c r="C237" s="40">
        <v>40</v>
      </c>
      <c r="D237" s="40">
        <v>45</v>
      </c>
      <c r="E237" s="222">
        <v>89</v>
      </c>
      <c r="F237" s="222">
        <v>90</v>
      </c>
      <c r="G237" s="222">
        <v>91</v>
      </c>
      <c r="H237" s="222">
        <v>88</v>
      </c>
      <c r="I237" s="222">
        <v>90</v>
      </c>
      <c r="J237" s="222">
        <v>91</v>
      </c>
      <c r="K237" s="222">
        <v>89</v>
      </c>
      <c r="L237" s="222">
        <v>79</v>
      </c>
      <c r="M237" s="222">
        <v>71</v>
      </c>
      <c r="N237" s="68">
        <f t="shared" si="120"/>
        <v>40</v>
      </c>
      <c r="O237" s="254">
        <f t="shared" si="121"/>
        <v>10</v>
      </c>
      <c r="Q237" s="304">
        <f t="shared" si="124"/>
        <v>79</v>
      </c>
      <c r="S237" s="225">
        <f>IF(D163&lt;1200,D237,0)</f>
        <v>45</v>
      </c>
      <c r="T237" s="330"/>
      <c r="W237" s="304">
        <f>IF(M163&gt;=1200,M237,0)</f>
        <v>71</v>
      </c>
      <c r="Y237" s="291">
        <f t="shared" si="122"/>
        <v>40</v>
      </c>
      <c r="Z237"/>
      <c r="AC237" s="225">
        <f t="shared" si="126"/>
        <v>0</v>
      </c>
      <c r="AD237" s="225">
        <v>1997</v>
      </c>
      <c r="AE237" s="225">
        <v>44</v>
      </c>
      <c r="AG237" s="1">
        <v>1977</v>
      </c>
      <c r="AH237" s="1">
        <v>89</v>
      </c>
      <c r="AJ237" s="1">
        <v>2012</v>
      </c>
      <c r="AK237" s="1">
        <v>74</v>
      </c>
      <c r="AO237" s="1">
        <v>2004</v>
      </c>
      <c r="AP237" s="1">
        <v>41</v>
      </c>
    </row>
    <row r="238" spans="1:42">
      <c r="A238" s="220">
        <f t="shared" si="125"/>
        <v>2014</v>
      </c>
      <c r="B238" s="40">
        <v>40</v>
      </c>
      <c r="C238" s="40">
        <v>49</v>
      </c>
      <c r="D238" s="222">
        <v>82</v>
      </c>
      <c r="E238" s="222">
        <v>87</v>
      </c>
      <c r="F238" s="222">
        <v>87</v>
      </c>
      <c r="G238" s="222">
        <v>89</v>
      </c>
      <c r="H238" s="222">
        <v>92</v>
      </c>
      <c r="I238" s="222">
        <v>92</v>
      </c>
      <c r="J238" s="222">
        <v>87</v>
      </c>
      <c r="K238" s="222">
        <v>86</v>
      </c>
      <c r="L238" s="40">
        <v>42</v>
      </c>
      <c r="M238" s="40">
        <v>57</v>
      </c>
      <c r="N238" s="68">
        <f t="shared" si="120"/>
        <v>40</v>
      </c>
      <c r="O238" s="254">
        <f t="shared" si="121"/>
        <v>9</v>
      </c>
      <c r="P238" s="225">
        <f>+L238</f>
        <v>42</v>
      </c>
      <c r="Q238"/>
      <c r="T238" s="304">
        <f t="shared" ref="T238:T246" si="127">IF(D164&gt;1200,D238,0)</f>
        <v>82</v>
      </c>
      <c r="V238" s="225">
        <f>IF(M164&lt;1200,M238,0)</f>
        <v>57</v>
      </c>
      <c r="W238"/>
      <c r="Y238" s="291">
        <f t="shared" si="122"/>
        <v>49</v>
      </c>
      <c r="Z238"/>
      <c r="AC238" s="225">
        <f t="shared" si="126"/>
        <v>0</v>
      </c>
      <c r="AD238" s="225">
        <v>2006</v>
      </c>
      <c r="AE238" s="225">
        <v>44</v>
      </c>
      <c r="AG238" s="1">
        <v>2008</v>
      </c>
      <c r="AH238" s="1">
        <v>89</v>
      </c>
      <c r="AJ238" s="1">
        <v>2019</v>
      </c>
      <c r="AK238" s="1">
        <v>74</v>
      </c>
      <c r="AO238" s="1">
        <v>2016</v>
      </c>
      <c r="AP238" s="1">
        <v>42</v>
      </c>
    </row>
    <row r="239" spans="1:42">
      <c r="A239" s="220">
        <f t="shared" si="125"/>
        <v>2015</v>
      </c>
      <c r="B239" s="40">
        <v>46</v>
      </c>
      <c r="C239" s="40">
        <v>36</v>
      </c>
      <c r="D239" s="222">
        <v>77</v>
      </c>
      <c r="E239" s="222">
        <v>83</v>
      </c>
      <c r="F239" s="222">
        <v>90</v>
      </c>
      <c r="G239" s="222">
        <v>90</v>
      </c>
      <c r="H239" s="222">
        <v>92</v>
      </c>
      <c r="I239" s="222">
        <v>92</v>
      </c>
      <c r="J239" s="222">
        <v>90</v>
      </c>
      <c r="K239" s="222">
        <v>86</v>
      </c>
      <c r="L239" s="222">
        <v>85</v>
      </c>
      <c r="M239" s="222">
        <v>82</v>
      </c>
      <c r="N239" s="68">
        <f t="shared" si="120"/>
        <v>36</v>
      </c>
      <c r="O239" s="254">
        <f t="shared" ref="O239:O245" si="128">+O240+1</f>
        <v>8</v>
      </c>
      <c r="Q239" s="304">
        <f t="shared" ref="Q239:Q245" si="129">IF(L165&lt;1200,0,L239)</f>
        <v>85</v>
      </c>
      <c r="T239" s="304">
        <f t="shared" si="127"/>
        <v>77</v>
      </c>
      <c r="W239" s="304">
        <f>IF(M165&gt;=1200,M239,0)</f>
        <v>82</v>
      </c>
      <c r="Y239" s="291">
        <f t="shared" si="122"/>
        <v>36</v>
      </c>
      <c r="Z239"/>
      <c r="AC239" s="225">
        <f t="shared" si="126"/>
        <v>0</v>
      </c>
      <c r="AD239" s="225">
        <v>2015</v>
      </c>
      <c r="AE239" s="225">
        <v>46</v>
      </c>
      <c r="AG239" s="1">
        <v>2009</v>
      </c>
      <c r="AH239" s="1">
        <v>89</v>
      </c>
      <c r="AJ239" s="1">
        <v>1986</v>
      </c>
      <c r="AK239" s="1">
        <v>75</v>
      </c>
      <c r="AO239" s="1">
        <v>2007</v>
      </c>
      <c r="AP239" s="1">
        <v>43</v>
      </c>
    </row>
    <row r="240" spans="1:42">
      <c r="A240" s="220">
        <f t="shared" si="125"/>
        <v>2016</v>
      </c>
      <c r="B240" s="40">
        <v>42</v>
      </c>
      <c r="C240" s="40">
        <v>47</v>
      </c>
      <c r="D240" s="222">
        <v>79</v>
      </c>
      <c r="E240" s="222">
        <v>86</v>
      </c>
      <c r="F240" s="222">
        <v>85</v>
      </c>
      <c r="G240" s="222">
        <v>89</v>
      </c>
      <c r="H240" s="222">
        <v>91</v>
      </c>
      <c r="I240" s="222">
        <v>86</v>
      </c>
      <c r="J240" s="222">
        <v>88</v>
      </c>
      <c r="K240" s="222">
        <v>88</v>
      </c>
      <c r="L240" s="222">
        <v>84</v>
      </c>
      <c r="M240" s="222">
        <v>83</v>
      </c>
      <c r="N240" s="68">
        <f t="shared" si="120"/>
        <v>42</v>
      </c>
      <c r="O240" s="254">
        <f t="shared" si="128"/>
        <v>7</v>
      </c>
      <c r="Q240" s="304">
        <f t="shared" si="129"/>
        <v>84</v>
      </c>
      <c r="T240" s="304">
        <f t="shared" si="127"/>
        <v>79</v>
      </c>
      <c r="W240" s="304">
        <f>IF(M166&gt;=1200,M240,0)</f>
        <v>83</v>
      </c>
      <c r="Y240" s="291">
        <f t="shared" si="122"/>
        <v>47</v>
      </c>
      <c r="Z240"/>
      <c r="AC240" s="225">
        <f t="shared" si="126"/>
        <v>0</v>
      </c>
      <c r="AD240" s="225">
        <v>2019</v>
      </c>
      <c r="AE240" s="225">
        <v>46</v>
      </c>
      <c r="AG240" s="1">
        <v>1973</v>
      </c>
      <c r="AH240" s="1">
        <v>88</v>
      </c>
      <c r="AJ240" s="1">
        <v>2009</v>
      </c>
      <c r="AK240" s="1">
        <v>75</v>
      </c>
      <c r="AO240" s="1">
        <v>2017</v>
      </c>
      <c r="AP240" s="1">
        <v>43</v>
      </c>
    </row>
    <row r="241" spans="1:43">
      <c r="A241" s="220">
        <f t="shared" si="125"/>
        <v>2017</v>
      </c>
      <c r="B241" s="40">
        <v>43</v>
      </c>
      <c r="C241" s="222">
        <v>86</v>
      </c>
      <c r="D241" s="222">
        <v>82</v>
      </c>
      <c r="E241" s="222">
        <v>90</v>
      </c>
      <c r="F241" s="222">
        <v>91</v>
      </c>
      <c r="G241" s="222">
        <v>90</v>
      </c>
      <c r="H241" s="222">
        <v>91</v>
      </c>
      <c r="I241" s="222">
        <v>92</v>
      </c>
      <c r="J241" s="222">
        <v>88</v>
      </c>
      <c r="K241" s="222">
        <v>88</v>
      </c>
      <c r="L241" s="222">
        <v>85</v>
      </c>
      <c r="M241" s="40">
        <v>46</v>
      </c>
      <c r="N241" s="68">
        <f t="shared" si="120"/>
        <v>43</v>
      </c>
      <c r="O241" s="254">
        <f t="shared" si="128"/>
        <v>6</v>
      </c>
      <c r="Q241" s="304">
        <f t="shared" si="129"/>
        <v>85</v>
      </c>
      <c r="T241" s="304">
        <f t="shared" si="127"/>
        <v>82</v>
      </c>
      <c r="V241" s="225">
        <f>+M241</f>
        <v>46</v>
      </c>
      <c r="W241"/>
      <c r="Z241" s="304">
        <f>IF(C167&gt;=1200,C241,0)</f>
        <v>86</v>
      </c>
      <c r="AC241" s="225">
        <f t="shared" si="126"/>
        <v>0</v>
      </c>
      <c r="AD241" s="225">
        <v>1990</v>
      </c>
      <c r="AE241" s="225">
        <v>47</v>
      </c>
      <c r="AG241" s="1">
        <v>1981</v>
      </c>
      <c r="AH241" s="1">
        <v>88</v>
      </c>
      <c r="AJ241" s="1">
        <v>2018</v>
      </c>
      <c r="AK241" s="1">
        <v>75</v>
      </c>
      <c r="AO241" s="1">
        <v>2006</v>
      </c>
      <c r="AP241" s="1">
        <v>44</v>
      </c>
    </row>
    <row r="242" spans="1:43">
      <c r="A242" s="220">
        <f t="shared" si="125"/>
        <v>2018</v>
      </c>
      <c r="B242" s="40">
        <v>29</v>
      </c>
      <c r="C242" s="222">
        <v>86</v>
      </c>
      <c r="D242" s="222">
        <v>78</v>
      </c>
      <c r="E242" s="222">
        <v>80</v>
      </c>
      <c r="F242" s="222">
        <v>86</v>
      </c>
      <c r="G242" s="222">
        <v>90</v>
      </c>
      <c r="H242" s="222">
        <v>89</v>
      </c>
      <c r="I242" s="222">
        <v>91</v>
      </c>
      <c r="J242" s="222">
        <v>92</v>
      </c>
      <c r="K242" s="222">
        <v>92</v>
      </c>
      <c r="L242" s="222">
        <v>84</v>
      </c>
      <c r="M242" s="222">
        <v>75</v>
      </c>
      <c r="N242" s="68">
        <f t="shared" si="120"/>
        <v>29</v>
      </c>
      <c r="O242" s="254">
        <f t="shared" si="128"/>
        <v>5</v>
      </c>
      <c r="Q242" s="304">
        <f t="shared" si="129"/>
        <v>84</v>
      </c>
      <c r="T242" s="304">
        <f t="shared" si="127"/>
        <v>78</v>
      </c>
      <c r="W242" s="304">
        <f>IF(M168&gt;=1200,M242,0)</f>
        <v>75</v>
      </c>
      <c r="Z242" s="304">
        <f>IF(C168&gt;=1200,C242,0)</f>
        <v>86</v>
      </c>
      <c r="AC242" s="225">
        <f t="shared" si="126"/>
        <v>1</v>
      </c>
      <c r="AD242" s="293">
        <v>2022</v>
      </c>
      <c r="AE242" s="433">
        <v>49</v>
      </c>
      <c r="AG242" s="1">
        <v>2003</v>
      </c>
      <c r="AH242" s="1">
        <v>88</v>
      </c>
      <c r="AJ242" s="1">
        <v>2006</v>
      </c>
      <c r="AK242" s="1">
        <v>77</v>
      </c>
      <c r="AO242" s="1">
        <v>2015</v>
      </c>
      <c r="AP242" s="1">
        <v>46</v>
      </c>
    </row>
    <row r="243" spans="1:43">
      <c r="A243" s="220">
        <f t="shared" si="125"/>
        <v>2019</v>
      </c>
      <c r="B243" s="40">
        <v>46</v>
      </c>
      <c r="C243" s="222">
        <v>84</v>
      </c>
      <c r="D243" s="222">
        <v>78</v>
      </c>
      <c r="E243" s="222">
        <v>88</v>
      </c>
      <c r="F243" s="222">
        <v>90</v>
      </c>
      <c r="G243" s="222">
        <v>94</v>
      </c>
      <c r="H243" s="222">
        <v>89</v>
      </c>
      <c r="I243" s="222">
        <v>91</v>
      </c>
      <c r="J243" s="222">
        <v>91</v>
      </c>
      <c r="K243" s="222">
        <v>88</v>
      </c>
      <c r="L243" s="222">
        <v>86</v>
      </c>
      <c r="M243" s="222">
        <v>74</v>
      </c>
      <c r="N243" s="68">
        <f t="shared" si="120"/>
        <v>46</v>
      </c>
      <c r="O243" s="254">
        <f t="shared" si="128"/>
        <v>4</v>
      </c>
      <c r="Q243" s="304">
        <f t="shared" si="129"/>
        <v>86</v>
      </c>
      <c r="T243" s="304">
        <f t="shared" si="127"/>
        <v>78</v>
      </c>
      <c r="W243" s="304">
        <f>IF(M169&gt;=1200,M243,0)</f>
        <v>74</v>
      </c>
      <c r="Z243" s="304">
        <f>IF(C169&gt;=1200,C243,0)</f>
        <v>84</v>
      </c>
      <c r="AC243" s="225">
        <f t="shared" si="126"/>
        <v>0</v>
      </c>
      <c r="AD243" s="225">
        <v>1998</v>
      </c>
      <c r="AE243" s="225">
        <v>50</v>
      </c>
      <c r="AG243" s="1">
        <v>1979</v>
      </c>
      <c r="AH243" s="1">
        <v>87</v>
      </c>
      <c r="AJ243" s="1">
        <v>2001</v>
      </c>
      <c r="AK243" s="1">
        <v>81</v>
      </c>
      <c r="AO243" s="1">
        <v>2019</v>
      </c>
      <c r="AP243" s="1">
        <v>46</v>
      </c>
    </row>
    <row r="244" spans="1:43">
      <c r="A244" s="220">
        <f t="shared" si="125"/>
        <v>2020</v>
      </c>
      <c r="B244" s="40">
        <v>37</v>
      </c>
      <c r="C244" s="276">
        <v>81</v>
      </c>
      <c r="D244" s="276">
        <v>81</v>
      </c>
      <c r="E244" s="276">
        <v>87</v>
      </c>
      <c r="F244" s="276">
        <v>89</v>
      </c>
      <c r="G244" s="276">
        <v>93</v>
      </c>
      <c r="H244" s="276">
        <v>89</v>
      </c>
      <c r="I244" s="276">
        <v>95</v>
      </c>
      <c r="J244" s="276">
        <v>94</v>
      </c>
      <c r="K244" s="276">
        <v>92</v>
      </c>
      <c r="L244" s="276">
        <v>84</v>
      </c>
      <c r="M244" s="40">
        <v>44</v>
      </c>
      <c r="N244" s="68">
        <f t="shared" si="120"/>
        <v>37</v>
      </c>
      <c r="O244" s="254">
        <f t="shared" si="128"/>
        <v>3</v>
      </c>
      <c r="Q244" s="304">
        <f t="shared" si="129"/>
        <v>84</v>
      </c>
      <c r="T244" s="304">
        <f t="shared" si="127"/>
        <v>81</v>
      </c>
      <c r="V244" s="225">
        <f>M244</f>
        <v>44</v>
      </c>
      <c r="W244"/>
      <c r="Z244" s="304">
        <f>IF(C170&gt;=1200,C244,0)</f>
        <v>81</v>
      </c>
      <c r="AA244" s="1"/>
      <c r="AC244" s="225">
        <f t="shared" si="126"/>
        <v>0</v>
      </c>
      <c r="AD244" s="225">
        <v>2021</v>
      </c>
      <c r="AE244" s="225">
        <v>50</v>
      </c>
      <c r="AG244" s="1">
        <v>2002</v>
      </c>
      <c r="AH244" s="1">
        <v>87</v>
      </c>
      <c r="AJ244" s="1">
        <v>2021</v>
      </c>
      <c r="AK244" s="1">
        <v>81</v>
      </c>
      <c r="AO244" s="1">
        <v>2021</v>
      </c>
      <c r="AP244" s="1">
        <v>50</v>
      </c>
    </row>
    <row r="245" spans="1:43">
      <c r="A245" s="220">
        <f t="shared" si="125"/>
        <v>2021</v>
      </c>
      <c r="B245" s="40">
        <v>50</v>
      </c>
      <c r="C245" s="40">
        <v>45</v>
      </c>
      <c r="D245" s="276">
        <v>81</v>
      </c>
      <c r="E245" s="276">
        <v>85</v>
      </c>
      <c r="F245" s="276">
        <v>88</v>
      </c>
      <c r="G245" s="276">
        <v>89</v>
      </c>
      <c r="H245" s="276">
        <v>91</v>
      </c>
      <c r="I245" s="276">
        <v>84</v>
      </c>
      <c r="J245" s="276">
        <v>94</v>
      </c>
      <c r="K245" s="276">
        <v>90</v>
      </c>
      <c r="L245" s="276">
        <v>82</v>
      </c>
      <c r="M245" s="276">
        <v>81</v>
      </c>
      <c r="N245" s="68">
        <f t="shared" si="120"/>
        <v>45</v>
      </c>
      <c r="O245" s="254">
        <f t="shared" si="128"/>
        <v>2</v>
      </c>
      <c r="Q245" s="304">
        <f t="shared" si="129"/>
        <v>82</v>
      </c>
      <c r="T245" s="304">
        <f t="shared" si="127"/>
        <v>81</v>
      </c>
      <c r="W245" s="304">
        <f>IF(M171&gt;=1200,M245,0)</f>
        <v>81</v>
      </c>
      <c r="Y245" s="291">
        <f>+C245</f>
        <v>45</v>
      </c>
      <c r="Z245"/>
      <c r="AA245" s="1"/>
      <c r="AC245" s="225">
        <f t="shared" si="126"/>
        <v>0</v>
      </c>
      <c r="AD245" s="225">
        <v>1974</v>
      </c>
      <c r="AE245" s="225">
        <v>73</v>
      </c>
      <c r="AG245" s="1">
        <v>2016</v>
      </c>
      <c r="AH245" s="1">
        <v>86</v>
      </c>
      <c r="AJ245" s="1">
        <v>2015</v>
      </c>
      <c r="AK245" s="1">
        <v>82</v>
      </c>
      <c r="AO245" s="1">
        <v>2013</v>
      </c>
      <c r="AP245" s="1">
        <v>81</v>
      </c>
    </row>
    <row r="246" spans="1:43">
      <c r="A246" s="220">
        <f t="shared" si="125"/>
        <v>2022</v>
      </c>
      <c r="B246" s="375">
        <v>49</v>
      </c>
      <c r="C246" s="40">
        <v>80</v>
      </c>
      <c r="D246" s="40">
        <v>82</v>
      </c>
      <c r="E246" s="40">
        <v>86</v>
      </c>
      <c r="F246" s="40">
        <v>90</v>
      </c>
      <c r="G246" s="40">
        <v>93</v>
      </c>
      <c r="H246" s="40">
        <v>93</v>
      </c>
      <c r="I246" s="40">
        <v>93</v>
      </c>
      <c r="J246" s="40">
        <v>90</v>
      </c>
      <c r="K246" s="40">
        <v>88</v>
      </c>
      <c r="L246" s="40">
        <v>86</v>
      </c>
      <c r="M246" s="40">
        <v>36</v>
      </c>
      <c r="N246" s="40">
        <f t="shared" si="120"/>
        <v>36</v>
      </c>
      <c r="O246" s="438">
        <v>1</v>
      </c>
      <c r="P246" s="40"/>
      <c r="Q246" s="304">
        <f>IF(L172&lt;1200,0,L246)</f>
        <v>86</v>
      </c>
      <c r="R246" s="40"/>
      <c r="T246" s="304">
        <f t="shared" si="127"/>
        <v>82</v>
      </c>
      <c r="V246" s="225">
        <f t="shared" ref="V246" si="130">M246</f>
        <v>36</v>
      </c>
      <c r="W246"/>
      <c r="Z246" s="304">
        <f t="shared" ref="Z246" si="131">IF(C172&gt;=1200,C246,0)</f>
        <v>80</v>
      </c>
      <c r="AA246" s="1"/>
      <c r="AC246" s="225">
        <f t="shared" si="126"/>
        <v>0</v>
      </c>
      <c r="AD246" s="225">
        <v>2013</v>
      </c>
      <c r="AE246" s="225">
        <v>81</v>
      </c>
      <c r="AG246" s="1">
        <v>2021</v>
      </c>
      <c r="AH246" s="68">
        <v>84</v>
      </c>
      <c r="AJ246" s="1">
        <v>2016</v>
      </c>
      <c r="AK246" s="1">
        <v>83</v>
      </c>
    </row>
    <row r="247" spans="1:43">
      <c r="A247" s="220">
        <f t="shared" si="125"/>
        <v>2023</v>
      </c>
      <c r="B247" s="375">
        <v>48</v>
      </c>
      <c r="C247" s="40">
        <v>82</v>
      </c>
      <c r="D247" s="40">
        <v>80</v>
      </c>
      <c r="E247" s="40">
        <v>83</v>
      </c>
      <c r="F247" s="40">
        <v>87</v>
      </c>
      <c r="G247" s="40">
        <v>92</v>
      </c>
      <c r="H247" s="40">
        <v>85</v>
      </c>
      <c r="I247" s="40">
        <v>93</v>
      </c>
      <c r="J247" s="40"/>
      <c r="K247" s="40"/>
      <c r="L247" s="40"/>
      <c r="M247" s="40"/>
      <c r="N247" s="40"/>
      <c r="O247" s="40"/>
      <c r="P247" s="40"/>
      <c r="Q247" s="40"/>
      <c r="R247" s="40"/>
      <c r="T247" s="333"/>
      <c r="W247" s="333"/>
      <c r="Z247" s="333"/>
      <c r="AA247" s="1"/>
      <c r="AC247" s="225"/>
      <c r="AD247" s="225"/>
      <c r="AE247" s="225"/>
      <c r="AH247" s="68"/>
    </row>
    <row r="248" spans="1:43">
      <c r="A248" s="165"/>
      <c r="B248" s="375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T248" s="333"/>
      <c r="W248" s="333"/>
      <c r="Z248" s="333"/>
      <c r="AA248" s="1"/>
      <c r="AC248" s="225"/>
      <c r="AD248" s="225"/>
      <c r="AE248" s="225"/>
      <c r="AH248" s="68"/>
    </row>
    <row r="249" spans="1:43">
      <c r="A249" s="165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T249" s="333"/>
      <c r="W249" s="333"/>
      <c r="Z249" s="333"/>
      <c r="AA249" s="1"/>
      <c r="AC249" s="225"/>
      <c r="AD249" s="225"/>
      <c r="AE249" s="225"/>
      <c r="AH249" s="68"/>
    </row>
    <row r="250" spans="1:43">
      <c r="A250" s="165"/>
      <c r="B250" s="313" t="s">
        <v>4</v>
      </c>
      <c r="C250" s="313" t="s">
        <v>8</v>
      </c>
      <c r="D250" s="363" t="s">
        <v>9</v>
      </c>
      <c r="E250" s="363" t="s">
        <v>10</v>
      </c>
      <c r="F250" s="363" t="s">
        <v>11</v>
      </c>
      <c r="G250" s="363" t="s">
        <v>12</v>
      </c>
      <c r="H250" s="363" t="s">
        <v>13</v>
      </c>
      <c r="I250" s="363" t="s">
        <v>15</v>
      </c>
      <c r="J250" s="363" t="s">
        <v>16</v>
      </c>
      <c r="K250" s="363" t="s">
        <v>17</v>
      </c>
      <c r="L250" s="363" t="s">
        <v>18</v>
      </c>
      <c r="M250" s="363" t="s">
        <v>19</v>
      </c>
      <c r="P250" s="313" t="s">
        <v>91</v>
      </c>
      <c r="Q250" s="313" t="s">
        <v>93</v>
      </c>
      <c r="S250" s="313" t="s">
        <v>95</v>
      </c>
      <c r="T250" s="313" t="s">
        <v>97</v>
      </c>
      <c r="V250" s="313" t="s">
        <v>98</v>
      </c>
      <c r="W250" s="313" t="s">
        <v>99</v>
      </c>
      <c r="Y250" s="313" t="s">
        <v>315</v>
      </c>
      <c r="Z250" s="313" t="s">
        <v>316</v>
      </c>
      <c r="AC250" s="225"/>
      <c r="AD250" s="225"/>
      <c r="AE250" s="313" t="s">
        <v>4</v>
      </c>
      <c r="AH250" s="239" t="s">
        <v>15</v>
      </c>
      <c r="AK250" s="313" t="s">
        <v>320</v>
      </c>
    </row>
    <row r="251" spans="1:43" ht="15.75">
      <c r="A251" s="1" t="s">
        <v>262</v>
      </c>
      <c r="B251" s="43">
        <f>AVERAGE(B217:B246)</f>
        <v>40.299999999999997</v>
      </c>
      <c r="C251" s="43">
        <f t="shared" ref="C251:M251" si="132">AVERAGE(C217:C246)</f>
        <v>48.93333333333333</v>
      </c>
      <c r="D251" s="43">
        <f t="shared" si="132"/>
        <v>67.3</v>
      </c>
      <c r="E251" s="43">
        <f t="shared" si="132"/>
        <v>83.9</v>
      </c>
      <c r="F251" s="43">
        <f t="shared" si="132"/>
        <v>88.1</v>
      </c>
      <c r="G251" s="43">
        <f t="shared" si="132"/>
        <v>90.5</v>
      </c>
      <c r="H251" s="43">
        <f t="shared" si="132"/>
        <v>90.466666666666669</v>
      </c>
      <c r="I251" s="43">
        <f t="shared" si="132"/>
        <v>91</v>
      </c>
      <c r="J251" s="43">
        <f t="shared" si="132"/>
        <v>89.333333333333329</v>
      </c>
      <c r="K251" s="43">
        <f t="shared" si="132"/>
        <v>86.5</v>
      </c>
      <c r="L251" s="43">
        <f t="shared" si="132"/>
        <v>78.766666666666666</v>
      </c>
      <c r="M251" s="43">
        <f t="shared" si="132"/>
        <v>56.9</v>
      </c>
      <c r="O251" s="225" t="s">
        <v>67</v>
      </c>
      <c r="P251" s="43">
        <f>AVERAGE(P217:P246)</f>
        <v>41</v>
      </c>
      <c r="Q251" s="43">
        <f t="shared" ref="Q251" si="133">AVERAGE(Q217:Q246)</f>
        <v>81.464285714285708</v>
      </c>
      <c r="S251" s="43">
        <f t="shared" ref="S251:T251" si="134">AVERAGE(S217:S246)</f>
        <v>43.222222222222221</v>
      </c>
      <c r="T251" s="43">
        <f t="shared" si="134"/>
        <v>79.150000000000006</v>
      </c>
      <c r="V251" s="43">
        <f t="shared" ref="V251:W251" si="135">AVERAGE(V217:V246)</f>
        <v>44</v>
      </c>
      <c r="W251" s="43">
        <f t="shared" si="135"/>
        <v>76.25</v>
      </c>
      <c r="Y251" s="43">
        <f t="shared" ref="Y251:Z251" si="136">AVERAGE(Y217:Y246)</f>
        <v>42.04</v>
      </c>
      <c r="Z251" s="43">
        <f t="shared" si="136"/>
        <v>83.4</v>
      </c>
      <c r="AC251" s="225">
        <f>SUM(AC197:AC250)</f>
        <v>9</v>
      </c>
      <c r="AD251" s="225"/>
      <c r="AE251" s="225">
        <f>MEDIAN(AE197:AE246)</f>
        <v>37</v>
      </c>
      <c r="AF251" s="1" t="s">
        <v>281</v>
      </c>
      <c r="AH251" s="225">
        <f>MEDIAN(AH197:AH246)</f>
        <v>91</v>
      </c>
      <c r="AI251" s="1" t="s">
        <v>281</v>
      </c>
      <c r="AK251" s="225">
        <f>MEDIAN(AK197:AK246)</f>
        <v>44.5</v>
      </c>
      <c r="AL251" s="1" t="s">
        <v>281</v>
      </c>
      <c r="AP251" s="1">
        <f>MEDIAN(AP197:AP245)</f>
        <v>39.5</v>
      </c>
      <c r="AQ251" s="1" t="s">
        <v>281</v>
      </c>
    </row>
    <row r="252" spans="1:43" ht="15.75">
      <c r="A252" s="412" t="s">
        <v>261</v>
      </c>
      <c r="B252" s="411">
        <f>AVERAGE(B227:B246)</f>
        <v>40.85</v>
      </c>
      <c r="C252" s="411">
        <f t="shared" ref="C252:M252" si="137">AVERAGE(C227:C246)</f>
        <v>53.2</v>
      </c>
      <c r="D252" s="411">
        <f t="shared" si="137"/>
        <v>72.400000000000006</v>
      </c>
      <c r="E252" s="411">
        <f t="shared" si="137"/>
        <v>83.95</v>
      </c>
      <c r="F252" s="411">
        <f t="shared" si="137"/>
        <v>88.4</v>
      </c>
      <c r="G252" s="411">
        <f t="shared" si="137"/>
        <v>90.7</v>
      </c>
      <c r="H252" s="411">
        <f t="shared" si="137"/>
        <v>90.4</v>
      </c>
      <c r="I252" s="411">
        <f t="shared" si="137"/>
        <v>90.65</v>
      </c>
      <c r="J252" s="411">
        <f t="shared" si="137"/>
        <v>89.6</v>
      </c>
      <c r="K252" s="411">
        <f t="shared" si="137"/>
        <v>86.6</v>
      </c>
      <c r="L252" s="411">
        <f t="shared" si="137"/>
        <v>80.45</v>
      </c>
      <c r="M252" s="411">
        <f t="shared" si="137"/>
        <v>59.65</v>
      </c>
      <c r="N252" s="412"/>
      <c r="O252" s="413" t="s">
        <v>69</v>
      </c>
      <c r="P252" s="411">
        <f>AVERAGE(P227:P246)</f>
        <v>42</v>
      </c>
      <c r="Q252" s="411">
        <f t="shared" ref="Q252" si="138">AVERAGE(Q227:Q246)</f>
        <v>82.473684210526315</v>
      </c>
      <c r="R252" s="413"/>
      <c r="S252" s="411">
        <f t="shared" ref="S252:T252" si="139">AVERAGE(S227:S246)</f>
        <v>44.666666666666664</v>
      </c>
      <c r="T252" s="411">
        <f t="shared" si="139"/>
        <v>79.1875</v>
      </c>
      <c r="U252" s="414"/>
      <c r="V252" s="411">
        <f t="shared" ref="V252:W252" si="140">AVERAGE(V227:V246)</f>
        <v>43</v>
      </c>
      <c r="W252" s="411">
        <f t="shared" si="140"/>
        <v>76.3</v>
      </c>
      <c r="X252" s="413"/>
      <c r="Y252" s="411">
        <f t="shared" ref="Y252:Z252" si="141">AVERAGE(Y227:Y246)</f>
        <v>43.133333333333333</v>
      </c>
      <c r="Z252" s="411">
        <f t="shared" si="141"/>
        <v>83.4</v>
      </c>
      <c r="AC252" s="225">
        <f>COUNT(AC197:AC246)</f>
        <v>50</v>
      </c>
      <c r="AD252" s="225"/>
      <c r="AE252" s="291">
        <f>MODE(AE197:AE246)</f>
        <v>32</v>
      </c>
      <c r="AF252" s="1" t="s">
        <v>282</v>
      </c>
      <c r="AH252" s="364">
        <f>MODE(AH197:AH246)</f>
        <v>92</v>
      </c>
      <c r="AI252" s="1" t="s">
        <v>282</v>
      </c>
      <c r="AK252" s="364">
        <f>MODE(AK197:AK246)</f>
        <v>46</v>
      </c>
      <c r="AL252" s="1" t="s">
        <v>282</v>
      </c>
      <c r="AP252" s="336">
        <f>MODE(AP197:AP245)</f>
        <v>32</v>
      </c>
      <c r="AQ252" s="1" t="s">
        <v>282</v>
      </c>
    </row>
    <row r="253" spans="1:43" ht="15.75">
      <c r="A253" s="354" t="s">
        <v>263</v>
      </c>
      <c r="B253" s="355">
        <f>AVERAGE(B237:B246)</f>
        <v>46.3</v>
      </c>
      <c r="C253" s="355">
        <f t="shared" ref="C253:M253" si="142">AVERAGE(C237:C246)</f>
        <v>63.4</v>
      </c>
      <c r="D253" s="355">
        <f t="shared" si="142"/>
        <v>76.5</v>
      </c>
      <c r="E253" s="355">
        <f t="shared" si="142"/>
        <v>86.1</v>
      </c>
      <c r="F253" s="355">
        <f t="shared" si="142"/>
        <v>88.6</v>
      </c>
      <c r="G253" s="355">
        <f t="shared" si="142"/>
        <v>90.8</v>
      </c>
      <c r="H253" s="355">
        <f t="shared" si="142"/>
        <v>90.5</v>
      </c>
      <c r="I253" s="355">
        <f t="shared" si="142"/>
        <v>90.6</v>
      </c>
      <c r="J253" s="355">
        <f t="shared" si="142"/>
        <v>90.5</v>
      </c>
      <c r="K253" s="355">
        <f t="shared" si="142"/>
        <v>88.7</v>
      </c>
      <c r="L253" s="355">
        <f t="shared" si="142"/>
        <v>79.7</v>
      </c>
      <c r="M253" s="355">
        <f t="shared" si="142"/>
        <v>64.900000000000006</v>
      </c>
      <c r="N253" s="354"/>
      <c r="O253" s="357" t="s">
        <v>68</v>
      </c>
      <c r="P253" s="355">
        <f t="shared" ref="P253:Q253" si="143">AVERAGE(P237:P246)</f>
        <v>42</v>
      </c>
      <c r="Q253" s="355">
        <f t="shared" si="143"/>
        <v>83.888888888888886</v>
      </c>
      <c r="R253" s="357"/>
      <c r="S253" s="355">
        <f t="shared" ref="S253:T253" si="144">AVERAGE(S237:S246)</f>
        <v>45</v>
      </c>
      <c r="T253" s="355">
        <f t="shared" si="144"/>
        <v>80</v>
      </c>
      <c r="U253" s="357"/>
      <c r="V253" s="355">
        <f t="shared" ref="V253:W253" si="145">AVERAGE(V237:V246)</f>
        <v>45.75</v>
      </c>
      <c r="W253" s="355">
        <f t="shared" si="145"/>
        <v>77.666666666666671</v>
      </c>
      <c r="X253" s="357"/>
      <c r="Y253" s="355">
        <f t="shared" ref="Y253:Z253" si="146">AVERAGE(Y237:Y246)</f>
        <v>43.4</v>
      </c>
      <c r="Z253" s="355">
        <f t="shared" si="146"/>
        <v>83.4</v>
      </c>
      <c r="AC253" s="337">
        <f>+AC251/AC252</f>
        <v>0.18</v>
      </c>
      <c r="AD253" s="225"/>
      <c r="AE253" s="291">
        <f>AVERAGE(AE197:AE246)</f>
        <v>38.92</v>
      </c>
      <c r="AF253" s="1" t="s">
        <v>283</v>
      </c>
      <c r="AH253" s="291">
        <f>AVERAGE(AH197:AH246)</f>
        <v>90.78</v>
      </c>
      <c r="AI253" s="1" t="s">
        <v>283</v>
      </c>
      <c r="AK253" s="291">
        <f>AVERAGE(AK197:AK246)</f>
        <v>51.04</v>
      </c>
      <c r="AL253" s="1" t="s">
        <v>283</v>
      </c>
      <c r="AP253" s="68">
        <f>AVERAGE(AP197:AP245)</f>
        <v>40.35</v>
      </c>
      <c r="AQ253" s="1" t="s">
        <v>283</v>
      </c>
    </row>
    <row r="254" spans="1:43" ht="15.75">
      <c r="A254" s="1" t="s">
        <v>302</v>
      </c>
      <c r="B254" s="43">
        <f>AVERAGE(B242:B246)</f>
        <v>42.2</v>
      </c>
      <c r="C254" s="43">
        <f t="shared" ref="C254:M254" si="147">AVERAGE(C242:C246)</f>
        <v>75.2</v>
      </c>
      <c r="D254" s="43">
        <f t="shared" si="147"/>
        <v>80</v>
      </c>
      <c r="E254" s="43">
        <f t="shared" si="147"/>
        <v>85.2</v>
      </c>
      <c r="F254" s="43">
        <f t="shared" si="147"/>
        <v>88.6</v>
      </c>
      <c r="G254" s="43">
        <f t="shared" si="147"/>
        <v>91.8</v>
      </c>
      <c r="H254" s="43">
        <f t="shared" si="147"/>
        <v>90.2</v>
      </c>
      <c r="I254" s="43">
        <f t="shared" si="147"/>
        <v>90.8</v>
      </c>
      <c r="J254" s="43">
        <f t="shared" si="147"/>
        <v>92.2</v>
      </c>
      <c r="K254" s="43">
        <f t="shared" si="147"/>
        <v>90</v>
      </c>
      <c r="L254" s="43">
        <f t="shared" si="147"/>
        <v>84.4</v>
      </c>
      <c r="M254" s="43">
        <f t="shared" si="147"/>
        <v>62</v>
      </c>
      <c r="O254" s="225" t="s">
        <v>303</v>
      </c>
      <c r="P254" s="43"/>
      <c r="Q254" s="43">
        <f t="shared" ref="Q254" si="148">AVERAGE(Q242:Q246)</f>
        <v>84.4</v>
      </c>
      <c r="S254" s="43"/>
      <c r="T254" s="43">
        <f t="shared" ref="T254" si="149">AVERAGE(T242:T246)</f>
        <v>80</v>
      </c>
      <c r="V254" s="43">
        <f t="shared" ref="V254:W254" si="150">AVERAGE(V242:V246)</f>
        <v>40</v>
      </c>
      <c r="W254" s="43">
        <f t="shared" si="150"/>
        <v>76.666666666666671</v>
      </c>
      <c r="Y254" s="43">
        <f t="shared" ref="Y254:Z254" si="151">AVERAGE(Y242:Y246)</f>
        <v>45</v>
      </c>
      <c r="Z254" s="43">
        <f t="shared" si="151"/>
        <v>82.75</v>
      </c>
      <c r="AC254" s="337"/>
      <c r="AD254" s="225"/>
      <c r="AE254" s="291"/>
      <c r="AH254" s="334"/>
      <c r="AK254" s="334"/>
      <c r="AP254" s="68"/>
    </row>
    <row r="255" spans="1:43" ht="15.75">
      <c r="A255" s="1" t="s">
        <v>266</v>
      </c>
      <c r="B255" s="43">
        <f>AVERAGE(B197:B246)</f>
        <v>38.92</v>
      </c>
      <c r="C255" s="43">
        <f t="shared" ref="C255:M255" si="152">AVERAGE(C197:C246)</f>
        <v>46.24</v>
      </c>
      <c r="D255" s="43">
        <f t="shared" si="152"/>
        <v>62.26</v>
      </c>
      <c r="E255" s="43">
        <f t="shared" si="152"/>
        <v>82.16</v>
      </c>
      <c r="F255" s="43">
        <f t="shared" si="152"/>
        <v>88.24</v>
      </c>
      <c r="G255" s="43">
        <f t="shared" si="152"/>
        <v>90.26</v>
      </c>
      <c r="H255" s="43">
        <f t="shared" si="152"/>
        <v>90.32</v>
      </c>
      <c r="I255" s="43">
        <f t="shared" si="152"/>
        <v>90.78</v>
      </c>
      <c r="J255" s="43">
        <f t="shared" si="152"/>
        <v>89.48</v>
      </c>
      <c r="K255" s="43">
        <f t="shared" si="152"/>
        <v>85.7</v>
      </c>
      <c r="L255" s="43">
        <f t="shared" si="152"/>
        <v>73.22</v>
      </c>
      <c r="M255" s="43">
        <f t="shared" si="152"/>
        <v>51.04</v>
      </c>
      <c r="O255" s="225" t="s">
        <v>266</v>
      </c>
      <c r="P255" s="43">
        <f t="shared" ref="P255:Q255" si="153">AVERAGE(P197:P246)</f>
        <v>42.888888888888886</v>
      </c>
      <c r="Q255" s="43">
        <f t="shared" si="153"/>
        <v>79.878048780487802</v>
      </c>
      <c r="S255" s="43">
        <f t="shared" ref="S255:T255" si="154">AVERAGE(S197:S246)</f>
        <v>44.631578947368418</v>
      </c>
      <c r="T255" s="43">
        <f t="shared" si="154"/>
        <v>78.92</v>
      </c>
      <c r="V255" s="43">
        <f t="shared" ref="V255:W255" si="155">AVERAGE(V197:V246)</f>
        <v>42.216216216216218</v>
      </c>
      <c r="W255" s="43">
        <f t="shared" si="155"/>
        <v>76.15384615384616</v>
      </c>
      <c r="Y255" s="43">
        <f t="shared" ref="Y255:Z255" si="156">AVERAGE(Y197:Y246)</f>
        <v>41.409090909090907</v>
      </c>
      <c r="Z255" s="43">
        <f t="shared" si="156"/>
        <v>81.666666666666671</v>
      </c>
      <c r="AC255" s="225"/>
      <c r="AD255" s="225"/>
      <c r="AE255" s="338">
        <f>AVERAGE(AE197:AE216)</f>
        <v>30.7</v>
      </c>
      <c r="AF255" s="1" t="s">
        <v>284</v>
      </c>
      <c r="AH255" s="432">
        <f>AVERAGE(AH197:AH216)</f>
        <v>92.75</v>
      </c>
      <c r="AI255" s="1" t="s">
        <v>284</v>
      </c>
      <c r="AK255" s="335">
        <f>AVERAGE(AK197:AK216)</f>
        <v>37.299999999999997</v>
      </c>
      <c r="AL255" s="1" t="s">
        <v>284</v>
      </c>
      <c r="AP255" s="335">
        <f>AVERAGE(AP226:AP235)</f>
        <v>33.1</v>
      </c>
      <c r="AQ255" s="1" t="s">
        <v>300</v>
      </c>
    </row>
    <row r="256" spans="1:43">
      <c r="B256" s="339" t="s">
        <v>82</v>
      </c>
      <c r="C256" s="339" t="s">
        <v>82</v>
      </c>
      <c r="D256" s="339" t="s">
        <v>82</v>
      </c>
      <c r="E256" s="68"/>
      <c r="F256" s="68"/>
      <c r="G256" s="68"/>
      <c r="H256" s="68"/>
      <c r="I256" s="68"/>
      <c r="J256" s="68"/>
      <c r="K256" s="68"/>
      <c r="L256" s="339" t="s">
        <v>82</v>
      </c>
      <c r="M256" s="339" t="s">
        <v>82</v>
      </c>
      <c r="AC256" s="225">
        <f>SUM(AC227:AC246)</f>
        <v>3</v>
      </c>
      <c r="AD256" s="225"/>
      <c r="AE256" s="225"/>
      <c r="AP256" s="335">
        <f>AVERAGE(AP226:AP230)</f>
        <v>30.2</v>
      </c>
      <c r="AQ256" s="1" t="s">
        <v>301</v>
      </c>
    </row>
    <row r="257" spans="1:37">
      <c r="B257" s="340" t="s">
        <v>83</v>
      </c>
      <c r="C257" s="340" t="s">
        <v>83</v>
      </c>
      <c r="D257" s="340" t="s">
        <v>83</v>
      </c>
      <c r="E257" s="334"/>
      <c r="F257" s="334"/>
      <c r="G257" s="334"/>
      <c r="H257" s="334"/>
      <c r="I257" s="334"/>
      <c r="J257" s="334"/>
      <c r="K257" s="334"/>
      <c r="L257" s="340" t="s">
        <v>83</v>
      </c>
      <c r="M257" s="340" t="s">
        <v>83</v>
      </c>
      <c r="P257" s="341"/>
      <c r="Q257" s="341"/>
      <c r="R257" s="341"/>
      <c r="S257" s="341"/>
      <c r="T257" s="341"/>
      <c r="AC257" s="337">
        <f>+AC256/AC252</f>
        <v>0.06</v>
      </c>
      <c r="AD257" s="225"/>
      <c r="AE257" s="225"/>
    </row>
    <row r="258" spans="1:37" ht="15.75">
      <c r="A258" s="435" t="s">
        <v>252</v>
      </c>
      <c r="B258" s="415">
        <f>ROUND(AE255,0)</f>
        <v>31</v>
      </c>
      <c r="C258" s="415">
        <f>ROUND(Y258,0)</f>
        <v>43</v>
      </c>
      <c r="D258" s="415">
        <f>ROUND(S258,0)</f>
        <v>45</v>
      </c>
      <c r="E258" s="415">
        <f>ROUND(E252,0)</f>
        <v>84</v>
      </c>
      <c r="F258" s="415">
        <f t="shared" ref="F258:K258" si="157">ROUND(F252,0)</f>
        <v>88</v>
      </c>
      <c r="G258" s="415">
        <f t="shared" si="157"/>
        <v>91</v>
      </c>
      <c r="H258" s="415">
        <f t="shared" si="157"/>
        <v>90</v>
      </c>
      <c r="I258" s="429">
        <f>+(I252+AH255)/2</f>
        <v>91.7</v>
      </c>
      <c r="J258" s="415">
        <f t="shared" si="157"/>
        <v>90</v>
      </c>
      <c r="K258" s="415">
        <f t="shared" si="157"/>
        <v>87</v>
      </c>
      <c r="L258" s="415">
        <f>ROUND(Q258,0)</f>
        <v>82</v>
      </c>
      <c r="M258" s="415">
        <f>+V258</f>
        <v>43</v>
      </c>
      <c r="P258" s="342">
        <f>+P252</f>
        <v>42</v>
      </c>
      <c r="Q258" s="343">
        <f>+Q252</f>
        <v>82.473684210526315</v>
      </c>
      <c r="R258" s="341"/>
      <c r="S258" s="343">
        <f>+S252</f>
        <v>44.666666666666664</v>
      </c>
      <c r="T258" s="342">
        <f>+T252</f>
        <v>79.1875</v>
      </c>
      <c r="V258" s="430">
        <f>+V252</f>
        <v>43</v>
      </c>
      <c r="W258" s="342">
        <f>+W252</f>
        <v>76.3</v>
      </c>
      <c r="Y258" s="343">
        <f>+Y252</f>
        <v>43.133333333333333</v>
      </c>
      <c r="Z258" s="342">
        <f>+Z252</f>
        <v>83.4</v>
      </c>
      <c r="AC258" s="225"/>
      <c r="AD258" s="225"/>
      <c r="AE258" s="225"/>
    </row>
    <row r="259" spans="1:37">
      <c r="A259" s="165" t="s">
        <v>308</v>
      </c>
      <c r="B259" s="68">
        <f>AVERAGE(B242,B241,B240,B239,B238,B236,B235,B234,B233,B232,B231,B230,B229,B228,B227,B226,B225,B224,B245,B246)</f>
        <v>38.049999999999997</v>
      </c>
      <c r="C259" s="68">
        <f>AVERAGE(C245,C240,C239,C238,C237,C236,C235,C234,C233,C232,C231,C230,C229,C228,C227,C226,C225,C224,C223,C222)</f>
        <v>43.75</v>
      </c>
      <c r="D259" s="282">
        <f>+S252</f>
        <v>44.666666666666664</v>
      </c>
      <c r="E259" s="68">
        <f t="shared" ref="E259:K259" si="158">+E252</f>
        <v>83.95</v>
      </c>
      <c r="F259" s="68">
        <f t="shared" si="158"/>
        <v>88.4</v>
      </c>
      <c r="G259" s="68">
        <f t="shared" si="158"/>
        <v>90.7</v>
      </c>
      <c r="H259" s="68">
        <f t="shared" si="158"/>
        <v>90.4</v>
      </c>
      <c r="I259" s="68">
        <f t="shared" si="158"/>
        <v>90.65</v>
      </c>
      <c r="J259" s="68">
        <f t="shared" si="158"/>
        <v>89.6</v>
      </c>
      <c r="K259" s="68">
        <f t="shared" si="158"/>
        <v>86.6</v>
      </c>
      <c r="L259" s="68">
        <f>+Q252</f>
        <v>82.473684210526315</v>
      </c>
      <c r="M259" s="68">
        <f>+V252</f>
        <v>43</v>
      </c>
      <c r="R259" s="341"/>
      <c r="Y259" s="303"/>
      <c r="AD259" s="225"/>
      <c r="AE259" s="225"/>
    </row>
    <row r="260" spans="1:37">
      <c r="B260" s="68">
        <f>+B259-B258</f>
        <v>7.0499999999999972</v>
      </c>
      <c r="C260" s="68">
        <f t="shared" ref="C260:M260" si="159">+C259-C258</f>
        <v>0.75</v>
      </c>
      <c r="D260" s="68">
        <f t="shared" si="159"/>
        <v>-0.3333333333333357</v>
      </c>
      <c r="E260" s="68">
        <f t="shared" si="159"/>
        <v>-4.9999999999997158E-2</v>
      </c>
      <c r="F260" s="68">
        <f t="shared" si="159"/>
        <v>0.40000000000000568</v>
      </c>
      <c r="G260" s="68">
        <f t="shared" si="159"/>
        <v>-0.29999999999999716</v>
      </c>
      <c r="H260" s="68">
        <f t="shared" si="159"/>
        <v>0.40000000000000568</v>
      </c>
      <c r="I260" s="68">
        <f t="shared" si="159"/>
        <v>-1.0499999999999972</v>
      </c>
      <c r="J260" s="68">
        <f t="shared" si="159"/>
        <v>-0.40000000000000568</v>
      </c>
      <c r="K260" s="68">
        <f t="shared" si="159"/>
        <v>-0.40000000000000568</v>
      </c>
      <c r="L260" s="68">
        <f t="shared" si="159"/>
        <v>0.47368421052631504</v>
      </c>
      <c r="M260" s="68">
        <f t="shared" si="159"/>
        <v>0</v>
      </c>
      <c r="AD260" s="225"/>
      <c r="AE260" s="225"/>
    </row>
    <row r="261" spans="1:37">
      <c r="B261" s="68">
        <f>+B336</f>
        <v>5.7208333333333314</v>
      </c>
      <c r="C261" s="68">
        <f t="shared" ref="C261:M261" si="160">+C336</f>
        <v>-0.20000000000000284</v>
      </c>
      <c r="D261" s="68">
        <f t="shared" si="160"/>
        <v>-0.25</v>
      </c>
      <c r="E261" s="68">
        <f t="shared" si="160"/>
        <v>-0.46875</v>
      </c>
      <c r="F261" s="68">
        <f t="shared" si="160"/>
        <v>0.26041666666665719</v>
      </c>
      <c r="G261" s="68">
        <f t="shared" si="160"/>
        <v>-2.7083333333337123E-2</v>
      </c>
      <c r="H261" s="68">
        <f t="shared" si="160"/>
        <v>0</v>
      </c>
      <c r="I261" s="68">
        <f t="shared" si="160"/>
        <v>0</v>
      </c>
      <c r="J261" s="68">
        <f t="shared" si="160"/>
        <v>-5.6250000000005684E-2</v>
      </c>
      <c r="K261" s="68">
        <f t="shared" si="160"/>
        <v>0.41458333333333997</v>
      </c>
      <c r="L261" s="68">
        <f t="shared" si="160"/>
        <v>0.3267543859649038</v>
      </c>
      <c r="M261" s="68">
        <f t="shared" si="160"/>
        <v>0</v>
      </c>
    </row>
    <row r="263" spans="1:37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</row>
    <row r="265" spans="1:37">
      <c r="B265" s="33">
        <v>65</v>
      </c>
      <c r="C265" s="1" t="s">
        <v>78</v>
      </c>
    </row>
    <row r="266" spans="1:37">
      <c r="B266" s="89">
        <v>65</v>
      </c>
      <c r="C266" s="1" t="s">
        <v>79</v>
      </c>
    </row>
    <row r="267" spans="1:37">
      <c r="B267" s="326"/>
      <c r="C267" s="1" t="s">
        <v>80</v>
      </c>
    </row>
    <row r="268" spans="1:37">
      <c r="B268" s="34">
        <v>65</v>
      </c>
      <c r="C268" s="1" t="s">
        <v>81</v>
      </c>
    </row>
    <row r="270" spans="1:37" ht="15.75">
      <c r="B270" s="5" t="s">
        <v>75</v>
      </c>
    </row>
    <row r="271" spans="1:37" ht="15.75">
      <c r="O271" s="254"/>
      <c r="P271" s="90" t="s">
        <v>333</v>
      </c>
      <c r="Q271" s="90" t="s">
        <v>265</v>
      </c>
      <c r="R271" s="90"/>
      <c r="S271" s="90" t="s">
        <v>333</v>
      </c>
      <c r="T271" s="90" t="s">
        <v>265</v>
      </c>
      <c r="U271" s="90"/>
      <c r="V271" s="90" t="s">
        <v>333</v>
      </c>
      <c r="W271" s="90" t="s">
        <v>265</v>
      </c>
      <c r="X271" s="90"/>
      <c r="Y271" s="90" t="s">
        <v>333</v>
      </c>
      <c r="Z271" s="90" t="s">
        <v>265</v>
      </c>
    </row>
    <row r="272" spans="1:37" ht="15.75">
      <c r="B272" s="165" t="s">
        <v>4</v>
      </c>
      <c r="C272" s="165" t="s">
        <v>8</v>
      </c>
      <c r="D272" s="165" t="s">
        <v>9</v>
      </c>
      <c r="E272" s="165" t="s">
        <v>10</v>
      </c>
      <c r="F272" s="165" t="s">
        <v>11</v>
      </c>
      <c r="G272" s="165" t="s">
        <v>12</v>
      </c>
      <c r="H272" s="165" t="s">
        <v>13</v>
      </c>
      <c r="I272" s="165" t="s">
        <v>15</v>
      </c>
      <c r="J272" s="165" t="s">
        <v>16</v>
      </c>
      <c r="K272" s="165" t="s">
        <v>17</v>
      </c>
      <c r="L272" s="165" t="s">
        <v>18</v>
      </c>
      <c r="M272" s="165" t="s">
        <v>19</v>
      </c>
      <c r="O272" s="437" t="s">
        <v>334</v>
      </c>
      <c r="P272" s="436" t="s">
        <v>91</v>
      </c>
      <c r="Q272" s="436" t="s">
        <v>93</v>
      </c>
      <c r="R272" s="90"/>
      <c r="S272" s="436" t="s">
        <v>95</v>
      </c>
      <c r="T272" s="436" t="s">
        <v>97</v>
      </c>
      <c r="U272" s="90"/>
      <c r="V272" s="436" t="s">
        <v>98</v>
      </c>
      <c r="W272" s="436" t="s">
        <v>99</v>
      </c>
      <c r="X272" s="90"/>
      <c r="Y272" s="436" t="s">
        <v>315</v>
      </c>
      <c r="Z272" s="436" t="s">
        <v>316</v>
      </c>
      <c r="AD272" s="313"/>
      <c r="AE272" s="313" t="s">
        <v>4</v>
      </c>
      <c r="AF272" s="225"/>
      <c r="AG272" s="313"/>
      <c r="AH272" s="313" t="s">
        <v>15</v>
      </c>
      <c r="AI272" s="225"/>
      <c r="AJ272" s="313"/>
      <c r="AK272" s="313" t="s">
        <v>320</v>
      </c>
    </row>
    <row r="273" spans="1:37">
      <c r="A273" s="1">
        <f t="shared" ref="A273:A304" si="161">A7</f>
        <v>1973</v>
      </c>
      <c r="B273" s="327">
        <v>45</v>
      </c>
      <c r="C273" s="328">
        <v>46</v>
      </c>
      <c r="D273" s="222">
        <v>77</v>
      </c>
      <c r="E273" s="222">
        <v>74</v>
      </c>
      <c r="F273" s="222">
        <v>85</v>
      </c>
      <c r="G273" s="222">
        <v>82</v>
      </c>
      <c r="H273" s="222">
        <v>81</v>
      </c>
      <c r="I273" s="222">
        <v>81</v>
      </c>
      <c r="J273" s="222">
        <v>82</v>
      </c>
      <c r="K273" s="222">
        <v>80</v>
      </c>
      <c r="L273" s="222">
        <v>76</v>
      </c>
      <c r="M273" s="328">
        <v>47</v>
      </c>
      <c r="O273" s="254">
        <f t="shared" ref="O273:O314" si="162">+O274+1</f>
        <v>50</v>
      </c>
      <c r="Q273" s="304">
        <f>L273</f>
        <v>76</v>
      </c>
      <c r="T273" s="304">
        <f>D273</f>
        <v>77</v>
      </c>
      <c r="V273" s="291" t="s">
        <v>86</v>
      </c>
      <c r="W273" s="329">
        <f>M273</f>
        <v>47</v>
      </c>
      <c r="Y273" s="291">
        <f t="shared" ref="Y273:Y281" si="163">+C273</f>
        <v>46</v>
      </c>
      <c r="Z273"/>
      <c r="AD273" s="225">
        <v>1981</v>
      </c>
      <c r="AE273" s="225">
        <v>34</v>
      </c>
      <c r="AF273" s="225"/>
      <c r="AG273" s="225">
        <v>1999</v>
      </c>
      <c r="AH273" s="225">
        <v>87</v>
      </c>
      <c r="AI273" s="225"/>
      <c r="AJ273" s="225">
        <v>1983</v>
      </c>
      <c r="AK273" s="225">
        <v>30</v>
      </c>
    </row>
    <row r="274" spans="1:37">
      <c r="A274" s="1">
        <f t="shared" si="161"/>
        <v>1974</v>
      </c>
      <c r="B274" s="344">
        <v>73</v>
      </c>
      <c r="C274" s="166">
        <v>51</v>
      </c>
      <c r="D274" s="222">
        <v>75</v>
      </c>
      <c r="E274" s="222">
        <v>78</v>
      </c>
      <c r="F274" s="222">
        <v>81</v>
      </c>
      <c r="G274" s="222">
        <v>82</v>
      </c>
      <c r="H274" s="222">
        <v>84</v>
      </c>
      <c r="I274" s="222">
        <v>81</v>
      </c>
      <c r="J274" s="222">
        <v>83</v>
      </c>
      <c r="K274" s="222">
        <v>77</v>
      </c>
      <c r="L274" s="222">
        <v>72</v>
      </c>
      <c r="M274" s="166">
        <v>49</v>
      </c>
      <c r="O274" s="254">
        <f t="shared" si="162"/>
        <v>49</v>
      </c>
      <c r="Q274" s="304">
        <f>L274</f>
        <v>72</v>
      </c>
      <c r="T274" s="304">
        <f>D274</f>
        <v>75</v>
      </c>
      <c r="V274" s="291">
        <f>M274</f>
        <v>49</v>
      </c>
      <c r="W274" s="330" t="s">
        <v>86</v>
      </c>
      <c r="Y274" s="291">
        <f t="shared" si="163"/>
        <v>51</v>
      </c>
      <c r="Z274"/>
      <c r="AD274" s="225">
        <v>1985</v>
      </c>
      <c r="AE274" s="225">
        <v>36</v>
      </c>
      <c r="AF274" s="225"/>
      <c r="AG274" s="225">
        <v>2007</v>
      </c>
      <c r="AH274" s="225">
        <v>87</v>
      </c>
      <c r="AI274" s="225"/>
      <c r="AJ274" s="225">
        <v>1989</v>
      </c>
      <c r="AK274" s="225">
        <v>35</v>
      </c>
    </row>
    <row r="275" spans="1:37">
      <c r="A275" s="1">
        <f t="shared" si="161"/>
        <v>1975</v>
      </c>
      <c r="B275" s="331">
        <v>48</v>
      </c>
      <c r="C275" s="166">
        <v>57</v>
      </c>
      <c r="D275" s="166">
        <v>53</v>
      </c>
      <c r="E275" s="222">
        <v>81</v>
      </c>
      <c r="F275" s="222">
        <v>83</v>
      </c>
      <c r="G275" s="222">
        <v>83</v>
      </c>
      <c r="H275" s="222">
        <v>86</v>
      </c>
      <c r="I275" s="222">
        <v>85</v>
      </c>
      <c r="J275" s="222">
        <v>83</v>
      </c>
      <c r="K275" s="222">
        <v>82</v>
      </c>
      <c r="L275" s="166">
        <v>46</v>
      </c>
      <c r="M275" s="332">
        <v>42</v>
      </c>
      <c r="O275" s="254">
        <f t="shared" si="162"/>
        <v>48</v>
      </c>
      <c r="P275" s="291">
        <f>+L275</f>
        <v>46</v>
      </c>
      <c r="Q275" s="330"/>
      <c r="S275" s="225">
        <f>D275</f>
        <v>53</v>
      </c>
      <c r="T275" s="330"/>
      <c r="V275" s="291" t="s">
        <v>86</v>
      </c>
      <c r="W275" s="329">
        <f>M275</f>
        <v>42</v>
      </c>
      <c r="Y275" s="291">
        <f t="shared" si="163"/>
        <v>57</v>
      </c>
      <c r="Z275"/>
      <c r="AD275" s="225">
        <v>1986</v>
      </c>
      <c r="AE275" s="225">
        <v>36</v>
      </c>
      <c r="AF275" s="225"/>
      <c r="AG275" s="225">
        <v>2011</v>
      </c>
      <c r="AH275" s="225">
        <v>87</v>
      </c>
      <c r="AI275" s="225"/>
      <c r="AJ275" s="225">
        <v>1996</v>
      </c>
      <c r="AK275" s="225">
        <v>38</v>
      </c>
    </row>
    <row r="276" spans="1:37">
      <c r="A276" s="1">
        <f t="shared" si="161"/>
        <v>1976</v>
      </c>
      <c r="B276" s="331">
        <v>45</v>
      </c>
      <c r="C276" s="166">
        <v>55</v>
      </c>
      <c r="D276" s="222">
        <v>74</v>
      </c>
      <c r="E276" s="222">
        <v>75</v>
      </c>
      <c r="F276" s="222">
        <v>79</v>
      </c>
      <c r="G276" s="222">
        <v>80</v>
      </c>
      <c r="H276" s="222">
        <v>84</v>
      </c>
      <c r="I276" s="222">
        <v>83</v>
      </c>
      <c r="J276" s="222">
        <v>80</v>
      </c>
      <c r="K276" s="222">
        <v>79</v>
      </c>
      <c r="L276" s="332">
        <v>47</v>
      </c>
      <c r="M276" s="166">
        <v>50</v>
      </c>
      <c r="O276" s="254">
        <f t="shared" si="162"/>
        <v>47</v>
      </c>
      <c r="P276" s="291">
        <f>+L276</f>
        <v>47</v>
      </c>
      <c r="Q276" s="329">
        <f>L276</f>
        <v>47</v>
      </c>
      <c r="T276" s="304">
        <f>D276</f>
        <v>74</v>
      </c>
      <c r="V276" s="291">
        <f>M276</f>
        <v>50</v>
      </c>
      <c r="W276" s="330" t="s">
        <v>86</v>
      </c>
      <c r="Y276" s="291">
        <f t="shared" si="163"/>
        <v>55</v>
      </c>
      <c r="Z276"/>
      <c r="AD276" s="225">
        <v>2003</v>
      </c>
      <c r="AE276" s="225">
        <v>37</v>
      </c>
      <c r="AF276" s="225"/>
      <c r="AG276" s="225">
        <v>2020</v>
      </c>
      <c r="AH276" s="291">
        <v>87</v>
      </c>
      <c r="AI276" s="225"/>
      <c r="AJ276" s="225">
        <v>1975</v>
      </c>
      <c r="AK276" s="225">
        <v>42</v>
      </c>
    </row>
    <row r="277" spans="1:37">
      <c r="A277" s="1">
        <f t="shared" si="161"/>
        <v>1977</v>
      </c>
      <c r="B277" s="331">
        <v>40</v>
      </c>
      <c r="C277" s="166">
        <v>44</v>
      </c>
      <c r="D277" s="222">
        <v>77</v>
      </c>
      <c r="E277" s="222">
        <v>77</v>
      </c>
      <c r="F277" s="222">
        <v>80</v>
      </c>
      <c r="G277" s="222">
        <v>86</v>
      </c>
      <c r="H277" s="222">
        <v>85</v>
      </c>
      <c r="I277" s="222">
        <v>83</v>
      </c>
      <c r="J277" s="222">
        <v>83</v>
      </c>
      <c r="K277" s="222">
        <v>81</v>
      </c>
      <c r="L277" s="222">
        <v>75</v>
      </c>
      <c r="M277" s="166">
        <v>45</v>
      </c>
      <c r="O277" s="254">
        <f t="shared" si="162"/>
        <v>46</v>
      </c>
      <c r="Q277" s="304">
        <f>L277</f>
        <v>75</v>
      </c>
      <c r="T277" s="304">
        <f>D277</f>
        <v>77</v>
      </c>
      <c r="V277" s="291">
        <f>M277</f>
        <v>45</v>
      </c>
      <c r="W277" s="330" t="s">
        <v>86</v>
      </c>
      <c r="Y277" s="291">
        <f t="shared" si="163"/>
        <v>44</v>
      </c>
      <c r="Z277"/>
      <c r="AD277" s="225">
        <v>2010</v>
      </c>
      <c r="AE277" s="225">
        <v>38</v>
      </c>
      <c r="AF277" s="225"/>
      <c r="AG277" s="225">
        <v>1987</v>
      </c>
      <c r="AH277" s="225">
        <v>86</v>
      </c>
      <c r="AI277" s="225"/>
      <c r="AJ277" s="225">
        <v>1981</v>
      </c>
      <c r="AK277" s="225">
        <v>42</v>
      </c>
    </row>
    <row r="278" spans="1:37">
      <c r="A278" s="1">
        <f t="shared" si="161"/>
        <v>1978</v>
      </c>
      <c r="B278" s="331">
        <v>48</v>
      </c>
      <c r="C278" s="166">
        <v>41</v>
      </c>
      <c r="D278" s="166">
        <v>55</v>
      </c>
      <c r="E278" s="222">
        <v>77</v>
      </c>
      <c r="F278" s="222">
        <v>81</v>
      </c>
      <c r="G278" s="222">
        <v>83</v>
      </c>
      <c r="H278" s="222">
        <v>84</v>
      </c>
      <c r="I278" s="222">
        <v>83</v>
      </c>
      <c r="J278" s="222">
        <v>83</v>
      </c>
      <c r="K278" s="222">
        <v>80</v>
      </c>
      <c r="L278" s="222">
        <v>76</v>
      </c>
      <c r="M278" s="332">
        <v>55</v>
      </c>
      <c r="O278" s="254">
        <f t="shared" si="162"/>
        <v>45</v>
      </c>
      <c r="Q278" s="304">
        <f>L278</f>
        <v>76</v>
      </c>
      <c r="S278" s="225">
        <f>D278</f>
        <v>55</v>
      </c>
      <c r="T278" s="330"/>
      <c r="V278" s="291" t="s">
        <v>86</v>
      </c>
      <c r="W278" s="329">
        <f>M278</f>
        <v>55</v>
      </c>
      <c r="Y278" s="291">
        <f t="shared" si="163"/>
        <v>41</v>
      </c>
      <c r="Z278"/>
      <c r="AD278" s="225">
        <v>1977</v>
      </c>
      <c r="AE278" s="225">
        <v>40</v>
      </c>
      <c r="AF278" s="225"/>
      <c r="AG278" s="225">
        <v>1993</v>
      </c>
      <c r="AH278" s="225">
        <v>86</v>
      </c>
      <c r="AI278" s="225"/>
      <c r="AJ278" s="225">
        <v>1984</v>
      </c>
      <c r="AK278" s="225">
        <v>44</v>
      </c>
    </row>
    <row r="279" spans="1:37">
      <c r="A279" s="1">
        <f t="shared" si="161"/>
        <v>1979</v>
      </c>
      <c r="B279" s="331">
        <v>47</v>
      </c>
      <c r="C279" s="166">
        <v>45</v>
      </c>
      <c r="D279" s="166">
        <v>59</v>
      </c>
      <c r="E279" s="222">
        <v>78</v>
      </c>
      <c r="F279" s="222">
        <v>79</v>
      </c>
      <c r="G279" s="222">
        <v>83</v>
      </c>
      <c r="H279" s="222">
        <v>83</v>
      </c>
      <c r="I279" s="222">
        <v>81</v>
      </c>
      <c r="J279" s="222">
        <v>84</v>
      </c>
      <c r="K279" s="222">
        <v>82</v>
      </c>
      <c r="L279" s="332">
        <v>44</v>
      </c>
      <c r="M279" s="166">
        <v>54</v>
      </c>
      <c r="O279" s="254">
        <f t="shared" si="162"/>
        <v>44</v>
      </c>
      <c r="P279" s="291">
        <f>+L279</f>
        <v>44</v>
      </c>
      <c r="Q279" s="329">
        <f>L279</f>
        <v>44</v>
      </c>
      <c r="S279" s="225">
        <f>D279</f>
        <v>59</v>
      </c>
      <c r="T279" s="330"/>
      <c r="V279" s="291">
        <f t="shared" ref="V279:V285" si="164">M279</f>
        <v>54</v>
      </c>
      <c r="W279" s="330" t="s">
        <v>86</v>
      </c>
      <c r="Y279" s="291">
        <f t="shared" si="163"/>
        <v>45</v>
      </c>
      <c r="Z279"/>
      <c r="AD279" s="225">
        <v>1982</v>
      </c>
      <c r="AE279" s="225">
        <v>40</v>
      </c>
      <c r="AF279" s="225"/>
      <c r="AG279" s="225">
        <v>1998</v>
      </c>
      <c r="AH279" s="225">
        <v>86</v>
      </c>
      <c r="AI279" s="225"/>
      <c r="AJ279" s="225">
        <v>2010</v>
      </c>
      <c r="AK279" s="225">
        <v>44</v>
      </c>
    </row>
    <row r="280" spans="1:37">
      <c r="A280" s="1">
        <f t="shared" si="161"/>
        <v>1980</v>
      </c>
      <c r="B280" s="331">
        <v>52</v>
      </c>
      <c r="C280" s="166">
        <v>44</v>
      </c>
      <c r="D280" s="332">
        <v>49</v>
      </c>
      <c r="E280" s="222">
        <v>76</v>
      </c>
      <c r="F280" s="222">
        <v>80</v>
      </c>
      <c r="G280" s="222">
        <v>82</v>
      </c>
      <c r="H280" s="222">
        <v>88</v>
      </c>
      <c r="I280" s="222">
        <v>83</v>
      </c>
      <c r="J280" s="222">
        <v>82</v>
      </c>
      <c r="K280" s="222">
        <v>77</v>
      </c>
      <c r="L280" s="222">
        <v>74</v>
      </c>
      <c r="M280" s="166">
        <v>48</v>
      </c>
      <c r="O280" s="254">
        <f t="shared" si="162"/>
        <v>43</v>
      </c>
      <c r="Q280" s="304">
        <f>L280</f>
        <v>74</v>
      </c>
      <c r="T280" s="329">
        <f>D280</f>
        <v>49</v>
      </c>
      <c r="V280" s="291">
        <f t="shared" si="164"/>
        <v>48</v>
      </c>
      <c r="W280" s="330" t="s">
        <v>86</v>
      </c>
      <c r="Y280" s="291">
        <f t="shared" si="163"/>
        <v>44</v>
      </c>
      <c r="Z280"/>
      <c r="AD280" s="225">
        <v>2008</v>
      </c>
      <c r="AE280" s="225">
        <v>41</v>
      </c>
      <c r="AF280" s="225"/>
      <c r="AG280" s="225">
        <v>2005</v>
      </c>
      <c r="AH280" s="225">
        <v>86</v>
      </c>
      <c r="AI280" s="225"/>
      <c r="AJ280" s="225">
        <v>2020</v>
      </c>
      <c r="AK280" s="225">
        <v>44</v>
      </c>
    </row>
    <row r="281" spans="1:37">
      <c r="A281" s="1">
        <f t="shared" si="161"/>
        <v>1981</v>
      </c>
      <c r="B281" s="331">
        <v>34</v>
      </c>
      <c r="C281" s="332">
        <v>43</v>
      </c>
      <c r="D281" s="332">
        <v>58</v>
      </c>
      <c r="E281" s="222">
        <v>75</v>
      </c>
      <c r="F281" s="222">
        <v>79</v>
      </c>
      <c r="G281" s="222">
        <v>85</v>
      </c>
      <c r="H281" s="222">
        <v>84</v>
      </c>
      <c r="I281" s="222">
        <v>83</v>
      </c>
      <c r="J281" s="222">
        <v>81</v>
      </c>
      <c r="K281" s="222">
        <v>76</v>
      </c>
      <c r="L281" s="166">
        <v>53</v>
      </c>
      <c r="M281" s="166">
        <v>42</v>
      </c>
      <c r="O281" s="254">
        <f t="shared" si="162"/>
        <v>42</v>
      </c>
      <c r="P281" s="291">
        <f>+L281</f>
        <v>53</v>
      </c>
      <c r="Q281" s="330"/>
      <c r="T281" s="329">
        <f>D281</f>
        <v>58</v>
      </c>
      <c r="V281" s="291">
        <f t="shared" si="164"/>
        <v>42</v>
      </c>
      <c r="W281" s="330" t="s">
        <v>86</v>
      </c>
      <c r="Y281" s="291">
        <f t="shared" si="163"/>
        <v>43</v>
      </c>
      <c r="Z281"/>
      <c r="AD281" s="225">
        <v>2011</v>
      </c>
      <c r="AE281" s="225">
        <v>41</v>
      </c>
      <c r="AF281" s="225"/>
      <c r="AG281" s="225">
        <v>2006</v>
      </c>
      <c r="AH281" s="225">
        <v>86</v>
      </c>
      <c r="AI281" s="225"/>
      <c r="AJ281" s="225">
        <v>1977</v>
      </c>
      <c r="AK281" s="225">
        <v>45</v>
      </c>
    </row>
    <row r="282" spans="1:37">
      <c r="A282" s="1">
        <f t="shared" si="161"/>
        <v>1982</v>
      </c>
      <c r="B282" s="331">
        <v>40</v>
      </c>
      <c r="C282" s="233">
        <v>72</v>
      </c>
      <c r="D282" s="166">
        <v>51</v>
      </c>
      <c r="E282" s="222">
        <v>77</v>
      </c>
      <c r="F282" s="222">
        <v>81</v>
      </c>
      <c r="G282" s="222">
        <v>81</v>
      </c>
      <c r="H282" s="222">
        <v>81</v>
      </c>
      <c r="I282" s="222">
        <v>83</v>
      </c>
      <c r="J282" s="222">
        <v>83</v>
      </c>
      <c r="K282" s="222">
        <v>79</v>
      </c>
      <c r="L282" s="222">
        <v>76</v>
      </c>
      <c r="M282" s="166">
        <v>47</v>
      </c>
      <c r="O282" s="254">
        <f t="shared" si="162"/>
        <v>41</v>
      </c>
      <c r="Q282" s="304">
        <f>L282</f>
        <v>76</v>
      </c>
      <c r="S282" s="225">
        <f>D282</f>
        <v>51</v>
      </c>
      <c r="T282" s="330"/>
      <c r="V282" s="291">
        <f t="shared" si="164"/>
        <v>47</v>
      </c>
      <c r="W282" s="330" t="s">
        <v>86</v>
      </c>
      <c r="Z282" s="304">
        <f>+C282</f>
        <v>72</v>
      </c>
      <c r="AD282" s="225">
        <v>2018</v>
      </c>
      <c r="AE282" s="225">
        <v>41</v>
      </c>
      <c r="AF282" s="225"/>
      <c r="AG282" s="225">
        <v>2010</v>
      </c>
      <c r="AH282" s="225">
        <v>86</v>
      </c>
      <c r="AI282" s="225"/>
      <c r="AJ282" s="225">
        <v>1985</v>
      </c>
      <c r="AK282" s="225">
        <v>45</v>
      </c>
    </row>
    <row r="283" spans="1:37">
      <c r="A283" s="1">
        <f t="shared" si="161"/>
        <v>1983</v>
      </c>
      <c r="B283" s="331">
        <v>49</v>
      </c>
      <c r="C283" s="166">
        <v>51</v>
      </c>
      <c r="D283" s="332">
        <v>50</v>
      </c>
      <c r="E283" s="222">
        <v>77</v>
      </c>
      <c r="F283" s="222">
        <v>79</v>
      </c>
      <c r="G283" s="222">
        <v>82</v>
      </c>
      <c r="H283" s="222">
        <v>84</v>
      </c>
      <c r="I283" s="222">
        <v>82</v>
      </c>
      <c r="J283" s="222">
        <v>83</v>
      </c>
      <c r="K283" s="222">
        <v>76</v>
      </c>
      <c r="L283" s="166">
        <v>58</v>
      </c>
      <c r="M283" s="166">
        <v>30</v>
      </c>
      <c r="O283" s="254">
        <f t="shared" si="162"/>
        <v>40</v>
      </c>
      <c r="P283" s="291">
        <f>+L283</f>
        <v>58</v>
      </c>
      <c r="Q283" s="330"/>
      <c r="T283" s="329">
        <f>D283</f>
        <v>50</v>
      </c>
      <c r="V283" s="291">
        <f t="shared" si="164"/>
        <v>30</v>
      </c>
      <c r="W283" s="330" t="s">
        <v>86</v>
      </c>
      <c r="Y283" s="291">
        <f t="shared" ref="Y283:Y316" si="165">+C283</f>
        <v>51</v>
      </c>
      <c r="Z283"/>
      <c r="AD283" s="225">
        <v>2005</v>
      </c>
      <c r="AE283" s="225">
        <v>43</v>
      </c>
      <c r="AF283" s="225"/>
      <c r="AG283" s="225">
        <v>2014</v>
      </c>
      <c r="AH283" s="225">
        <v>86</v>
      </c>
      <c r="AI283" s="225"/>
      <c r="AJ283" s="225">
        <v>2004</v>
      </c>
      <c r="AK283" s="225">
        <v>45</v>
      </c>
    </row>
    <row r="284" spans="1:37">
      <c r="A284" s="1">
        <f t="shared" si="161"/>
        <v>1984</v>
      </c>
      <c r="B284" s="331">
        <v>45</v>
      </c>
      <c r="C284" s="166">
        <v>45</v>
      </c>
      <c r="D284" s="166">
        <v>52</v>
      </c>
      <c r="E284" s="222">
        <v>77</v>
      </c>
      <c r="F284" s="222">
        <v>83</v>
      </c>
      <c r="G284" s="222">
        <v>83</v>
      </c>
      <c r="H284" s="222">
        <v>81</v>
      </c>
      <c r="I284" s="222">
        <v>83</v>
      </c>
      <c r="J284" s="222">
        <v>83</v>
      </c>
      <c r="K284" s="222">
        <v>79</v>
      </c>
      <c r="L284" s="166">
        <v>58</v>
      </c>
      <c r="M284" s="166">
        <v>44</v>
      </c>
      <c r="O284" s="254">
        <f t="shared" si="162"/>
        <v>39</v>
      </c>
      <c r="P284" s="291">
        <f>+L284</f>
        <v>58</v>
      </c>
      <c r="Q284" s="330"/>
      <c r="S284" s="225">
        <f>D284</f>
        <v>52</v>
      </c>
      <c r="T284" s="330"/>
      <c r="V284" s="291">
        <f t="shared" si="164"/>
        <v>44</v>
      </c>
      <c r="W284" s="330" t="s">
        <v>86</v>
      </c>
      <c r="Y284" s="291">
        <f t="shared" si="165"/>
        <v>45</v>
      </c>
      <c r="Z284"/>
      <c r="AD284" s="225">
        <v>1996</v>
      </c>
      <c r="AE284" s="225">
        <v>44</v>
      </c>
      <c r="AF284" s="225"/>
      <c r="AG284" s="225">
        <v>2015</v>
      </c>
      <c r="AH284" s="225">
        <v>86</v>
      </c>
      <c r="AI284" s="225"/>
      <c r="AJ284" s="225">
        <v>1973</v>
      </c>
      <c r="AK284" s="225">
        <v>47</v>
      </c>
    </row>
    <row r="285" spans="1:37">
      <c r="A285" s="1">
        <f t="shared" si="161"/>
        <v>1985</v>
      </c>
      <c r="B285" s="331">
        <v>36</v>
      </c>
      <c r="C285" s="166">
        <v>51</v>
      </c>
      <c r="D285" s="166">
        <v>58</v>
      </c>
      <c r="E285" s="222">
        <v>76</v>
      </c>
      <c r="F285" s="222">
        <v>84</v>
      </c>
      <c r="G285" s="222">
        <v>86</v>
      </c>
      <c r="H285" s="222">
        <v>85</v>
      </c>
      <c r="I285" s="222">
        <v>82</v>
      </c>
      <c r="J285" s="222">
        <v>82</v>
      </c>
      <c r="K285" s="222">
        <v>80</v>
      </c>
      <c r="L285" s="222">
        <v>76</v>
      </c>
      <c r="M285" s="166">
        <v>45</v>
      </c>
      <c r="O285" s="254">
        <f t="shared" si="162"/>
        <v>38</v>
      </c>
      <c r="Q285" s="304">
        <f t="shared" ref="Q285:Q290" si="166">L285</f>
        <v>76</v>
      </c>
      <c r="S285" s="225">
        <f>D285</f>
        <v>58</v>
      </c>
      <c r="T285" s="330"/>
      <c r="V285" s="291">
        <f t="shared" si="164"/>
        <v>45</v>
      </c>
      <c r="W285" s="330" t="s">
        <v>86</v>
      </c>
      <c r="Y285" s="291">
        <f t="shared" si="165"/>
        <v>51</v>
      </c>
      <c r="Z285"/>
      <c r="AD285" s="225">
        <v>1999</v>
      </c>
      <c r="AE285" s="225">
        <v>44</v>
      </c>
      <c r="AF285" s="225"/>
      <c r="AG285" s="225">
        <v>2016</v>
      </c>
      <c r="AH285" s="225">
        <v>86</v>
      </c>
      <c r="AI285" s="225"/>
      <c r="AJ285" s="225">
        <v>1982</v>
      </c>
      <c r="AK285" s="225">
        <v>47</v>
      </c>
    </row>
    <row r="286" spans="1:37">
      <c r="A286" s="1">
        <f t="shared" si="161"/>
        <v>1986</v>
      </c>
      <c r="B286" s="331">
        <v>36</v>
      </c>
      <c r="C286" s="166">
        <v>55</v>
      </c>
      <c r="D286" s="166">
        <v>60</v>
      </c>
      <c r="E286" s="222">
        <v>75</v>
      </c>
      <c r="F286" s="222">
        <v>82</v>
      </c>
      <c r="G286" s="222">
        <v>81</v>
      </c>
      <c r="H286" s="222">
        <v>85</v>
      </c>
      <c r="I286" s="222">
        <v>82</v>
      </c>
      <c r="J286" s="222">
        <v>83</v>
      </c>
      <c r="K286" s="222">
        <v>83</v>
      </c>
      <c r="L286" s="222">
        <v>78</v>
      </c>
      <c r="M286" s="222">
        <v>75</v>
      </c>
      <c r="O286" s="254">
        <f t="shared" si="162"/>
        <v>37</v>
      </c>
      <c r="Q286" s="304">
        <f t="shared" si="166"/>
        <v>78</v>
      </c>
      <c r="S286" s="225">
        <f>D286</f>
        <v>60</v>
      </c>
      <c r="T286" s="330"/>
      <c r="V286" s="225" t="s">
        <v>86</v>
      </c>
      <c r="W286" s="304">
        <f>M286</f>
        <v>75</v>
      </c>
      <c r="Y286" s="291">
        <f t="shared" si="165"/>
        <v>55</v>
      </c>
      <c r="Z286"/>
      <c r="AD286" s="225">
        <v>2012</v>
      </c>
      <c r="AE286" s="225">
        <v>44</v>
      </c>
      <c r="AF286" s="225"/>
      <c r="AG286" s="225">
        <v>2017</v>
      </c>
      <c r="AH286" s="225">
        <v>86</v>
      </c>
      <c r="AI286" s="225"/>
      <c r="AJ286" s="225">
        <v>2000</v>
      </c>
      <c r="AK286" s="225">
        <v>47</v>
      </c>
    </row>
    <row r="287" spans="1:37">
      <c r="A287" s="1">
        <f t="shared" si="161"/>
        <v>1987</v>
      </c>
      <c r="B287" s="331">
        <v>49</v>
      </c>
      <c r="C287" s="166">
        <v>49</v>
      </c>
      <c r="D287" s="332">
        <v>56</v>
      </c>
      <c r="E287" s="166">
        <v>55</v>
      </c>
      <c r="F287" s="222">
        <v>79</v>
      </c>
      <c r="G287" s="222">
        <v>84</v>
      </c>
      <c r="H287" s="222">
        <v>83</v>
      </c>
      <c r="I287" s="222">
        <v>86</v>
      </c>
      <c r="J287" s="222">
        <v>82</v>
      </c>
      <c r="K287" s="222">
        <v>76</v>
      </c>
      <c r="L287" s="222">
        <v>74</v>
      </c>
      <c r="M287" s="166">
        <v>52</v>
      </c>
      <c r="O287" s="254">
        <f t="shared" si="162"/>
        <v>36</v>
      </c>
      <c r="Q287" s="304">
        <f t="shared" si="166"/>
        <v>74</v>
      </c>
      <c r="T287" s="329">
        <f>D287</f>
        <v>56</v>
      </c>
      <c r="V287" s="225">
        <f>IF(M212&lt;1200,M287,0)</f>
        <v>52</v>
      </c>
      <c r="W287" s="330" t="s">
        <v>86</v>
      </c>
      <c r="Y287" s="291">
        <f t="shared" si="165"/>
        <v>49</v>
      </c>
      <c r="Z287"/>
      <c r="AD287" s="225">
        <v>1973</v>
      </c>
      <c r="AE287" s="225">
        <v>45</v>
      </c>
      <c r="AF287" s="225"/>
      <c r="AG287" s="225">
        <v>2021</v>
      </c>
      <c r="AH287" s="291">
        <v>86</v>
      </c>
      <c r="AI287" s="225"/>
      <c r="AJ287" s="225">
        <v>2007</v>
      </c>
      <c r="AK287" s="225">
        <v>47</v>
      </c>
    </row>
    <row r="288" spans="1:37">
      <c r="A288" s="1">
        <f t="shared" si="161"/>
        <v>1988</v>
      </c>
      <c r="B288" s="331">
        <v>46</v>
      </c>
      <c r="C288" s="166">
        <v>52</v>
      </c>
      <c r="D288" s="166">
        <v>48</v>
      </c>
      <c r="E288" s="222">
        <v>76</v>
      </c>
      <c r="F288" s="222">
        <v>82</v>
      </c>
      <c r="G288" s="222">
        <v>83</v>
      </c>
      <c r="H288" s="222">
        <v>86</v>
      </c>
      <c r="I288" s="222">
        <v>85</v>
      </c>
      <c r="J288" s="222">
        <v>82</v>
      </c>
      <c r="K288" s="222">
        <v>77</v>
      </c>
      <c r="L288" s="222">
        <v>75</v>
      </c>
      <c r="M288" s="166">
        <v>49</v>
      </c>
      <c r="O288" s="254">
        <f t="shared" si="162"/>
        <v>35</v>
      </c>
      <c r="Q288" s="304">
        <f t="shared" si="166"/>
        <v>75</v>
      </c>
      <c r="S288" s="225">
        <f>D288</f>
        <v>48</v>
      </c>
      <c r="T288" s="330"/>
      <c r="V288" s="225">
        <f>IF(M213&lt;1200,M288,0)</f>
        <v>49</v>
      </c>
      <c r="W288" s="330" t="s">
        <v>86</v>
      </c>
      <c r="Y288" s="291">
        <f t="shared" si="165"/>
        <v>52</v>
      </c>
      <c r="Z288"/>
      <c r="AD288" s="225">
        <v>1976</v>
      </c>
      <c r="AE288" s="225">
        <v>45</v>
      </c>
      <c r="AF288" s="225"/>
      <c r="AG288" s="225">
        <v>1975</v>
      </c>
      <c r="AH288" s="225">
        <v>85</v>
      </c>
      <c r="AI288" s="225"/>
      <c r="AJ288" s="225">
        <v>1980</v>
      </c>
      <c r="AK288" s="225">
        <v>48</v>
      </c>
    </row>
    <row r="289" spans="1:37">
      <c r="A289" s="1">
        <f t="shared" si="161"/>
        <v>1989</v>
      </c>
      <c r="B289" s="331">
        <v>55</v>
      </c>
      <c r="C289" s="166">
        <v>41</v>
      </c>
      <c r="D289" s="166">
        <v>49</v>
      </c>
      <c r="E289" s="222">
        <v>74</v>
      </c>
      <c r="F289" s="222">
        <v>82</v>
      </c>
      <c r="G289" s="222">
        <v>85</v>
      </c>
      <c r="H289" s="222">
        <v>85</v>
      </c>
      <c r="I289" s="222">
        <v>84</v>
      </c>
      <c r="J289" s="222">
        <v>82</v>
      </c>
      <c r="K289" s="222">
        <v>79</v>
      </c>
      <c r="L289" s="222">
        <v>72</v>
      </c>
      <c r="M289" s="332">
        <v>35</v>
      </c>
      <c r="O289" s="254">
        <f t="shared" si="162"/>
        <v>34</v>
      </c>
      <c r="Q289" s="304">
        <f t="shared" si="166"/>
        <v>72</v>
      </c>
      <c r="S289" s="225">
        <f>D289</f>
        <v>49</v>
      </c>
      <c r="T289" s="330"/>
      <c r="V289" s="291" t="s">
        <v>86</v>
      </c>
      <c r="W289" s="329">
        <f>M289</f>
        <v>35</v>
      </c>
      <c r="Y289" s="291">
        <f t="shared" si="165"/>
        <v>41</v>
      </c>
      <c r="Z289"/>
      <c r="AD289" s="225">
        <v>1984</v>
      </c>
      <c r="AE289" s="225">
        <v>45</v>
      </c>
      <c r="AF289" s="225"/>
      <c r="AG289" s="225">
        <v>1988</v>
      </c>
      <c r="AH289" s="225">
        <v>85</v>
      </c>
      <c r="AI289" s="225"/>
      <c r="AJ289" s="225">
        <v>2005</v>
      </c>
      <c r="AK289" s="225">
        <v>48</v>
      </c>
    </row>
    <row r="290" spans="1:37">
      <c r="A290" s="1">
        <f t="shared" si="161"/>
        <v>1990</v>
      </c>
      <c r="B290" s="331">
        <v>49</v>
      </c>
      <c r="C290" s="166">
        <v>60</v>
      </c>
      <c r="D290" s="222">
        <v>77</v>
      </c>
      <c r="E290" s="222">
        <v>78</v>
      </c>
      <c r="F290" s="222">
        <v>83</v>
      </c>
      <c r="G290" s="222">
        <v>83</v>
      </c>
      <c r="H290" s="222">
        <v>82</v>
      </c>
      <c r="I290" s="222">
        <v>84</v>
      </c>
      <c r="J290" s="222">
        <v>84</v>
      </c>
      <c r="K290" s="222">
        <v>83</v>
      </c>
      <c r="L290" s="222">
        <v>77</v>
      </c>
      <c r="M290" s="166">
        <v>54</v>
      </c>
      <c r="O290" s="254">
        <f t="shared" si="162"/>
        <v>33</v>
      </c>
      <c r="Q290" s="304">
        <f t="shared" si="166"/>
        <v>77</v>
      </c>
      <c r="T290" s="304">
        <f>D290</f>
        <v>77</v>
      </c>
      <c r="V290" s="225">
        <f>IF(M215&lt;1200,M290,0)</f>
        <v>54</v>
      </c>
      <c r="W290" s="330" t="s">
        <v>86</v>
      </c>
      <c r="Y290" s="291">
        <f t="shared" si="165"/>
        <v>60</v>
      </c>
      <c r="Z290"/>
      <c r="AD290" s="225">
        <v>2000</v>
      </c>
      <c r="AE290" s="225">
        <v>45</v>
      </c>
      <c r="AF290" s="225"/>
      <c r="AG290" s="225">
        <v>2000</v>
      </c>
      <c r="AH290" s="225">
        <v>85</v>
      </c>
      <c r="AI290" s="225"/>
      <c r="AJ290" s="225">
        <v>1974</v>
      </c>
      <c r="AK290" s="225">
        <v>49</v>
      </c>
    </row>
    <row r="291" spans="1:37">
      <c r="A291" s="1">
        <f t="shared" si="161"/>
        <v>1991</v>
      </c>
      <c r="B291" s="331">
        <v>54</v>
      </c>
      <c r="C291" s="166">
        <v>42</v>
      </c>
      <c r="D291" s="166">
        <v>54</v>
      </c>
      <c r="E291" s="222">
        <v>83</v>
      </c>
      <c r="F291" s="222">
        <v>82</v>
      </c>
      <c r="G291" s="222">
        <v>82</v>
      </c>
      <c r="H291" s="222">
        <v>85</v>
      </c>
      <c r="I291" s="222">
        <v>84</v>
      </c>
      <c r="J291" s="222">
        <v>84</v>
      </c>
      <c r="K291" s="222">
        <v>82</v>
      </c>
      <c r="L291" s="166">
        <v>52</v>
      </c>
      <c r="M291" s="166">
        <v>54</v>
      </c>
      <c r="O291" s="254">
        <f t="shared" si="162"/>
        <v>32</v>
      </c>
      <c r="P291" s="291">
        <f>+L291</f>
        <v>52</v>
      </c>
      <c r="Q291" s="330"/>
      <c r="S291" s="225">
        <f>D291</f>
        <v>54</v>
      </c>
      <c r="T291" s="330"/>
      <c r="V291" s="225">
        <f>IF(M216&lt;1200,M291,0)</f>
        <v>54</v>
      </c>
      <c r="W291" s="330" t="s">
        <v>86</v>
      </c>
      <c r="Y291" s="291">
        <f t="shared" si="165"/>
        <v>42</v>
      </c>
      <c r="Z291"/>
      <c r="AD291" s="225">
        <v>1988</v>
      </c>
      <c r="AE291" s="225">
        <v>46</v>
      </c>
      <c r="AF291" s="225"/>
      <c r="AG291" s="225">
        <v>2009</v>
      </c>
      <c r="AH291" s="225">
        <v>85</v>
      </c>
      <c r="AI291" s="225"/>
      <c r="AJ291" s="225">
        <v>1988</v>
      </c>
      <c r="AK291" s="225">
        <v>49</v>
      </c>
    </row>
    <row r="292" spans="1:37">
      <c r="A292" s="1">
        <f t="shared" si="161"/>
        <v>1992</v>
      </c>
      <c r="B292" s="331">
        <v>48</v>
      </c>
      <c r="C292" s="166">
        <v>51</v>
      </c>
      <c r="D292" s="332">
        <v>50</v>
      </c>
      <c r="E292" s="222">
        <v>76</v>
      </c>
      <c r="F292" s="222">
        <v>78</v>
      </c>
      <c r="G292" s="222">
        <v>84</v>
      </c>
      <c r="H292" s="222">
        <v>85</v>
      </c>
      <c r="I292" s="222">
        <v>84</v>
      </c>
      <c r="J292" s="222">
        <v>82</v>
      </c>
      <c r="K292" s="222">
        <v>77</v>
      </c>
      <c r="L292" s="222">
        <v>77</v>
      </c>
      <c r="M292" s="166">
        <v>53</v>
      </c>
      <c r="O292" s="254">
        <f t="shared" si="162"/>
        <v>31</v>
      </c>
      <c r="Q292" s="304">
        <f t="shared" ref="Q292:Q299" si="167">L292</f>
        <v>77</v>
      </c>
      <c r="T292" s="329">
        <f>D292</f>
        <v>50</v>
      </c>
      <c r="V292" s="225">
        <f>IF(M217&lt;1200,M292,0)</f>
        <v>53</v>
      </c>
      <c r="W292" s="330" t="s">
        <v>86</v>
      </c>
      <c r="Y292" s="291">
        <f t="shared" si="165"/>
        <v>51</v>
      </c>
      <c r="Z292"/>
      <c r="AD292" s="225">
        <v>1997</v>
      </c>
      <c r="AE292" s="225">
        <v>46</v>
      </c>
      <c r="AF292" s="225"/>
      <c r="AG292" s="225">
        <v>2012</v>
      </c>
      <c r="AH292" s="225">
        <v>85</v>
      </c>
      <c r="AI292" s="225"/>
      <c r="AJ292" s="225">
        <v>1976</v>
      </c>
      <c r="AK292" s="225">
        <v>50</v>
      </c>
    </row>
    <row r="293" spans="1:37">
      <c r="A293" s="1">
        <f t="shared" si="161"/>
        <v>1993</v>
      </c>
      <c r="B293" s="331">
        <v>55</v>
      </c>
      <c r="C293" s="166">
        <v>48</v>
      </c>
      <c r="D293" s="166">
        <v>47</v>
      </c>
      <c r="E293" s="222">
        <v>71</v>
      </c>
      <c r="F293" s="222">
        <v>75</v>
      </c>
      <c r="G293" s="222">
        <v>85</v>
      </c>
      <c r="H293" s="222">
        <v>86</v>
      </c>
      <c r="I293" s="222">
        <v>86</v>
      </c>
      <c r="J293" s="222">
        <v>83</v>
      </c>
      <c r="K293" s="222">
        <v>80</v>
      </c>
      <c r="L293" s="222">
        <v>78</v>
      </c>
      <c r="M293" s="166">
        <v>54</v>
      </c>
      <c r="O293" s="254">
        <f t="shared" si="162"/>
        <v>30</v>
      </c>
      <c r="Q293" s="304">
        <f t="shared" si="167"/>
        <v>78</v>
      </c>
      <c r="S293" s="225">
        <f>D293</f>
        <v>47</v>
      </c>
      <c r="T293" s="330"/>
      <c r="V293" s="225">
        <f>IF(M218&lt;1200,M293,0)</f>
        <v>54</v>
      </c>
      <c r="W293" s="330" t="s">
        <v>86</v>
      </c>
      <c r="Y293" s="291">
        <f t="shared" si="165"/>
        <v>48</v>
      </c>
      <c r="Z293"/>
      <c r="AD293" s="225">
        <v>2009</v>
      </c>
      <c r="AE293" s="225">
        <v>46</v>
      </c>
      <c r="AF293" s="225"/>
      <c r="AG293" s="225">
        <v>2013</v>
      </c>
      <c r="AH293" s="225">
        <v>85</v>
      </c>
      <c r="AI293" s="225"/>
      <c r="AJ293" s="225">
        <v>1995</v>
      </c>
      <c r="AK293" s="225">
        <v>50</v>
      </c>
    </row>
    <row r="294" spans="1:37">
      <c r="A294" s="1">
        <f t="shared" si="161"/>
        <v>1994</v>
      </c>
      <c r="B294" s="331">
        <v>55</v>
      </c>
      <c r="C294" s="166">
        <v>49</v>
      </c>
      <c r="D294" s="222">
        <v>80</v>
      </c>
      <c r="E294" s="222">
        <v>76</v>
      </c>
      <c r="F294" s="222">
        <v>81</v>
      </c>
      <c r="G294" s="222">
        <v>84</v>
      </c>
      <c r="H294" s="222">
        <v>82</v>
      </c>
      <c r="I294" s="222">
        <v>82</v>
      </c>
      <c r="J294" s="222">
        <v>82</v>
      </c>
      <c r="K294" s="222">
        <v>79</v>
      </c>
      <c r="L294" s="222">
        <v>76</v>
      </c>
      <c r="M294" s="222">
        <v>72</v>
      </c>
      <c r="O294" s="254">
        <f t="shared" si="162"/>
        <v>29</v>
      </c>
      <c r="Q294" s="304">
        <f t="shared" si="167"/>
        <v>76</v>
      </c>
      <c r="T294" s="304">
        <f>D294</f>
        <v>80</v>
      </c>
      <c r="V294" s="225" t="s">
        <v>86</v>
      </c>
      <c r="W294" s="304">
        <f>M294</f>
        <v>72</v>
      </c>
      <c r="Y294" s="291">
        <f t="shared" si="165"/>
        <v>49</v>
      </c>
      <c r="Z294"/>
      <c r="AD294" s="225">
        <v>1979</v>
      </c>
      <c r="AE294" s="225">
        <v>47</v>
      </c>
      <c r="AF294" s="225"/>
      <c r="AG294" s="225">
        <v>2019</v>
      </c>
      <c r="AH294" s="225">
        <v>85</v>
      </c>
      <c r="AI294" s="225"/>
      <c r="AJ294" s="225">
        <v>2003</v>
      </c>
      <c r="AK294" s="225">
        <v>50</v>
      </c>
    </row>
    <row r="295" spans="1:37">
      <c r="A295" s="1">
        <f t="shared" si="161"/>
        <v>1995</v>
      </c>
      <c r="B295" s="331">
        <v>48</v>
      </c>
      <c r="C295" s="166">
        <v>41</v>
      </c>
      <c r="D295" s="166">
        <v>57</v>
      </c>
      <c r="E295" s="222">
        <v>79</v>
      </c>
      <c r="F295" s="222">
        <v>84</v>
      </c>
      <c r="G295" s="222">
        <v>83</v>
      </c>
      <c r="H295" s="222">
        <v>85</v>
      </c>
      <c r="I295" s="222">
        <v>84</v>
      </c>
      <c r="J295" s="222">
        <v>84</v>
      </c>
      <c r="K295" s="222">
        <v>80</v>
      </c>
      <c r="L295" s="222">
        <v>78</v>
      </c>
      <c r="M295" s="166">
        <v>50</v>
      </c>
      <c r="O295" s="254">
        <f t="shared" si="162"/>
        <v>28</v>
      </c>
      <c r="Q295" s="304">
        <f t="shared" si="167"/>
        <v>78</v>
      </c>
      <c r="S295" s="225">
        <f>D295</f>
        <v>57</v>
      </c>
      <c r="T295" s="330"/>
      <c r="V295" s="225">
        <f>IF(M220&lt;1200,M295,0)</f>
        <v>50</v>
      </c>
      <c r="W295" s="330" t="s">
        <v>86</v>
      </c>
      <c r="Y295" s="291">
        <f t="shared" si="165"/>
        <v>41</v>
      </c>
      <c r="Z295"/>
      <c r="AD295" s="225">
        <v>2001</v>
      </c>
      <c r="AE295" s="225">
        <v>47</v>
      </c>
      <c r="AF295" s="225"/>
      <c r="AG295" s="225">
        <v>1989</v>
      </c>
      <c r="AH295" s="225">
        <v>84</v>
      </c>
      <c r="AI295" s="225"/>
      <c r="AJ295" s="225">
        <v>1997</v>
      </c>
      <c r="AK295" s="225">
        <v>51</v>
      </c>
    </row>
    <row r="296" spans="1:37">
      <c r="A296" s="1">
        <f t="shared" si="161"/>
        <v>1996</v>
      </c>
      <c r="B296" s="331">
        <v>44</v>
      </c>
      <c r="C296" s="166">
        <v>38</v>
      </c>
      <c r="D296" s="166">
        <v>43</v>
      </c>
      <c r="E296" s="222">
        <v>79</v>
      </c>
      <c r="F296" s="222">
        <v>82</v>
      </c>
      <c r="G296" s="222">
        <v>84</v>
      </c>
      <c r="H296" s="222">
        <v>86</v>
      </c>
      <c r="I296" s="222">
        <v>84</v>
      </c>
      <c r="J296" s="222">
        <v>84</v>
      </c>
      <c r="K296" s="222">
        <v>81</v>
      </c>
      <c r="L296" s="222">
        <v>76</v>
      </c>
      <c r="M296" s="166">
        <v>38</v>
      </c>
      <c r="O296" s="254">
        <f t="shared" si="162"/>
        <v>27</v>
      </c>
      <c r="Q296" s="304">
        <f t="shared" si="167"/>
        <v>76</v>
      </c>
      <c r="S296" s="225">
        <f>D296</f>
        <v>43</v>
      </c>
      <c r="T296" s="330"/>
      <c r="V296" s="225">
        <f>IF(M221&lt;1200,M296,0)</f>
        <v>38</v>
      </c>
      <c r="W296" s="330" t="s">
        <v>86</v>
      </c>
      <c r="Y296" s="291">
        <f t="shared" si="165"/>
        <v>38</v>
      </c>
      <c r="Z296"/>
      <c r="AD296" s="225">
        <v>1975</v>
      </c>
      <c r="AE296" s="225">
        <v>48</v>
      </c>
      <c r="AF296" s="225"/>
      <c r="AG296" s="225">
        <v>1990</v>
      </c>
      <c r="AH296" s="225">
        <v>84</v>
      </c>
      <c r="AI296" s="225"/>
      <c r="AJ296" s="225">
        <v>2002</v>
      </c>
      <c r="AK296" s="225">
        <v>51</v>
      </c>
    </row>
    <row r="297" spans="1:37" ht="15.75">
      <c r="A297" s="1">
        <f t="shared" si="161"/>
        <v>1997</v>
      </c>
      <c r="B297" s="331">
        <v>46</v>
      </c>
      <c r="C297" s="166">
        <v>58</v>
      </c>
      <c r="D297" s="222">
        <v>76</v>
      </c>
      <c r="E297" s="222">
        <v>76</v>
      </c>
      <c r="F297" s="222">
        <v>82</v>
      </c>
      <c r="G297" s="222">
        <v>85</v>
      </c>
      <c r="H297" s="222">
        <v>86</v>
      </c>
      <c r="I297" s="222">
        <v>84</v>
      </c>
      <c r="J297" s="222">
        <v>82</v>
      </c>
      <c r="K297" s="222">
        <v>80</v>
      </c>
      <c r="L297" s="38">
        <v>77</v>
      </c>
      <c r="M297" s="332">
        <v>51</v>
      </c>
      <c r="O297" s="254">
        <f t="shared" si="162"/>
        <v>26</v>
      </c>
      <c r="P297" s="291">
        <f>+L297</f>
        <v>77</v>
      </c>
      <c r="Q297" s="329">
        <f t="shared" si="167"/>
        <v>77</v>
      </c>
      <c r="T297" s="304">
        <f>D297</f>
        <v>76</v>
      </c>
      <c r="V297" s="291" t="s">
        <v>86</v>
      </c>
      <c r="W297" s="329">
        <f>M297</f>
        <v>51</v>
      </c>
      <c r="Y297" s="291">
        <f t="shared" si="165"/>
        <v>58</v>
      </c>
      <c r="Z297"/>
      <c r="AD297" s="225">
        <v>1978</v>
      </c>
      <c r="AE297" s="225">
        <v>48</v>
      </c>
      <c r="AF297" s="225"/>
      <c r="AG297" s="225">
        <v>1991</v>
      </c>
      <c r="AH297" s="225">
        <v>84</v>
      </c>
      <c r="AI297" s="225"/>
      <c r="AJ297" s="225">
        <v>1987</v>
      </c>
      <c r="AK297" s="225">
        <v>52</v>
      </c>
    </row>
    <row r="298" spans="1:37">
      <c r="A298" s="1">
        <f t="shared" si="161"/>
        <v>1998</v>
      </c>
      <c r="B298" s="331">
        <v>55</v>
      </c>
      <c r="C298" s="166">
        <v>57</v>
      </c>
      <c r="D298" s="166">
        <v>50</v>
      </c>
      <c r="E298" s="222">
        <v>76</v>
      </c>
      <c r="F298" s="222">
        <v>80</v>
      </c>
      <c r="G298" s="222">
        <v>85</v>
      </c>
      <c r="H298" s="222">
        <v>88</v>
      </c>
      <c r="I298" s="222">
        <v>86</v>
      </c>
      <c r="J298" s="222">
        <v>83</v>
      </c>
      <c r="K298" s="222">
        <v>81</v>
      </c>
      <c r="L298" s="222">
        <v>74</v>
      </c>
      <c r="M298" s="166">
        <v>57</v>
      </c>
      <c r="O298" s="254">
        <f t="shared" si="162"/>
        <v>25</v>
      </c>
      <c r="Q298" s="304">
        <f t="shared" si="167"/>
        <v>74</v>
      </c>
      <c r="S298" s="225">
        <f>D298</f>
        <v>50</v>
      </c>
      <c r="T298" s="330"/>
      <c r="V298" s="225">
        <f>IF(M223&lt;1200,M298,0)</f>
        <v>57</v>
      </c>
      <c r="W298" s="330" t="s">
        <v>86</v>
      </c>
      <c r="Y298" s="291">
        <f t="shared" si="165"/>
        <v>57</v>
      </c>
      <c r="Z298"/>
      <c r="AD298" s="225">
        <v>1992</v>
      </c>
      <c r="AE298" s="225">
        <v>48</v>
      </c>
      <c r="AF298" s="225"/>
      <c r="AG298" s="225">
        <v>1992</v>
      </c>
      <c r="AH298" s="225">
        <v>84</v>
      </c>
      <c r="AI298" s="225"/>
      <c r="AJ298" s="225">
        <v>1992</v>
      </c>
      <c r="AK298" s="225">
        <v>53</v>
      </c>
    </row>
    <row r="299" spans="1:37" ht="15.75">
      <c r="A299" s="1">
        <f t="shared" si="161"/>
        <v>1999</v>
      </c>
      <c r="B299" s="331">
        <v>44</v>
      </c>
      <c r="C299" s="166">
        <v>51</v>
      </c>
      <c r="D299" s="166">
        <v>59</v>
      </c>
      <c r="E299" s="222">
        <v>78</v>
      </c>
      <c r="F299" s="222">
        <v>81</v>
      </c>
      <c r="G299" s="222">
        <v>82</v>
      </c>
      <c r="H299" s="222">
        <v>86</v>
      </c>
      <c r="I299" s="222">
        <v>87</v>
      </c>
      <c r="J299" s="222">
        <v>84</v>
      </c>
      <c r="K299" s="222">
        <v>79</v>
      </c>
      <c r="L299" s="222">
        <v>77</v>
      </c>
      <c r="M299" s="38">
        <v>53</v>
      </c>
      <c r="O299" s="254">
        <f t="shared" si="162"/>
        <v>24</v>
      </c>
      <c r="Q299" s="304">
        <f t="shared" si="167"/>
        <v>77</v>
      </c>
      <c r="S299" s="225">
        <f>D299</f>
        <v>59</v>
      </c>
      <c r="T299" s="330"/>
      <c r="V299" s="225">
        <f>IF(M224&lt;1200,M299,0)</f>
        <v>53</v>
      </c>
      <c r="W299" s="301" t="s">
        <v>86</v>
      </c>
      <c r="Y299" s="291">
        <f t="shared" si="165"/>
        <v>51</v>
      </c>
      <c r="Z299"/>
      <c r="AD299" s="225">
        <v>1995</v>
      </c>
      <c r="AE299" s="225">
        <v>48</v>
      </c>
      <c r="AF299" s="225"/>
      <c r="AG299" s="225">
        <v>1995</v>
      </c>
      <c r="AH299" s="225">
        <v>84</v>
      </c>
      <c r="AI299" s="225"/>
      <c r="AJ299" s="225">
        <v>1999</v>
      </c>
      <c r="AK299" s="225">
        <v>53</v>
      </c>
    </row>
    <row r="300" spans="1:37">
      <c r="A300" s="1">
        <f t="shared" si="161"/>
        <v>2000</v>
      </c>
      <c r="B300" s="331">
        <v>45</v>
      </c>
      <c r="C300" s="166">
        <v>50</v>
      </c>
      <c r="D300" s="222">
        <v>77</v>
      </c>
      <c r="E300" s="222">
        <v>75</v>
      </c>
      <c r="F300" s="222">
        <v>84</v>
      </c>
      <c r="G300" s="222">
        <v>83</v>
      </c>
      <c r="H300" s="222">
        <v>85</v>
      </c>
      <c r="I300" s="222">
        <v>85</v>
      </c>
      <c r="J300" s="222">
        <v>81</v>
      </c>
      <c r="K300" s="222">
        <v>79</v>
      </c>
      <c r="L300" s="166">
        <v>51</v>
      </c>
      <c r="M300" s="166">
        <v>47</v>
      </c>
      <c r="O300" s="254">
        <f t="shared" si="162"/>
        <v>23</v>
      </c>
      <c r="P300" s="291">
        <f>+L300</f>
        <v>51</v>
      </c>
      <c r="Q300" s="330"/>
      <c r="T300" s="304">
        <f>D300</f>
        <v>77</v>
      </c>
      <c r="V300" s="225">
        <f>IF(M225&lt;1200,M300,0)</f>
        <v>47</v>
      </c>
      <c r="W300" s="330" t="s">
        <v>86</v>
      </c>
      <c r="Y300" s="291">
        <f t="shared" si="165"/>
        <v>50</v>
      </c>
      <c r="Z300"/>
      <c r="AD300" s="225">
        <v>2002</v>
      </c>
      <c r="AE300" s="225">
        <v>48</v>
      </c>
      <c r="AF300" s="225"/>
      <c r="AG300" s="225">
        <v>1996</v>
      </c>
      <c r="AH300" s="225">
        <v>84</v>
      </c>
      <c r="AI300" s="225"/>
      <c r="AJ300" s="225">
        <v>2017</v>
      </c>
      <c r="AK300" s="225">
        <v>53.416666666666664</v>
      </c>
    </row>
    <row r="301" spans="1:37">
      <c r="A301" s="1">
        <f t="shared" si="161"/>
        <v>2001</v>
      </c>
      <c r="B301" s="331">
        <v>47</v>
      </c>
      <c r="C301" s="166">
        <v>54</v>
      </c>
      <c r="D301" s="222">
        <v>71</v>
      </c>
      <c r="E301" s="222">
        <v>78</v>
      </c>
      <c r="F301" s="222">
        <v>81</v>
      </c>
      <c r="G301" s="222">
        <v>85</v>
      </c>
      <c r="H301" s="222">
        <v>84</v>
      </c>
      <c r="I301" s="222">
        <v>83</v>
      </c>
      <c r="J301" s="222">
        <v>83</v>
      </c>
      <c r="K301" s="222">
        <v>80</v>
      </c>
      <c r="L301" s="222">
        <v>76</v>
      </c>
      <c r="M301" s="222">
        <v>76</v>
      </c>
      <c r="O301" s="254">
        <f t="shared" si="162"/>
        <v>22</v>
      </c>
      <c r="Q301" s="304">
        <v>76</v>
      </c>
      <c r="T301" s="304">
        <v>71</v>
      </c>
      <c r="V301" s="225" t="s">
        <v>86</v>
      </c>
      <c r="W301" s="304">
        <f>M301</f>
        <v>76</v>
      </c>
      <c r="Y301" s="291">
        <f t="shared" si="165"/>
        <v>54</v>
      </c>
      <c r="Z301"/>
      <c r="AD301" s="225">
        <v>2020</v>
      </c>
      <c r="AE301" s="225">
        <v>48</v>
      </c>
      <c r="AF301" s="225"/>
      <c r="AG301" s="225">
        <v>1997</v>
      </c>
      <c r="AH301" s="225">
        <v>84</v>
      </c>
      <c r="AI301" s="225"/>
      <c r="AJ301" s="225">
        <v>1979</v>
      </c>
      <c r="AK301" s="225">
        <v>54</v>
      </c>
    </row>
    <row r="302" spans="1:37">
      <c r="A302" s="1">
        <f t="shared" si="161"/>
        <v>2002</v>
      </c>
      <c r="B302" s="331">
        <v>48</v>
      </c>
      <c r="C302" s="166">
        <v>45</v>
      </c>
      <c r="D302" s="166">
        <v>50</v>
      </c>
      <c r="E302" s="222">
        <v>79</v>
      </c>
      <c r="F302" s="222">
        <v>81</v>
      </c>
      <c r="G302" s="222">
        <v>83</v>
      </c>
      <c r="H302" s="222">
        <v>87</v>
      </c>
      <c r="I302" s="222">
        <v>84</v>
      </c>
      <c r="J302" s="222">
        <v>82</v>
      </c>
      <c r="K302" s="222">
        <v>83</v>
      </c>
      <c r="L302" s="222">
        <v>77</v>
      </c>
      <c r="M302" s="166">
        <v>51</v>
      </c>
      <c r="O302" s="254">
        <f t="shared" si="162"/>
        <v>21</v>
      </c>
      <c r="Q302" s="304">
        <v>77</v>
      </c>
      <c r="S302" s="330">
        <v>50</v>
      </c>
      <c r="V302" s="225">
        <f>M302</f>
        <v>51</v>
      </c>
      <c r="W302" s="330"/>
      <c r="Y302" s="291">
        <f t="shared" si="165"/>
        <v>45</v>
      </c>
      <c r="Z302"/>
      <c r="AD302" s="225">
        <v>1983</v>
      </c>
      <c r="AE302" s="225">
        <v>49</v>
      </c>
      <c r="AF302" s="225"/>
      <c r="AG302" s="225">
        <v>2002</v>
      </c>
      <c r="AH302" s="225">
        <v>84</v>
      </c>
      <c r="AI302" s="225"/>
      <c r="AJ302" s="225">
        <v>1990</v>
      </c>
      <c r="AK302" s="225">
        <v>54</v>
      </c>
    </row>
    <row r="303" spans="1:37">
      <c r="A303" s="1">
        <f t="shared" si="161"/>
        <v>2003</v>
      </c>
      <c r="B303" s="39">
        <v>37</v>
      </c>
      <c r="C303" s="40">
        <v>59</v>
      </c>
      <c r="D303" s="222">
        <v>79</v>
      </c>
      <c r="E303" s="222">
        <v>78</v>
      </c>
      <c r="F303" s="222">
        <v>82</v>
      </c>
      <c r="G303" s="222">
        <v>81</v>
      </c>
      <c r="H303" s="222">
        <v>83</v>
      </c>
      <c r="I303" s="222">
        <v>82</v>
      </c>
      <c r="J303" s="222">
        <v>82</v>
      </c>
      <c r="K303" s="222">
        <v>81</v>
      </c>
      <c r="L303" s="222">
        <v>78</v>
      </c>
      <c r="M303" s="166">
        <v>50</v>
      </c>
      <c r="O303" s="254">
        <f t="shared" si="162"/>
        <v>20</v>
      </c>
      <c r="Q303" s="304">
        <v>78</v>
      </c>
      <c r="T303" s="304">
        <v>79</v>
      </c>
      <c r="V303" s="225">
        <v>50</v>
      </c>
      <c r="Y303" s="291">
        <f t="shared" si="165"/>
        <v>59</v>
      </c>
      <c r="Z303"/>
      <c r="AD303" s="225">
        <v>1987</v>
      </c>
      <c r="AE303" s="225">
        <v>49</v>
      </c>
      <c r="AF303" s="225"/>
      <c r="AG303" s="225">
        <v>2018</v>
      </c>
      <c r="AH303" s="225">
        <v>84</v>
      </c>
      <c r="AI303" s="225"/>
      <c r="AJ303" s="225">
        <v>1991</v>
      </c>
      <c r="AK303" s="225">
        <v>54</v>
      </c>
    </row>
    <row r="304" spans="1:37">
      <c r="A304" s="254">
        <f t="shared" si="161"/>
        <v>2004</v>
      </c>
      <c r="B304" s="40">
        <v>54</v>
      </c>
      <c r="C304" s="40">
        <v>53</v>
      </c>
      <c r="D304" s="222">
        <v>73</v>
      </c>
      <c r="E304" s="222">
        <v>77</v>
      </c>
      <c r="F304" s="222">
        <v>81</v>
      </c>
      <c r="G304" s="222">
        <v>85</v>
      </c>
      <c r="H304" s="222">
        <v>85</v>
      </c>
      <c r="I304" s="222">
        <v>82</v>
      </c>
      <c r="J304" s="222">
        <v>80</v>
      </c>
      <c r="K304" s="222">
        <v>79</v>
      </c>
      <c r="L304" s="222">
        <v>77</v>
      </c>
      <c r="M304" s="166">
        <v>45</v>
      </c>
      <c r="O304" s="254">
        <f t="shared" si="162"/>
        <v>19</v>
      </c>
      <c r="Q304" s="304">
        <v>77</v>
      </c>
      <c r="T304" s="304">
        <v>73</v>
      </c>
      <c r="V304" s="225">
        <v>45</v>
      </c>
      <c r="Y304" s="291">
        <f t="shared" si="165"/>
        <v>53</v>
      </c>
      <c r="Z304"/>
      <c r="AD304" s="225">
        <v>1990</v>
      </c>
      <c r="AE304" s="225">
        <v>49</v>
      </c>
      <c r="AF304" s="225"/>
      <c r="AG304" s="225">
        <v>1976</v>
      </c>
      <c r="AH304" s="225">
        <v>83</v>
      </c>
      <c r="AI304" s="225"/>
      <c r="AJ304" s="225">
        <v>1993</v>
      </c>
      <c r="AK304" s="225">
        <v>54</v>
      </c>
    </row>
    <row r="305" spans="1:37">
      <c r="A305" s="254">
        <f t="shared" ref="A305:A323" si="168">A39</f>
        <v>2005</v>
      </c>
      <c r="B305" s="40">
        <v>43</v>
      </c>
      <c r="C305" s="40">
        <v>50</v>
      </c>
      <c r="D305" s="40">
        <v>50</v>
      </c>
      <c r="E305" s="222">
        <v>75</v>
      </c>
      <c r="F305" s="222">
        <v>82</v>
      </c>
      <c r="G305" s="222">
        <v>84</v>
      </c>
      <c r="H305" s="222">
        <v>84</v>
      </c>
      <c r="I305" s="222">
        <v>86</v>
      </c>
      <c r="J305" s="222">
        <v>84</v>
      </c>
      <c r="K305" s="222">
        <v>81</v>
      </c>
      <c r="L305" s="222">
        <v>76</v>
      </c>
      <c r="M305" s="166">
        <v>48</v>
      </c>
      <c r="O305" s="254">
        <f t="shared" si="162"/>
        <v>18</v>
      </c>
      <c r="Q305" s="304">
        <v>76</v>
      </c>
      <c r="S305" s="305">
        <v>50</v>
      </c>
      <c r="T305" s="329"/>
      <c r="V305" s="225">
        <v>48</v>
      </c>
      <c r="Y305" s="291">
        <f t="shared" si="165"/>
        <v>50</v>
      </c>
      <c r="Z305"/>
      <c r="AD305" s="225">
        <v>2007</v>
      </c>
      <c r="AE305" s="225">
        <v>49</v>
      </c>
      <c r="AF305" s="225"/>
      <c r="AG305" s="225">
        <v>1977</v>
      </c>
      <c r="AH305" s="225">
        <v>83</v>
      </c>
      <c r="AI305" s="225"/>
      <c r="AJ305" s="225">
        <v>1978</v>
      </c>
      <c r="AK305" s="225">
        <v>55</v>
      </c>
    </row>
    <row r="306" spans="1:37">
      <c r="A306" s="254">
        <f t="shared" si="168"/>
        <v>2006</v>
      </c>
      <c r="B306" s="40">
        <v>57</v>
      </c>
      <c r="C306" s="40">
        <v>48</v>
      </c>
      <c r="D306" s="222">
        <v>73</v>
      </c>
      <c r="E306" s="222">
        <v>77</v>
      </c>
      <c r="F306" s="222">
        <v>81</v>
      </c>
      <c r="G306" s="222">
        <v>83</v>
      </c>
      <c r="H306" s="222">
        <v>85</v>
      </c>
      <c r="I306" s="222">
        <v>86</v>
      </c>
      <c r="J306" s="222">
        <v>84</v>
      </c>
      <c r="K306" s="222">
        <v>81</v>
      </c>
      <c r="L306" s="222">
        <v>77</v>
      </c>
      <c r="M306" s="222">
        <v>73</v>
      </c>
      <c r="O306" s="254">
        <f t="shared" si="162"/>
        <v>17</v>
      </c>
      <c r="Q306" s="304">
        <v>77</v>
      </c>
      <c r="T306" s="304">
        <v>73</v>
      </c>
      <c r="W306" s="304">
        <v>73</v>
      </c>
      <c r="Y306" s="291">
        <f t="shared" si="165"/>
        <v>48</v>
      </c>
      <c r="Z306"/>
      <c r="AD306" s="225">
        <v>2014</v>
      </c>
      <c r="AE306" s="225">
        <v>49</v>
      </c>
      <c r="AF306" s="225"/>
      <c r="AG306" s="225">
        <v>1978</v>
      </c>
      <c r="AH306" s="225">
        <v>83</v>
      </c>
      <c r="AI306" s="225"/>
      <c r="AJ306" s="225">
        <v>2008</v>
      </c>
      <c r="AK306" s="225">
        <v>55</v>
      </c>
    </row>
    <row r="307" spans="1:37">
      <c r="A307" s="254">
        <f t="shared" si="168"/>
        <v>2007</v>
      </c>
      <c r="B307" s="40">
        <v>49</v>
      </c>
      <c r="C307" s="40">
        <v>50</v>
      </c>
      <c r="D307" s="222">
        <v>72</v>
      </c>
      <c r="E307" s="222">
        <v>77</v>
      </c>
      <c r="F307" s="222">
        <v>80</v>
      </c>
      <c r="G307" s="222">
        <v>83</v>
      </c>
      <c r="H307" s="222">
        <v>86</v>
      </c>
      <c r="I307" s="222">
        <v>87</v>
      </c>
      <c r="J307" s="222">
        <v>82</v>
      </c>
      <c r="K307" s="222">
        <v>83</v>
      </c>
      <c r="L307" s="222">
        <v>77</v>
      </c>
      <c r="M307" s="332">
        <v>47</v>
      </c>
      <c r="O307" s="254">
        <f t="shared" si="162"/>
        <v>16</v>
      </c>
      <c r="Q307" s="304">
        <v>77</v>
      </c>
      <c r="T307" s="304">
        <v>72</v>
      </c>
      <c r="V307" s="291">
        <v>47</v>
      </c>
      <c r="Y307" s="291">
        <f t="shared" si="165"/>
        <v>50</v>
      </c>
      <c r="Z307"/>
      <c r="AD307" s="225">
        <v>1980</v>
      </c>
      <c r="AE307" s="225">
        <v>52</v>
      </c>
      <c r="AF307" s="225"/>
      <c r="AG307" s="225">
        <v>1980</v>
      </c>
      <c r="AH307" s="225">
        <v>83</v>
      </c>
      <c r="AI307" s="225"/>
      <c r="AJ307" s="225">
        <v>2014</v>
      </c>
      <c r="AK307" s="225">
        <v>55</v>
      </c>
    </row>
    <row r="308" spans="1:37">
      <c r="A308" s="254">
        <f t="shared" si="168"/>
        <v>2008</v>
      </c>
      <c r="B308" s="40">
        <v>41</v>
      </c>
      <c r="C308" s="40">
        <v>49</v>
      </c>
      <c r="D308" s="222">
        <v>75</v>
      </c>
      <c r="E308" s="222">
        <v>75</v>
      </c>
      <c r="F308" s="222">
        <v>83</v>
      </c>
      <c r="G308" s="222">
        <v>86</v>
      </c>
      <c r="H308" s="222">
        <v>85</v>
      </c>
      <c r="I308" s="222">
        <v>83</v>
      </c>
      <c r="J308" s="222">
        <v>85</v>
      </c>
      <c r="K308" s="222">
        <v>79</v>
      </c>
      <c r="L308" s="222">
        <v>78</v>
      </c>
      <c r="M308" s="166">
        <v>55</v>
      </c>
      <c r="O308" s="254">
        <f t="shared" si="162"/>
        <v>15</v>
      </c>
      <c r="Q308" s="304">
        <v>78</v>
      </c>
      <c r="T308" s="304">
        <v>75</v>
      </c>
      <c r="V308" s="291">
        <v>55</v>
      </c>
      <c r="Y308" s="291">
        <f t="shared" si="165"/>
        <v>49</v>
      </c>
      <c r="Z308"/>
      <c r="AD308" s="225">
        <v>2016</v>
      </c>
      <c r="AE308" s="225">
        <v>53</v>
      </c>
      <c r="AF308" s="225"/>
      <c r="AG308" s="225">
        <v>1981</v>
      </c>
      <c r="AH308" s="225">
        <v>83</v>
      </c>
      <c r="AI308" s="225"/>
      <c r="AJ308" s="225">
        <v>1998</v>
      </c>
      <c r="AK308" s="225">
        <v>57</v>
      </c>
    </row>
    <row r="309" spans="1:37">
      <c r="A309" s="254">
        <f t="shared" si="168"/>
        <v>2009</v>
      </c>
      <c r="B309" s="40">
        <v>46</v>
      </c>
      <c r="C309" s="40">
        <v>49</v>
      </c>
      <c r="D309" s="40">
        <v>51</v>
      </c>
      <c r="E309" s="222">
        <v>77</v>
      </c>
      <c r="F309" s="222">
        <v>82</v>
      </c>
      <c r="G309" s="222">
        <v>88</v>
      </c>
      <c r="H309" s="222">
        <v>84</v>
      </c>
      <c r="I309" s="222">
        <v>85</v>
      </c>
      <c r="J309" s="222">
        <v>84</v>
      </c>
      <c r="K309" s="222">
        <v>85</v>
      </c>
      <c r="L309" s="222">
        <v>75</v>
      </c>
      <c r="M309" s="222">
        <v>73</v>
      </c>
      <c r="O309" s="254">
        <f t="shared" si="162"/>
        <v>14</v>
      </c>
      <c r="Q309" s="304">
        <v>75</v>
      </c>
      <c r="S309" s="305">
        <v>51</v>
      </c>
      <c r="W309" s="304">
        <v>73</v>
      </c>
      <c r="Y309" s="291">
        <f t="shared" si="165"/>
        <v>49</v>
      </c>
      <c r="Z309"/>
      <c r="AD309" s="225">
        <v>2017</v>
      </c>
      <c r="AE309" s="225">
        <v>53</v>
      </c>
      <c r="AF309" s="225"/>
      <c r="AG309" s="225">
        <v>1982</v>
      </c>
      <c r="AH309" s="225">
        <v>83</v>
      </c>
      <c r="AI309" s="225"/>
      <c r="AJ309" s="225">
        <v>2011</v>
      </c>
      <c r="AK309" s="225">
        <v>70</v>
      </c>
    </row>
    <row r="310" spans="1:37">
      <c r="A310" s="254">
        <f t="shared" si="168"/>
        <v>2010</v>
      </c>
      <c r="B310" s="40">
        <v>38</v>
      </c>
      <c r="C310" s="40">
        <v>49</v>
      </c>
      <c r="D310" s="40">
        <v>50</v>
      </c>
      <c r="E310" s="222">
        <v>75</v>
      </c>
      <c r="F310" s="222">
        <v>81</v>
      </c>
      <c r="G310" s="222">
        <v>87</v>
      </c>
      <c r="H310" s="222">
        <v>85</v>
      </c>
      <c r="I310" s="222">
        <v>86</v>
      </c>
      <c r="J310" s="222">
        <v>84</v>
      </c>
      <c r="K310" s="222">
        <v>80</v>
      </c>
      <c r="L310" s="222">
        <v>76</v>
      </c>
      <c r="M310" s="166">
        <v>44</v>
      </c>
      <c r="O310" s="254">
        <f t="shared" si="162"/>
        <v>13</v>
      </c>
      <c r="Q310" s="304">
        <v>76</v>
      </c>
      <c r="S310" s="305">
        <v>50</v>
      </c>
      <c r="V310" s="225">
        <v>44</v>
      </c>
      <c r="Y310" s="291">
        <f t="shared" si="165"/>
        <v>49</v>
      </c>
      <c r="Z310"/>
      <c r="AD310" s="225">
        <v>1991</v>
      </c>
      <c r="AE310" s="225">
        <v>54</v>
      </c>
      <c r="AF310" s="225"/>
      <c r="AG310" s="225">
        <v>1984</v>
      </c>
      <c r="AH310" s="225">
        <v>83</v>
      </c>
      <c r="AI310" s="225"/>
      <c r="AJ310" s="225">
        <v>2012</v>
      </c>
      <c r="AK310" s="225">
        <v>70</v>
      </c>
    </row>
    <row r="311" spans="1:37">
      <c r="A311" s="254">
        <f t="shared" si="168"/>
        <v>2011</v>
      </c>
      <c r="B311" s="40">
        <v>41</v>
      </c>
      <c r="C311" s="40">
        <v>55</v>
      </c>
      <c r="D311" s="222">
        <v>74</v>
      </c>
      <c r="E311" s="222">
        <v>81</v>
      </c>
      <c r="F311" s="222">
        <v>83</v>
      </c>
      <c r="G311" s="222">
        <v>87</v>
      </c>
      <c r="H311" s="222">
        <v>86</v>
      </c>
      <c r="I311" s="222">
        <v>87</v>
      </c>
      <c r="J311" s="222">
        <v>83</v>
      </c>
      <c r="K311" s="222">
        <v>79</v>
      </c>
      <c r="L311" s="222">
        <v>76</v>
      </c>
      <c r="M311" s="222">
        <v>70</v>
      </c>
      <c r="O311" s="254">
        <f t="shared" si="162"/>
        <v>12</v>
      </c>
      <c r="Q311" s="304">
        <v>76</v>
      </c>
      <c r="T311" s="304">
        <v>74</v>
      </c>
      <c r="W311" s="304">
        <v>70</v>
      </c>
      <c r="Y311" s="291">
        <f t="shared" si="165"/>
        <v>55</v>
      </c>
      <c r="Z311"/>
      <c r="AD311" s="225">
        <v>2004</v>
      </c>
      <c r="AE311" s="225">
        <v>54</v>
      </c>
      <c r="AF311" s="225"/>
      <c r="AG311" s="225">
        <v>2001</v>
      </c>
      <c r="AH311" s="225">
        <v>83</v>
      </c>
      <c r="AI311" s="225"/>
      <c r="AJ311" s="225">
        <v>2013</v>
      </c>
      <c r="AK311" s="225">
        <v>71</v>
      </c>
    </row>
    <row r="312" spans="1:37">
      <c r="A312" s="254">
        <f t="shared" si="168"/>
        <v>2012</v>
      </c>
      <c r="B312" s="40">
        <v>44</v>
      </c>
      <c r="C312" s="40">
        <v>51</v>
      </c>
      <c r="D312" s="222">
        <v>76</v>
      </c>
      <c r="E312" s="222">
        <v>77</v>
      </c>
      <c r="F312" s="222">
        <v>83</v>
      </c>
      <c r="G312" s="222">
        <v>82</v>
      </c>
      <c r="H312" s="222">
        <v>85</v>
      </c>
      <c r="I312" s="222">
        <v>85</v>
      </c>
      <c r="J312" s="222">
        <v>83</v>
      </c>
      <c r="K312" s="222">
        <v>78</v>
      </c>
      <c r="L312" s="222">
        <v>73</v>
      </c>
      <c r="M312" s="222">
        <v>70</v>
      </c>
      <c r="O312" s="254">
        <f t="shared" si="162"/>
        <v>11</v>
      </c>
      <c r="Q312" s="304">
        <v>73</v>
      </c>
      <c r="T312" s="304">
        <v>76</v>
      </c>
      <c r="W312" s="304">
        <v>70</v>
      </c>
      <c r="Y312" s="291">
        <f t="shared" si="165"/>
        <v>51</v>
      </c>
      <c r="Z312"/>
      <c r="AD312" s="225">
        <v>2019</v>
      </c>
      <c r="AE312" s="225">
        <v>54</v>
      </c>
      <c r="AF312" s="225"/>
      <c r="AG312" s="225">
        <v>2008</v>
      </c>
      <c r="AH312" s="225">
        <v>83</v>
      </c>
      <c r="AI312" s="225"/>
      <c r="AJ312" s="225">
        <v>1994</v>
      </c>
      <c r="AK312" s="225">
        <v>72</v>
      </c>
    </row>
    <row r="313" spans="1:37">
      <c r="A313" s="254">
        <f t="shared" si="168"/>
        <v>2013</v>
      </c>
      <c r="B313" s="222">
        <v>76</v>
      </c>
      <c r="C313" s="40">
        <v>55</v>
      </c>
      <c r="D313" s="40">
        <v>52</v>
      </c>
      <c r="E313" s="222">
        <v>81</v>
      </c>
      <c r="F313" s="222">
        <v>83</v>
      </c>
      <c r="G313" s="222">
        <v>85</v>
      </c>
      <c r="H313" s="222">
        <v>82</v>
      </c>
      <c r="I313" s="222">
        <v>85</v>
      </c>
      <c r="J313" s="222">
        <v>82</v>
      </c>
      <c r="K313" s="222">
        <v>82</v>
      </c>
      <c r="L313" s="222">
        <v>78</v>
      </c>
      <c r="M313" s="222">
        <v>71</v>
      </c>
      <c r="O313" s="254">
        <f t="shared" si="162"/>
        <v>10</v>
      </c>
      <c r="Q313" s="304">
        <v>78</v>
      </c>
      <c r="S313" s="305">
        <v>52</v>
      </c>
      <c r="W313" s="304">
        <v>71</v>
      </c>
      <c r="Y313" s="291">
        <f t="shared" si="165"/>
        <v>55</v>
      </c>
      <c r="Z313"/>
      <c r="AD313" s="225">
        <v>1989</v>
      </c>
      <c r="AE313" s="225">
        <v>55</v>
      </c>
      <c r="AF313" s="225"/>
      <c r="AG313" s="225">
        <v>1983</v>
      </c>
      <c r="AH313" s="225">
        <v>82</v>
      </c>
      <c r="AI313" s="225"/>
      <c r="AJ313" s="225">
        <v>2006</v>
      </c>
      <c r="AK313" s="225">
        <v>73</v>
      </c>
    </row>
    <row r="314" spans="1:37">
      <c r="A314" s="254">
        <f t="shared" si="168"/>
        <v>2014</v>
      </c>
      <c r="B314" s="40">
        <v>49</v>
      </c>
      <c r="C314" s="40">
        <v>54</v>
      </c>
      <c r="D314" s="222">
        <v>72</v>
      </c>
      <c r="E314" s="222">
        <v>80</v>
      </c>
      <c r="F314" s="222">
        <v>80</v>
      </c>
      <c r="G314" s="222">
        <v>86</v>
      </c>
      <c r="H314" s="222">
        <v>84</v>
      </c>
      <c r="I314" s="222">
        <v>86</v>
      </c>
      <c r="J314" s="222">
        <v>82</v>
      </c>
      <c r="K314" s="222">
        <v>81</v>
      </c>
      <c r="L314" s="40">
        <v>50</v>
      </c>
      <c r="M314" s="40">
        <v>55</v>
      </c>
      <c r="O314" s="254">
        <f t="shared" si="162"/>
        <v>9</v>
      </c>
      <c r="P314" s="225">
        <f>+L314</f>
        <v>50</v>
      </c>
      <c r="Q314"/>
      <c r="T314" s="304">
        <v>72</v>
      </c>
      <c r="V314" s="225">
        <v>55</v>
      </c>
      <c r="W314"/>
      <c r="Y314" s="291">
        <f t="shared" si="165"/>
        <v>54</v>
      </c>
      <c r="Z314"/>
      <c r="AD314" s="225">
        <v>1993</v>
      </c>
      <c r="AE314" s="225">
        <v>55</v>
      </c>
      <c r="AF314" s="225"/>
      <c r="AG314" s="225">
        <v>1985</v>
      </c>
      <c r="AH314" s="225">
        <v>82</v>
      </c>
      <c r="AI314" s="225"/>
      <c r="AJ314" s="225">
        <v>2009</v>
      </c>
      <c r="AK314" s="225">
        <v>73</v>
      </c>
    </row>
    <row r="315" spans="1:37">
      <c r="A315" s="254">
        <f t="shared" si="168"/>
        <v>2015</v>
      </c>
      <c r="B315" s="40">
        <v>57</v>
      </c>
      <c r="C315" s="40">
        <v>46</v>
      </c>
      <c r="D315" s="222">
        <v>73</v>
      </c>
      <c r="E315" s="222">
        <v>80</v>
      </c>
      <c r="F315" s="222">
        <v>84</v>
      </c>
      <c r="G315" s="222">
        <v>83</v>
      </c>
      <c r="H315" s="222">
        <v>84</v>
      </c>
      <c r="I315" s="222">
        <v>86</v>
      </c>
      <c r="J315" s="222">
        <v>85</v>
      </c>
      <c r="K315" s="222">
        <v>80</v>
      </c>
      <c r="L315" s="222">
        <v>81</v>
      </c>
      <c r="M315" s="222">
        <v>77</v>
      </c>
      <c r="O315" s="254">
        <f t="shared" ref="O315:O321" si="169">+O316+1</f>
        <v>8</v>
      </c>
      <c r="Q315" s="304">
        <f t="shared" ref="Q315:Q321" si="170">+L315</f>
        <v>81</v>
      </c>
      <c r="T315" s="304">
        <f t="shared" ref="T315:T322" si="171">+D315</f>
        <v>73</v>
      </c>
      <c r="W315" s="304">
        <f>+M315</f>
        <v>77</v>
      </c>
      <c r="Y315" s="291">
        <f t="shared" si="165"/>
        <v>46</v>
      </c>
      <c r="Z315"/>
      <c r="AD315" s="225">
        <v>1994</v>
      </c>
      <c r="AE315" s="225">
        <v>55</v>
      </c>
      <c r="AF315" s="225"/>
      <c r="AG315" s="225">
        <v>1986</v>
      </c>
      <c r="AH315" s="225">
        <v>82</v>
      </c>
      <c r="AI315" s="225"/>
      <c r="AJ315" s="225">
        <v>2019</v>
      </c>
      <c r="AK315" s="225">
        <v>74</v>
      </c>
    </row>
    <row r="316" spans="1:37">
      <c r="A316" s="254">
        <f t="shared" si="168"/>
        <v>2016</v>
      </c>
      <c r="B316" s="40">
        <v>53</v>
      </c>
      <c r="C316" s="253">
        <v>53.916666666666664</v>
      </c>
      <c r="D316" s="222">
        <v>75.5</v>
      </c>
      <c r="E316" s="222">
        <v>80</v>
      </c>
      <c r="F316" s="222">
        <v>80</v>
      </c>
      <c r="G316" s="222">
        <v>85</v>
      </c>
      <c r="H316" s="222">
        <v>86</v>
      </c>
      <c r="I316" s="222">
        <v>86</v>
      </c>
      <c r="J316" s="222">
        <v>85</v>
      </c>
      <c r="K316" s="222">
        <v>81</v>
      </c>
      <c r="L316" s="222">
        <v>75.916666666666671</v>
      </c>
      <c r="M316" s="222">
        <v>77</v>
      </c>
      <c r="O316" s="254">
        <f t="shared" si="169"/>
        <v>7</v>
      </c>
      <c r="Q316" s="304">
        <f t="shared" si="170"/>
        <v>75.916666666666671</v>
      </c>
      <c r="T316" s="304">
        <f t="shared" si="171"/>
        <v>75.5</v>
      </c>
      <c r="W316" s="304">
        <f>+M316</f>
        <v>77</v>
      </c>
      <c r="Y316" s="291">
        <f t="shared" si="165"/>
        <v>53.916666666666664</v>
      </c>
      <c r="Z316"/>
      <c r="AD316" s="225">
        <v>1998</v>
      </c>
      <c r="AE316" s="225">
        <v>55</v>
      </c>
      <c r="AF316" s="225"/>
      <c r="AG316" s="225">
        <v>1994</v>
      </c>
      <c r="AH316" s="225">
        <v>82</v>
      </c>
      <c r="AI316" s="225"/>
      <c r="AJ316" s="225">
        <v>1986</v>
      </c>
      <c r="AK316" s="225">
        <v>75</v>
      </c>
    </row>
    <row r="317" spans="1:37">
      <c r="A317" s="254">
        <f t="shared" si="168"/>
        <v>2017</v>
      </c>
      <c r="B317" s="40">
        <v>53</v>
      </c>
      <c r="C317" s="222">
        <v>76</v>
      </c>
      <c r="D317" s="222">
        <v>75</v>
      </c>
      <c r="E317" s="222">
        <v>82</v>
      </c>
      <c r="F317" s="222">
        <v>85</v>
      </c>
      <c r="G317" s="222">
        <v>84</v>
      </c>
      <c r="H317" s="222">
        <v>86</v>
      </c>
      <c r="I317" s="222">
        <v>86</v>
      </c>
      <c r="J317" s="222">
        <v>83</v>
      </c>
      <c r="K317" s="222">
        <v>83</v>
      </c>
      <c r="L317" s="222">
        <v>75</v>
      </c>
      <c r="M317" s="253">
        <v>53.416666666666664</v>
      </c>
      <c r="O317" s="254">
        <f t="shared" si="169"/>
        <v>6</v>
      </c>
      <c r="Q317" s="304">
        <f t="shared" si="170"/>
        <v>75</v>
      </c>
      <c r="T317" s="304">
        <f t="shared" si="171"/>
        <v>75</v>
      </c>
      <c r="V317" s="291">
        <f>+M317</f>
        <v>53.416666666666664</v>
      </c>
      <c r="W317"/>
      <c r="Z317" s="304">
        <f>+C317</f>
        <v>76</v>
      </c>
      <c r="AD317" s="225">
        <v>2021</v>
      </c>
      <c r="AE317" s="225">
        <v>56</v>
      </c>
      <c r="AF317" s="225"/>
      <c r="AG317" s="225">
        <v>2003</v>
      </c>
      <c r="AH317" s="225">
        <v>82</v>
      </c>
      <c r="AI317" s="225"/>
      <c r="AJ317" s="225">
        <v>2018</v>
      </c>
      <c r="AK317" s="225">
        <v>75</v>
      </c>
    </row>
    <row r="318" spans="1:37">
      <c r="A318" s="254">
        <f t="shared" si="168"/>
        <v>2018</v>
      </c>
      <c r="B318" s="40">
        <v>41</v>
      </c>
      <c r="C318" s="222">
        <v>79</v>
      </c>
      <c r="D318" s="222">
        <v>74</v>
      </c>
      <c r="E318" s="222">
        <v>78</v>
      </c>
      <c r="F318" s="222">
        <v>80</v>
      </c>
      <c r="G318" s="222">
        <v>84</v>
      </c>
      <c r="H318" s="222">
        <v>86</v>
      </c>
      <c r="I318" s="222">
        <v>84</v>
      </c>
      <c r="J318" s="222">
        <v>87</v>
      </c>
      <c r="K318" s="222">
        <v>84</v>
      </c>
      <c r="L318" s="222">
        <v>84</v>
      </c>
      <c r="M318" s="222">
        <v>75</v>
      </c>
      <c r="O318" s="254">
        <f t="shared" si="169"/>
        <v>5</v>
      </c>
      <c r="Q318" s="304">
        <f t="shared" si="170"/>
        <v>84</v>
      </c>
      <c r="T318" s="304">
        <f t="shared" si="171"/>
        <v>74</v>
      </c>
      <c r="W318" s="304">
        <f>+M318</f>
        <v>75</v>
      </c>
      <c r="Z318" s="304">
        <f>+C318</f>
        <v>79</v>
      </c>
      <c r="AD318" s="225">
        <v>2006</v>
      </c>
      <c r="AE318" s="225">
        <v>57</v>
      </c>
      <c r="AF318" s="225"/>
      <c r="AG318" s="225">
        <v>2004</v>
      </c>
      <c r="AH318" s="225">
        <v>82</v>
      </c>
      <c r="AI318" s="225"/>
      <c r="AJ318" s="225">
        <v>2001</v>
      </c>
      <c r="AK318" s="225">
        <v>76</v>
      </c>
    </row>
    <row r="319" spans="1:37">
      <c r="A319" s="254">
        <f t="shared" si="168"/>
        <v>2019</v>
      </c>
      <c r="B319" s="40">
        <v>54</v>
      </c>
      <c r="C319" s="222">
        <v>77</v>
      </c>
      <c r="D319" s="222">
        <v>75</v>
      </c>
      <c r="E319" s="222">
        <v>80</v>
      </c>
      <c r="F319" s="222">
        <v>86</v>
      </c>
      <c r="G319" s="222">
        <v>88</v>
      </c>
      <c r="H319" s="222">
        <v>83</v>
      </c>
      <c r="I319" s="222">
        <v>85</v>
      </c>
      <c r="J319" s="222">
        <v>87</v>
      </c>
      <c r="K319" s="222">
        <v>82</v>
      </c>
      <c r="L319" s="222">
        <v>79</v>
      </c>
      <c r="M319" s="222">
        <v>74</v>
      </c>
      <c r="O319" s="254">
        <f t="shared" si="169"/>
        <v>4</v>
      </c>
      <c r="Q319" s="304">
        <f t="shared" si="170"/>
        <v>79</v>
      </c>
      <c r="T319" s="304">
        <f t="shared" si="171"/>
        <v>75</v>
      </c>
      <c r="W319" s="304">
        <f>+M319</f>
        <v>74</v>
      </c>
      <c r="Z319" s="304">
        <f>+C319</f>
        <v>77</v>
      </c>
      <c r="AD319" s="225">
        <v>2015</v>
      </c>
      <c r="AE319" s="225">
        <v>57</v>
      </c>
      <c r="AF319" s="225"/>
      <c r="AG319" s="225">
        <v>1973</v>
      </c>
      <c r="AH319" s="225">
        <v>81</v>
      </c>
      <c r="AI319" s="225"/>
      <c r="AJ319" s="225">
        <v>2021</v>
      </c>
      <c r="AK319" s="225">
        <v>76</v>
      </c>
    </row>
    <row r="320" spans="1:37">
      <c r="A320" s="254">
        <f t="shared" si="168"/>
        <v>2020</v>
      </c>
      <c r="B320" s="40">
        <v>48</v>
      </c>
      <c r="C320" s="222">
        <v>75</v>
      </c>
      <c r="D320" s="222">
        <v>78</v>
      </c>
      <c r="E320" s="222">
        <v>82</v>
      </c>
      <c r="F320" s="222">
        <v>81</v>
      </c>
      <c r="G320" s="222">
        <v>86</v>
      </c>
      <c r="H320" s="222">
        <v>87</v>
      </c>
      <c r="I320" s="222">
        <v>87</v>
      </c>
      <c r="J320" s="222">
        <v>87</v>
      </c>
      <c r="K320" s="222">
        <v>85</v>
      </c>
      <c r="L320" s="222">
        <v>79</v>
      </c>
      <c r="M320" s="253">
        <v>44</v>
      </c>
      <c r="O320" s="254">
        <f t="shared" si="169"/>
        <v>3</v>
      </c>
      <c r="Q320" s="304">
        <f t="shared" si="170"/>
        <v>79</v>
      </c>
      <c r="T320" s="304">
        <f t="shared" si="171"/>
        <v>78</v>
      </c>
      <c r="V320" s="225">
        <f>+M320</f>
        <v>44</v>
      </c>
      <c r="W320"/>
      <c r="Z320" s="304">
        <f>+C320</f>
        <v>75</v>
      </c>
      <c r="AD320" s="225">
        <v>1974</v>
      </c>
      <c r="AE320" s="225">
        <v>73</v>
      </c>
      <c r="AF320" s="225"/>
      <c r="AG320" s="225">
        <v>1974</v>
      </c>
      <c r="AH320" s="225">
        <v>81</v>
      </c>
      <c r="AI320" s="225"/>
      <c r="AJ320" s="225">
        <v>2015</v>
      </c>
      <c r="AK320" s="225">
        <v>77</v>
      </c>
    </row>
    <row r="321" spans="1:38">
      <c r="A321" s="254">
        <f t="shared" si="168"/>
        <v>2021</v>
      </c>
      <c r="B321" s="40">
        <v>56</v>
      </c>
      <c r="C321" s="40">
        <v>53</v>
      </c>
      <c r="D321" s="222">
        <v>78</v>
      </c>
      <c r="E321" s="222">
        <v>79</v>
      </c>
      <c r="F321" s="222">
        <v>83.25</v>
      </c>
      <c r="G321" s="222">
        <v>86</v>
      </c>
      <c r="H321" s="222">
        <v>87</v>
      </c>
      <c r="I321" s="222">
        <v>86</v>
      </c>
      <c r="J321" s="222">
        <v>83</v>
      </c>
      <c r="K321" s="222">
        <v>84</v>
      </c>
      <c r="L321" s="222">
        <v>75</v>
      </c>
      <c r="M321" s="222">
        <v>76</v>
      </c>
      <c r="O321" s="254">
        <f t="shared" si="169"/>
        <v>2</v>
      </c>
      <c r="Q321" s="304">
        <f t="shared" si="170"/>
        <v>75</v>
      </c>
      <c r="T321" s="304">
        <f t="shared" si="171"/>
        <v>78</v>
      </c>
      <c r="W321" s="304">
        <f>+M321</f>
        <v>76</v>
      </c>
      <c r="Y321" s="291">
        <f>+C321</f>
        <v>53</v>
      </c>
      <c r="Z321"/>
      <c r="AD321" s="225">
        <v>2013</v>
      </c>
      <c r="AE321" s="225">
        <v>76</v>
      </c>
      <c r="AF321" s="225"/>
      <c r="AG321" s="225">
        <v>1979</v>
      </c>
      <c r="AH321" s="225">
        <v>81</v>
      </c>
      <c r="AI321" s="225"/>
      <c r="AJ321" s="225">
        <v>2016</v>
      </c>
      <c r="AK321" s="225">
        <v>77</v>
      </c>
    </row>
    <row r="322" spans="1:38" customFormat="1">
      <c r="A322" s="254">
        <f t="shared" si="168"/>
        <v>2022</v>
      </c>
      <c r="B322" s="229">
        <v>55.416666666666664</v>
      </c>
      <c r="C322" s="229">
        <v>75.083333333333329</v>
      </c>
      <c r="D322" s="229">
        <v>78.333333333333329</v>
      </c>
      <c r="E322" s="229">
        <v>79.625</v>
      </c>
      <c r="F322" s="229">
        <v>84.958333333333329</v>
      </c>
      <c r="G322" s="229">
        <v>86.458333333333329</v>
      </c>
      <c r="H322" s="229">
        <v>87</v>
      </c>
      <c r="I322" s="229">
        <v>88</v>
      </c>
      <c r="J322" s="229">
        <v>86.875</v>
      </c>
      <c r="K322" s="229">
        <v>80.291666666666671</v>
      </c>
      <c r="L322" s="229">
        <v>79.291666666666671</v>
      </c>
      <c r="M322" s="229">
        <v>38.625</v>
      </c>
      <c r="O322" s="438">
        <v>1</v>
      </c>
      <c r="Q322" s="304">
        <f>+L322</f>
        <v>79.291666666666671</v>
      </c>
      <c r="T322" s="304">
        <f t="shared" si="171"/>
        <v>78.333333333333329</v>
      </c>
      <c r="V322" s="291">
        <f>+M322</f>
        <v>38.625</v>
      </c>
      <c r="Z322" s="304">
        <f>+C322</f>
        <v>75.083333333333329</v>
      </c>
      <c r="AD322" s="225">
        <v>2022</v>
      </c>
      <c r="AE322" s="229">
        <f>+B322</f>
        <v>55.416666666666664</v>
      </c>
      <c r="AG322" s="225">
        <v>2022</v>
      </c>
      <c r="AJ322" s="225">
        <v>2022</v>
      </c>
    </row>
    <row r="323" spans="1:38" customFormat="1">
      <c r="A323" s="254">
        <f t="shared" si="168"/>
        <v>2023</v>
      </c>
      <c r="B323" s="229">
        <v>52.541666666666664</v>
      </c>
      <c r="C323" s="229">
        <v>75.541666666666671</v>
      </c>
      <c r="D323" s="229">
        <v>76.916666666666671</v>
      </c>
      <c r="E323" s="229">
        <v>78.291666666666671</v>
      </c>
      <c r="F323" s="229">
        <v>82.375</v>
      </c>
      <c r="G323" s="229">
        <v>87.25</v>
      </c>
      <c r="H323" s="229">
        <v>86.041666666666671</v>
      </c>
      <c r="I323" s="222">
        <v>89.3</v>
      </c>
    </row>
    <row r="324" spans="1:38" customFormat="1"/>
    <row r="325" spans="1:38">
      <c r="B325" s="313" t="s">
        <v>4</v>
      </c>
      <c r="C325" s="313" t="s">
        <v>8</v>
      </c>
      <c r="D325" s="363" t="s">
        <v>9</v>
      </c>
      <c r="E325" s="363" t="s">
        <v>10</v>
      </c>
      <c r="F325" s="363" t="s">
        <v>11</v>
      </c>
      <c r="G325" s="363" t="s">
        <v>12</v>
      </c>
      <c r="H325" s="363" t="s">
        <v>13</v>
      </c>
      <c r="I325" s="363" t="s">
        <v>15</v>
      </c>
      <c r="J325" s="363" t="s">
        <v>16</v>
      </c>
      <c r="K325" s="363" t="s">
        <v>17</v>
      </c>
      <c r="L325" s="363" t="s">
        <v>18</v>
      </c>
      <c r="M325" s="363" t="s">
        <v>19</v>
      </c>
      <c r="P325" s="225" t="s">
        <v>91</v>
      </c>
      <c r="Q325" s="225" t="s">
        <v>93</v>
      </c>
      <c r="S325" s="225" t="s">
        <v>95</v>
      </c>
      <c r="T325" s="225" t="s">
        <v>97</v>
      </c>
      <c r="V325" s="225" t="s">
        <v>98</v>
      </c>
      <c r="W325" s="225" t="s">
        <v>99</v>
      </c>
      <c r="Y325" s="225" t="s">
        <v>315</v>
      </c>
      <c r="Z325" s="225" t="s">
        <v>316</v>
      </c>
      <c r="AD325" s="225"/>
      <c r="AE325" s="225"/>
      <c r="AF325" s="225"/>
      <c r="AG325" s="225"/>
      <c r="AH325" s="225"/>
      <c r="AI325" s="225"/>
      <c r="AJ325" s="225"/>
      <c r="AK325" s="225"/>
    </row>
    <row r="326" spans="1:38" ht="15.75">
      <c r="A326" s="1" t="s">
        <v>67</v>
      </c>
      <c r="B326" s="302">
        <f t="shared" ref="B326" si="172">AVERAGE(B293:B322)</f>
        <v>49.31388888888889</v>
      </c>
      <c r="C326" s="302">
        <f t="shared" ref="C326:M326" si="173">AVERAGE(C293:C322)</f>
        <v>54.93333333333333</v>
      </c>
      <c r="D326" s="302">
        <f t="shared" si="173"/>
        <v>67.12777777777778</v>
      </c>
      <c r="E326" s="302">
        <f t="shared" si="173"/>
        <v>77.920833333333334</v>
      </c>
      <c r="F326" s="302">
        <f t="shared" si="173"/>
        <v>81.873611111111117</v>
      </c>
      <c r="G326" s="302">
        <f t="shared" si="173"/>
        <v>84.615277777777777</v>
      </c>
      <c r="H326" s="302">
        <f t="shared" si="173"/>
        <v>85.166666666666671</v>
      </c>
      <c r="I326" s="302">
        <f t="shared" si="173"/>
        <v>85.1</v>
      </c>
      <c r="J326" s="302">
        <f t="shared" si="173"/>
        <v>83.5625</v>
      </c>
      <c r="K326" s="302">
        <f t="shared" si="173"/>
        <v>81.009722222222223</v>
      </c>
      <c r="L326" s="302">
        <f t="shared" si="173"/>
        <v>75.306944444444454</v>
      </c>
      <c r="M326" s="302">
        <f t="shared" si="173"/>
        <v>58.834722222222226</v>
      </c>
      <c r="P326" s="302">
        <f>AVERAGE(P293:P322)</f>
        <v>59.333333333333336</v>
      </c>
      <c r="Q326" s="302">
        <f>AVERAGE(Q293:Q322)</f>
        <v>77.078869047619051</v>
      </c>
      <c r="R326" s="225" t="s">
        <v>67</v>
      </c>
      <c r="S326" s="302">
        <f>AVERAGE(S293:S322)</f>
        <v>50.9</v>
      </c>
      <c r="T326" s="302">
        <f>AVERAGE(T293:T322)</f>
        <v>75.24166666666666</v>
      </c>
      <c r="V326" s="302">
        <f>AVERAGE(V293:V322)</f>
        <v>48.825980392156858</v>
      </c>
      <c r="W326" s="302">
        <f>AVERAGE(W293:W322)</f>
        <v>71.92307692307692</v>
      </c>
      <c r="Y326" s="302">
        <f>AVERAGE(Y293:Y322)</f>
        <v>50.63666666666667</v>
      </c>
      <c r="Z326" s="302">
        <f>AVERAGE(Z293:Z322)</f>
        <v>76.416666666666657</v>
      </c>
      <c r="AD326" s="225"/>
      <c r="AE326" s="313" t="s">
        <v>4</v>
      </c>
      <c r="AF326" s="225"/>
      <c r="AG326" s="225"/>
      <c r="AH326" s="313" t="s">
        <v>15</v>
      </c>
      <c r="AI326" s="225"/>
      <c r="AJ326" s="225"/>
      <c r="AK326" s="313" t="s">
        <v>320</v>
      </c>
    </row>
    <row r="327" spans="1:38" ht="15.75">
      <c r="A327" s="412" t="s">
        <v>69</v>
      </c>
      <c r="B327" s="416">
        <f t="shared" ref="B327" si="174">AVERAGE(B303:B322)</f>
        <v>49.62083333333333</v>
      </c>
      <c r="C327" s="416">
        <f t="shared" ref="C327:M327" si="175">AVERAGE(C303:C322)</f>
        <v>57.849999999999987</v>
      </c>
      <c r="D327" s="416">
        <f t="shared" si="175"/>
        <v>70.191666666666663</v>
      </c>
      <c r="E327" s="416">
        <f t="shared" si="175"/>
        <v>78.53125</v>
      </c>
      <c r="F327" s="416">
        <f t="shared" si="175"/>
        <v>82.260416666666657</v>
      </c>
      <c r="G327" s="416">
        <f t="shared" si="175"/>
        <v>84.972916666666663</v>
      </c>
      <c r="H327" s="416">
        <f t="shared" si="175"/>
        <v>85</v>
      </c>
      <c r="I327" s="416">
        <f t="shared" si="175"/>
        <v>85.4</v>
      </c>
      <c r="J327" s="416">
        <f t="shared" si="175"/>
        <v>83.943749999999994</v>
      </c>
      <c r="K327" s="416">
        <f t="shared" si="175"/>
        <v>81.41458333333334</v>
      </c>
      <c r="L327" s="416">
        <f t="shared" si="175"/>
        <v>75.960416666666674</v>
      </c>
      <c r="M327" s="416">
        <f t="shared" si="175"/>
        <v>60.802083333333329</v>
      </c>
      <c r="N327" s="412"/>
      <c r="O327" s="412"/>
      <c r="P327" s="416">
        <f>AVERAGE(P303:P322)</f>
        <v>50</v>
      </c>
      <c r="Q327" s="416">
        <f>AVERAGE(Q303:Q322)</f>
        <v>77.326754385964904</v>
      </c>
      <c r="R327" s="413" t="s">
        <v>69</v>
      </c>
      <c r="S327" s="416">
        <f>AVERAGE(S303:S322)</f>
        <v>50.75</v>
      </c>
      <c r="T327" s="416">
        <f>AVERAGE(T303:T322)</f>
        <v>75.052083333333329</v>
      </c>
      <c r="U327" s="413"/>
      <c r="V327" s="414">
        <f>AVERAGE(V303:V322)</f>
        <v>48.00416666666667</v>
      </c>
      <c r="W327" s="416">
        <f>AVERAGE(W303:W322)</f>
        <v>73.599999999999994</v>
      </c>
      <c r="X327" s="413"/>
      <c r="Y327" s="416">
        <f>AVERAGE(Y303:Y322)</f>
        <v>51.661111111111111</v>
      </c>
      <c r="Z327" s="416">
        <f>AVERAGE(Z303:Z322)</f>
        <v>76.416666666666657</v>
      </c>
      <c r="AD327" s="225"/>
      <c r="AE327" s="225">
        <f>MEDIAN(AE273:AE321)</f>
        <v>48</v>
      </c>
      <c r="AF327" s="225" t="s">
        <v>281</v>
      </c>
      <c r="AG327" s="225"/>
      <c r="AH327" s="225">
        <f>MEDIAN(AH273:AH321)</f>
        <v>84</v>
      </c>
      <c r="AI327" s="225" t="s">
        <v>281</v>
      </c>
      <c r="AJ327" s="225"/>
      <c r="AK327" s="225">
        <f>MEDIAN(AK273:AK321)</f>
        <v>52</v>
      </c>
      <c r="AL327" s="1" t="s">
        <v>281</v>
      </c>
    </row>
    <row r="328" spans="1:38" ht="15.75">
      <c r="A328" s="354" t="s">
        <v>68</v>
      </c>
      <c r="B328" s="356">
        <f t="shared" ref="B328" si="176">AVERAGE(B313:B322)</f>
        <v>54.24166666666666</v>
      </c>
      <c r="C328" s="356">
        <f t="shared" ref="C328:M328" si="177">AVERAGE(C313:C322)</f>
        <v>64.400000000000006</v>
      </c>
      <c r="D328" s="356">
        <f t="shared" si="177"/>
        <v>73.083333333333343</v>
      </c>
      <c r="E328" s="356">
        <f t="shared" si="177"/>
        <v>80.162499999999994</v>
      </c>
      <c r="F328" s="356">
        <f t="shared" si="177"/>
        <v>82.720833333333331</v>
      </c>
      <c r="G328" s="356">
        <f t="shared" si="177"/>
        <v>85.345833333333331</v>
      </c>
      <c r="H328" s="356">
        <f t="shared" si="177"/>
        <v>85.2</v>
      </c>
      <c r="I328" s="356">
        <f t="shared" si="177"/>
        <v>85.9</v>
      </c>
      <c r="J328" s="356">
        <f t="shared" si="177"/>
        <v>84.787499999999994</v>
      </c>
      <c r="K328" s="356">
        <f t="shared" si="177"/>
        <v>82.229166666666657</v>
      </c>
      <c r="L328" s="356">
        <f t="shared" si="177"/>
        <v>75.620833333333337</v>
      </c>
      <c r="M328" s="356">
        <f t="shared" si="177"/>
        <v>64.104166666666671</v>
      </c>
      <c r="N328" s="354"/>
      <c r="O328" s="354"/>
      <c r="P328" s="356">
        <f>AVERAGE(P313:P322)</f>
        <v>50</v>
      </c>
      <c r="Q328" s="356">
        <f>AVERAGE(Q313:Q322)</f>
        <v>78.467592592592595</v>
      </c>
      <c r="R328" s="357" t="s">
        <v>68</v>
      </c>
      <c r="S328" s="356">
        <f>AVERAGE(S313:S322)</f>
        <v>52</v>
      </c>
      <c r="T328" s="356">
        <f>AVERAGE(T313:T322)</f>
        <v>75.425925925925924</v>
      </c>
      <c r="U328" s="357"/>
      <c r="V328" s="356">
        <f>AVERAGE(V313:V322)</f>
        <v>47.760416666666664</v>
      </c>
      <c r="W328" s="356">
        <f>AVERAGE(W313:W322)</f>
        <v>75</v>
      </c>
      <c r="X328" s="357"/>
      <c r="Y328" s="356">
        <f>AVERAGE(Y313:Y322)</f>
        <v>52.383333333333326</v>
      </c>
      <c r="Z328" s="356">
        <f>AVERAGE(Z313:Z322)</f>
        <v>76.416666666666657</v>
      </c>
      <c r="AD328" s="225"/>
      <c r="AE328" s="225">
        <f>MODE(AE273:AE321)</f>
        <v>48</v>
      </c>
      <c r="AF328" s="225" t="s">
        <v>282</v>
      </c>
      <c r="AG328" s="225"/>
      <c r="AH328" s="225">
        <f>MODE(AH273:AH321)</f>
        <v>86</v>
      </c>
      <c r="AI328" s="225" t="s">
        <v>282</v>
      </c>
      <c r="AJ328" s="225"/>
      <c r="AK328" s="225">
        <f>MODE(AK273:AK321)</f>
        <v>47</v>
      </c>
      <c r="AL328" s="1" t="s">
        <v>282</v>
      </c>
    </row>
    <row r="329" spans="1:38" ht="15.75">
      <c r="A329" s="1" t="s">
        <v>309</v>
      </c>
      <c r="B329" s="302">
        <f t="shared" ref="B329" si="178">AVERAGE(B318:B322)</f>
        <v>50.883333333333333</v>
      </c>
      <c r="C329" s="302">
        <f t="shared" ref="C329:M329" si="179">AVERAGE(C318:C322)</f>
        <v>71.816666666666663</v>
      </c>
      <c r="D329" s="302">
        <f t="shared" si="179"/>
        <v>76.666666666666657</v>
      </c>
      <c r="E329" s="302">
        <f t="shared" si="179"/>
        <v>79.724999999999994</v>
      </c>
      <c r="F329" s="302">
        <f t="shared" si="179"/>
        <v>83.041666666666657</v>
      </c>
      <c r="G329" s="302">
        <f t="shared" si="179"/>
        <v>86.091666666666669</v>
      </c>
      <c r="H329" s="302">
        <f t="shared" si="179"/>
        <v>86</v>
      </c>
      <c r="I329" s="302">
        <f t="shared" si="179"/>
        <v>86</v>
      </c>
      <c r="J329" s="302">
        <f t="shared" si="179"/>
        <v>86.174999999999997</v>
      </c>
      <c r="K329" s="302">
        <f t="shared" si="179"/>
        <v>83.058333333333337</v>
      </c>
      <c r="L329" s="302">
        <f t="shared" si="179"/>
        <v>79.25833333333334</v>
      </c>
      <c r="M329" s="302">
        <f t="shared" si="179"/>
        <v>61.524999999999999</v>
      </c>
      <c r="P329" s="302"/>
      <c r="Q329" s="302">
        <f>AVERAGE(Q318:Q322)</f>
        <v>79.25833333333334</v>
      </c>
      <c r="R329" s="225" t="s">
        <v>309</v>
      </c>
      <c r="S329" s="302"/>
      <c r="T329" s="302">
        <f>AVERAGE(T318:T322)</f>
        <v>76.666666666666657</v>
      </c>
      <c r="V329" s="302">
        <f>AVERAGE(V318:V322)</f>
        <v>41.3125</v>
      </c>
      <c r="W329" s="302">
        <f>AVERAGE(W318:W322)</f>
        <v>75</v>
      </c>
      <c r="Y329" s="302">
        <f>AVERAGE(Y318:Y322)</f>
        <v>53</v>
      </c>
      <c r="Z329" s="302">
        <f>AVERAGE(Z318:Z322)</f>
        <v>76.520833333333329</v>
      </c>
      <c r="AD329" s="225"/>
      <c r="AE329" s="291">
        <f>AVERAGE(AE273:AE321)</f>
        <v>48.224489795918366</v>
      </c>
      <c r="AF329" s="225" t="s">
        <v>283</v>
      </c>
      <c r="AG329" s="225"/>
      <c r="AH329" s="291">
        <f>AVERAGE(AH273:AH321)</f>
        <v>84.224489795918373</v>
      </c>
      <c r="AI329" s="225" t="s">
        <v>283</v>
      </c>
      <c r="AJ329" s="225"/>
      <c r="AK329" s="291">
        <f>AVERAGE(AK273:AK321)</f>
        <v>55.028911564625858</v>
      </c>
      <c r="AL329" s="1" t="s">
        <v>283</v>
      </c>
    </row>
    <row r="330" spans="1:38">
      <c r="A330" s="1" t="s">
        <v>266</v>
      </c>
      <c r="B330" s="291">
        <f>AVERAGE(B273:B322)</f>
        <v>48.368333333333332</v>
      </c>
      <c r="C330" s="291">
        <f t="shared" ref="C330:M330" si="180">AVERAGE(C273:C322)</f>
        <v>52.86</v>
      </c>
      <c r="D330" s="291">
        <f t="shared" si="180"/>
        <v>63.916666666666671</v>
      </c>
      <c r="E330" s="291">
        <f t="shared" si="180"/>
        <v>77.052499999999995</v>
      </c>
      <c r="F330" s="291">
        <f t="shared" si="180"/>
        <v>81.564166666666665</v>
      </c>
      <c r="G330" s="291">
        <f t="shared" si="180"/>
        <v>83.969166666666666</v>
      </c>
      <c r="H330" s="291">
        <f t="shared" si="180"/>
        <v>84.72</v>
      </c>
      <c r="I330" s="291">
        <f t="shared" si="180"/>
        <v>84.3</v>
      </c>
      <c r="J330" s="291">
        <f t="shared" si="180"/>
        <v>83.157499999999999</v>
      </c>
      <c r="K330" s="291">
        <f t="shared" si="180"/>
        <v>80.305833333333325</v>
      </c>
      <c r="L330" s="291">
        <f t="shared" si="180"/>
        <v>71.904166666666654</v>
      </c>
      <c r="M330" s="291">
        <f t="shared" si="180"/>
        <v>54.700833333333328</v>
      </c>
      <c r="P330" s="291">
        <f>AVERAGE(P273:P322)</f>
        <v>53.6</v>
      </c>
      <c r="Q330" s="291">
        <f>AVERAGE(Q273:Q322)</f>
        <v>75.051356589147275</v>
      </c>
      <c r="R330" s="225" t="s">
        <v>266</v>
      </c>
      <c r="S330" s="291">
        <f>AVERAGE(S273:S322)</f>
        <v>52.4</v>
      </c>
      <c r="T330" s="291">
        <f>AVERAGE(T273:T322)</f>
        <v>71.594444444444449</v>
      </c>
      <c r="V330" s="291">
        <f>AVERAGE(V273:V322)</f>
        <v>48.313802083333336</v>
      </c>
      <c r="W330" s="291">
        <f>AVERAGE(W273:W322)</f>
        <v>66.055555555555557</v>
      </c>
      <c r="Y330" s="291">
        <f>AVERAGE(Y273:Y322)</f>
        <v>49.748106060606055</v>
      </c>
      <c r="Z330" s="291">
        <f>AVERAGE(Z273:Z322)</f>
        <v>75.680555555555557</v>
      </c>
      <c r="AD330" s="225"/>
      <c r="AE330" s="349">
        <f>AVERAGE(AE273:AE292)</f>
        <v>41.55</v>
      </c>
      <c r="AF330" s="225" t="s">
        <v>284</v>
      </c>
      <c r="AG330" s="225"/>
      <c r="AH330" s="349">
        <f>AVERAGE(AH273:AH292)</f>
        <v>85.95</v>
      </c>
      <c r="AI330" s="225" t="s">
        <v>284</v>
      </c>
      <c r="AJ330" s="225"/>
      <c r="AK330" s="349">
        <f>AVERAGE(AK273:AK292)</f>
        <v>44.3</v>
      </c>
      <c r="AL330" s="1" t="s">
        <v>284</v>
      </c>
    </row>
    <row r="331" spans="1:38">
      <c r="B331" s="291"/>
      <c r="C331" s="291"/>
      <c r="D331" s="291"/>
      <c r="E331" s="291"/>
      <c r="F331" s="291"/>
      <c r="G331" s="291"/>
      <c r="H331" s="291"/>
      <c r="I331" s="291"/>
      <c r="J331" s="291"/>
      <c r="K331" s="291"/>
      <c r="L331" s="291"/>
      <c r="M331" s="291"/>
      <c r="P331" s="291"/>
      <c r="Q331" s="291"/>
      <c r="S331" s="291"/>
      <c r="T331" s="291"/>
      <c r="V331" s="291"/>
      <c r="W331" s="291"/>
      <c r="Y331" s="291"/>
      <c r="Z331" s="291"/>
      <c r="AD331" s="225"/>
      <c r="AE331" s="349"/>
      <c r="AF331" s="225"/>
      <c r="AG331" s="225"/>
      <c r="AH331" s="364"/>
      <c r="AI331" s="225"/>
      <c r="AJ331" s="225"/>
      <c r="AK331" s="364"/>
    </row>
    <row r="332" spans="1:38" ht="15.75">
      <c r="A332" s="410" t="s">
        <v>279</v>
      </c>
      <c r="B332" s="417">
        <f>ROUND(AE330,0)</f>
        <v>42</v>
      </c>
      <c r="C332" s="417">
        <f>ROUND(Y327,0)</f>
        <v>52</v>
      </c>
      <c r="D332" s="417">
        <f>ROUND(S327,0)</f>
        <v>51</v>
      </c>
      <c r="E332" s="417">
        <f>ROUND(E327,0)</f>
        <v>79</v>
      </c>
      <c r="F332" s="417">
        <f t="shared" ref="F332:K332" si="181">ROUND(F327,0)</f>
        <v>82</v>
      </c>
      <c r="G332" s="417">
        <f t="shared" si="181"/>
        <v>85</v>
      </c>
      <c r="H332" s="417">
        <f t="shared" si="181"/>
        <v>85</v>
      </c>
      <c r="I332" s="417">
        <f>+I327</f>
        <v>85.4</v>
      </c>
      <c r="J332" s="417">
        <f t="shared" si="181"/>
        <v>84</v>
      </c>
      <c r="K332" s="417">
        <f t="shared" si="181"/>
        <v>81</v>
      </c>
      <c r="L332" s="417">
        <f>ROUND(Q327,0)</f>
        <v>77</v>
      </c>
      <c r="M332" s="431">
        <f>+V332</f>
        <v>48.00416666666667</v>
      </c>
      <c r="P332" s="342">
        <f>+P327</f>
        <v>50</v>
      </c>
      <c r="Q332" s="343">
        <f>+Q327</f>
        <v>77.326754385964904</v>
      </c>
      <c r="R332" s="341"/>
      <c r="S332" s="343">
        <f>+S327</f>
        <v>50.75</v>
      </c>
      <c r="T332" s="342">
        <f>+T327</f>
        <v>75.052083333333329</v>
      </c>
      <c r="V332" s="343">
        <f>+V327</f>
        <v>48.00416666666667</v>
      </c>
      <c r="W332" s="342">
        <f>+W327</f>
        <v>73.599999999999994</v>
      </c>
      <c r="Y332" s="343">
        <f>+Y327</f>
        <v>51.661111111111111</v>
      </c>
      <c r="Z332" s="342">
        <f>+Z327</f>
        <v>76.416666666666657</v>
      </c>
      <c r="AA332" s="1"/>
      <c r="AD332" s="225"/>
      <c r="AE332" s="225"/>
      <c r="AF332" s="225"/>
      <c r="AG332" s="225"/>
      <c r="AH332" s="225"/>
      <c r="AI332" s="225"/>
      <c r="AJ332" s="225"/>
      <c r="AK332" s="225"/>
    </row>
    <row r="333" spans="1:38">
      <c r="A333" s="1" t="s">
        <v>70</v>
      </c>
      <c r="B333" s="68">
        <f>IF(B327&lt;65,65-B327,0)</f>
        <v>15.37916666666667</v>
      </c>
      <c r="C333" s="68">
        <f t="shared" ref="C333:M333" si="182">IF(C327&lt;65,65-C327,0)</f>
        <v>7.1500000000000128</v>
      </c>
      <c r="D333" s="68">
        <f t="shared" si="182"/>
        <v>0</v>
      </c>
      <c r="E333" s="68">
        <f t="shared" si="182"/>
        <v>0</v>
      </c>
      <c r="F333" s="68">
        <f t="shared" si="182"/>
        <v>0</v>
      </c>
      <c r="G333" s="68">
        <f t="shared" si="182"/>
        <v>0</v>
      </c>
      <c r="H333" s="68">
        <f t="shared" si="182"/>
        <v>0</v>
      </c>
      <c r="I333" s="68">
        <f t="shared" si="182"/>
        <v>0</v>
      </c>
      <c r="J333" s="68">
        <f t="shared" si="182"/>
        <v>0</v>
      </c>
      <c r="K333" s="68">
        <f t="shared" si="182"/>
        <v>0</v>
      </c>
      <c r="L333" s="68">
        <f t="shared" si="182"/>
        <v>0</v>
      </c>
      <c r="M333" s="68">
        <f t="shared" si="182"/>
        <v>4.1979166666666714</v>
      </c>
      <c r="P333" s="341"/>
      <c r="Q333" s="341"/>
      <c r="S333" s="341"/>
      <c r="T333" s="341"/>
    </row>
    <row r="334" spans="1:38">
      <c r="A334" s="1" t="s">
        <v>71</v>
      </c>
      <c r="B334" s="68">
        <f>IF(B327&gt;=65,B327-65,0)</f>
        <v>0</v>
      </c>
      <c r="C334" s="68">
        <f t="shared" ref="C334:M334" si="183">IF(C327&gt;=65,C327-65,0)</f>
        <v>0</v>
      </c>
      <c r="D334" s="68">
        <f t="shared" si="183"/>
        <v>5.1916666666666629</v>
      </c>
      <c r="E334" s="68">
        <f t="shared" si="183"/>
        <v>13.53125</v>
      </c>
      <c r="F334" s="68">
        <f t="shared" si="183"/>
        <v>17.260416666666657</v>
      </c>
      <c r="G334" s="68">
        <f t="shared" si="183"/>
        <v>19.972916666666663</v>
      </c>
      <c r="H334" s="68">
        <f t="shared" si="183"/>
        <v>20</v>
      </c>
      <c r="I334" s="68">
        <f t="shared" si="183"/>
        <v>20.400000000000006</v>
      </c>
      <c r="J334" s="68">
        <f t="shared" si="183"/>
        <v>18.943749999999994</v>
      </c>
      <c r="K334" s="68">
        <f t="shared" si="183"/>
        <v>16.41458333333334</v>
      </c>
      <c r="L334" s="68">
        <f t="shared" si="183"/>
        <v>10.960416666666674</v>
      </c>
      <c r="M334" s="68">
        <f t="shared" si="183"/>
        <v>0</v>
      </c>
      <c r="P334" s="341"/>
      <c r="Q334" s="341"/>
      <c r="S334" s="341"/>
      <c r="T334" s="341"/>
    </row>
    <row r="335" spans="1:38">
      <c r="A335" s="283" t="s">
        <v>298</v>
      </c>
      <c r="B335" s="284">
        <f>AVERAGE(B318,B317,B316,B315,B314,B312,B311,B310,B309,B308,B307,B306,B305,B304,B303,B302,B301,B300,B321,B322)</f>
        <v>47.720833333333331</v>
      </c>
      <c r="C335" s="284">
        <f>AVERAGE(C315,C314,C313,C312,C311,C310,C309,C308,C307,C306,C305,C304,C303,C302,C301,C300,C299,C298,C297,C321)</f>
        <v>51.8</v>
      </c>
      <c r="D335" s="284">
        <f>+S327</f>
        <v>50.75</v>
      </c>
      <c r="E335" s="284">
        <f>+E327</f>
        <v>78.53125</v>
      </c>
      <c r="F335" s="284">
        <f t="shared" ref="F335:K335" si="184">+F327</f>
        <v>82.260416666666657</v>
      </c>
      <c r="G335" s="284">
        <f t="shared" si="184"/>
        <v>84.972916666666663</v>
      </c>
      <c r="H335" s="284">
        <f t="shared" si="184"/>
        <v>85</v>
      </c>
      <c r="I335" s="284">
        <f t="shared" si="184"/>
        <v>85.4</v>
      </c>
      <c r="J335" s="284">
        <f t="shared" si="184"/>
        <v>83.943749999999994</v>
      </c>
      <c r="K335" s="284">
        <f t="shared" si="184"/>
        <v>81.41458333333334</v>
      </c>
      <c r="L335" s="284">
        <f>+Q327</f>
        <v>77.326754385964904</v>
      </c>
      <c r="M335" s="284">
        <f>+V327</f>
        <v>48.00416666666667</v>
      </c>
    </row>
    <row r="336" spans="1:38">
      <c r="A336" s="285"/>
      <c r="B336" s="284">
        <f>+B335-B332</f>
        <v>5.7208333333333314</v>
      </c>
      <c r="C336" s="284">
        <f t="shared" ref="C336:M336" si="185">+C335-C332</f>
        <v>-0.20000000000000284</v>
      </c>
      <c r="D336" s="284">
        <f t="shared" si="185"/>
        <v>-0.25</v>
      </c>
      <c r="E336" s="284">
        <f t="shared" si="185"/>
        <v>-0.46875</v>
      </c>
      <c r="F336" s="284">
        <f t="shared" si="185"/>
        <v>0.26041666666665719</v>
      </c>
      <c r="G336" s="284">
        <f t="shared" si="185"/>
        <v>-2.7083333333337123E-2</v>
      </c>
      <c r="H336" s="284">
        <f t="shared" si="185"/>
        <v>0</v>
      </c>
      <c r="I336" s="284">
        <f t="shared" si="185"/>
        <v>0</v>
      </c>
      <c r="J336" s="284">
        <f t="shared" si="185"/>
        <v>-5.6250000000005684E-2</v>
      </c>
      <c r="K336" s="284">
        <f t="shared" si="185"/>
        <v>0.41458333333333997</v>
      </c>
      <c r="L336" s="284">
        <f t="shared" si="185"/>
        <v>0.3267543859649038</v>
      </c>
      <c r="M336" s="284">
        <f t="shared" si="185"/>
        <v>0</v>
      </c>
      <c r="P336" s="291"/>
      <c r="Q336" s="291"/>
      <c r="S336" s="291"/>
      <c r="T336" s="291"/>
      <c r="V336" s="291"/>
      <c r="W336" s="291"/>
    </row>
    <row r="337" spans="1:23"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P337" s="291"/>
      <c r="Q337" s="291"/>
      <c r="S337" s="291"/>
      <c r="T337" s="291"/>
      <c r="V337" s="291"/>
      <c r="W337" s="291"/>
    </row>
    <row r="338" spans="1:23">
      <c r="B338" s="33">
        <v>65</v>
      </c>
      <c r="C338" s="1" t="s">
        <v>78</v>
      </c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P338" s="291"/>
      <c r="Q338" s="291"/>
      <c r="S338" s="291"/>
      <c r="T338" s="291"/>
      <c r="V338" s="291"/>
      <c r="W338" s="291"/>
    </row>
    <row r="339" spans="1:23">
      <c r="B339" s="89">
        <v>65</v>
      </c>
      <c r="C339" s="1" t="s">
        <v>79</v>
      </c>
    </row>
    <row r="340" spans="1:23">
      <c r="B340" s="326"/>
      <c r="C340" s="1" t="s">
        <v>80</v>
      </c>
    </row>
    <row r="341" spans="1:23">
      <c r="B341" s="34">
        <v>65</v>
      </c>
      <c r="C341" s="1" t="s">
        <v>81</v>
      </c>
    </row>
    <row r="343" spans="1:23">
      <c r="B343" s="1" t="s">
        <v>76</v>
      </c>
    </row>
    <row r="344" spans="1:23">
      <c r="B344" s="165" t="s">
        <v>4</v>
      </c>
      <c r="C344" s="165" t="s">
        <v>8</v>
      </c>
      <c r="D344" s="165" t="s">
        <v>9</v>
      </c>
      <c r="E344" s="165" t="s">
        <v>10</v>
      </c>
      <c r="F344" s="165" t="s">
        <v>11</v>
      </c>
      <c r="G344" s="165" t="s">
        <v>12</v>
      </c>
      <c r="H344" s="165" t="s">
        <v>13</v>
      </c>
      <c r="I344" s="165" t="s">
        <v>15</v>
      </c>
      <c r="J344" s="165" t="s">
        <v>16</v>
      </c>
      <c r="K344" s="165" t="s">
        <v>17</v>
      </c>
      <c r="L344" s="165" t="s">
        <v>18</v>
      </c>
      <c r="M344" s="165" t="s">
        <v>19</v>
      </c>
      <c r="Q344" s="225" t="s">
        <v>91</v>
      </c>
      <c r="R344" s="225" t="s">
        <v>93</v>
      </c>
      <c r="T344" s="225" t="s">
        <v>95</v>
      </c>
      <c r="U344" s="225" t="s">
        <v>97</v>
      </c>
    </row>
    <row r="345" spans="1:23">
      <c r="A345" s="1">
        <f t="shared" ref="A345:A376" si="186">A7</f>
        <v>1973</v>
      </c>
      <c r="B345" s="327">
        <f>IF(B273&lt;=65,65-B273," ")</f>
        <v>20</v>
      </c>
      <c r="C345" s="328">
        <f t="shared" ref="C345:M345" si="187">IF(C273&lt;=65,65-C273," ")</f>
        <v>19</v>
      </c>
      <c r="D345" s="222" t="str">
        <f t="shared" si="187"/>
        <v xml:space="preserve"> </v>
      </c>
      <c r="E345" s="222" t="str">
        <f t="shared" si="187"/>
        <v xml:space="preserve"> </v>
      </c>
      <c r="F345" s="222" t="str">
        <f t="shared" si="187"/>
        <v xml:space="preserve"> </v>
      </c>
      <c r="G345" s="222" t="str">
        <f t="shared" si="187"/>
        <v xml:space="preserve"> </v>
      </c>
      <c r="H345" s="222" t="str">
        <f t="shared" si="187"/>
        <v xml:space="preserve"> </v>
      </c>
      <c r="I345" s="222" t="str">
        <f t="shared" si="187"/>
        <v xml:space="preserve"> </v>
      </c>
      <c r="J345" s="222" t="str">
        <f t="shared" si="187"/>
        <v xml:space="preserve"> </v>
      </c>
      <c r="K345" s="222" t="str">
        <f t="shared" si="187"/>
        <v xml:space="preserve"> </v>
      </c>
      <c r="L345" s="222" t="str">
        <f t="shared" si="187"/>
        <v xml:space="preserve"> </v>
      </c>
      <c r="M345" s="328">
        <f t="shared" si="187"/>
        <v>18</v>
      </c>
      <c r="O345" s="1">
        <f t="shared" ref="O345:O384" si="188">+O346+1</f>
        <v>47</v>
      </c>
      <c r="P345" s="345"/>
      <c r="R345" s="291"/>
      <c r="S345" s="345">
        <f t="shared" ref="S345:S391" si="189">+D123</f>
        <v>2000</v>
      </c>
    </row>
    <row r="346" spans="1:23">
      <c r="A346" s="1">
        <f t="shared" si="186"/>
        <v>1974</v>
      </c>
      <c r="B346" s="344" t="str">
        <f t="shared" ref="B346:M346" si="190">IF(B274&lt;=65,65-B274," ")</f>
        <v xml:space="preserve"> </v>
      </c>
      <c r="C346" s="166">
        <f t="shared" si="190"/>
        <v>14</v>
      </c>
      <c r="D346" s="222" t="str">
        <f t="shared" si="190"/>
        <v xml:space="preserve"> </v>
      </c>
      <c r="E346" s="222" t="str">
        <f t="shared" si="190"/>
        <v xml:space="preserve"> </v>
      </c>
      <c r="F346" s="222" t="str">
        <f t="shared" si="190"/>
        <v xml:space="preserve"> </v>
      </c>
      <c r="G346" s="222" t="str">
        <f t="shared" si="190"/>
        <v xml:space="preserve"> </v>
      </c>
      <c r="H346" s="222" t="str">
        <f t="shared" si="190"/>
        <v xml:space="preserve"> </v>
      </c>
      <c r="I346" s="222" t="str">
        <f t="shared" si="190"/>
        <v xml:space="preserve"> </v>
      </c>
      <c r="J346" s="222" t="str">
        <f t="shared" si="190"/>
        <v xml:space="preserve"> </v>
      </c>
      <c r="K346" s="222" t="str">
        <f t="shared" si="190"/>
        <v xml:space="preserve"> </v>
      </c>
      <c r="L346" s="222" t="str">
        <f t="shared" si="190"/>
        <v xml:space="preserve"> </v>
      </c>
      <c r="M346" s="166">
        <f t="shared" si="190"/>
        <v>16</v>
      </c>
      <c r="O346" s="1">
        <f t="shared" si="188"/>
        <v>46</v>
      </c>
      <c r="P346" s="345"/>
      <c r="R346" s="291"/>
      <c r="S346" s="345">
        <f t="shared" si="189"/>
        <v>1700</v>
      </c>
    </row>
    <row r="347" spans="1:23">
      <c r="A347" s="1">
        <f t="shared" si="186"/>
        <v>1975</v>
      </c>
      <c r="B347" s="331">
        <f t="shared" ref="B347:M347" si="191">IF(B275&lt;=65,65-B275," ")</f>
        <v>17</v>
      </c>
      <c r="C347" s="166">
        <f t="shared" si="191"/>
        <v>8</v>
      </c>
      <c r="D347" s="166">
        <f t="shared" si="191"/>
        <v>12</v>
      </c>
      <c r="E347" s="222" t="str">
        <f t="shared" si="191"/>
        <v xml:space="preserve"> </v>
      </c>
      <c r="F347" s="222" t="str">
        <f t="shared" si="191"/>
        <v xml:space="preserve"> </v>
      </c>
      <c r="G347" s="222" t="str">
        <f t="shared" si="191"/>
        <v xml:space="preserve"> </v>
      </c>
      <c r="H347" s="222" t="str">
        <f t="shared" si="191"/>
        <v xml:space="preserve"> </v>
      </c>
      <c r="I347" s="222" t="str">
        <f t="shared" si="191"/>
        <v xml:space="preserve"> </v>
      </c>
      <c r="J347" s="222" t="str">
        <f t="shared" si="191"/>
        <v xml:space="preserve"> </v>
      </c>
      <c r="K347" s="222" t="str">
        <f t="shared" si="191"/>
        <v xml:space="preserve"> </v>
      </c>
      <c r="L347" s="166">
        <f t="shared" si="191"/>
        <v>19</v>
      </c>
      <c r="M347" s="332">
        <f t="shared" si="191"/>
        <v>23</v>
      </c>
      <c r="O347" s="1">
        <f t="shared" si="188"/>
        <v>45</v>
      </c>
      <c r="P347" s="345"/>
      <c r="Q347" s="225">
        <f>L347</f>
        <v>19</v>
      </c>
      <c r="S347" s="345">
        <f t="shared" si="189"/>
        <v>800</v>
      </c>
      <c r="T347" s="225">
        <f>D347</f>
        <v>12</v>
      </c>
    </row>
    <row r="348" spans="1:23">
      <c r="A348" s="1">
        <f t="shared" si="186"/>
        <v>1976</v>
      </c>
      <c r="B348" s="331">
        <f t="shared" ref="B348:M348" si="192">IF(B276&lt;=65,65-B276," ")</f>
        <v>20</v>
      </c>
      <c r="C348" s="166">
        <f t="shared" si="192"/>
        <v>10</v>
      </c>
      <c r="D348" s="222" t="str">
        <f t="shared" si="192"/>
        <v xml:space="preserve"> </v>
      </c>
      <c r="E348" s="222" t="str">
        <f t="shared" si="192"/>
        <v xml:space="preserve"> </v>
      </c>
      <c r="F348" s="222" t="str">
        <f t="shared" si="192"/>
        <v xml:space="preserve"> </v>
      </c>
      <c r="G348" s="222" t="str">
        <f t="shared" si="192"/>
        <v xml:space="preserve"> </v>
      </c>
      <c r="H348" s="222" t="str">
        <f t="shared" si="192"/>
        <v xml:space="preserve"> </v>
      </c>
      <c r="I348" s="222" t="str">
        <f t="shared" si="192"/>
        <v xml:space="preserve"> </v>
      </c>
      <c r="J348" s="222" t="str">
        <f t="shared" si="192"/>
        <v xml:space="preserve"> </v>
      </c>
      <c r="K348" s="222" t="str">
        <f t="shared" si="192"/>
        <v xml:space="preserve"> </v>
      </c>
      <c r="L348" s="332">
        <f t="shared" si="192"/>
        <v>18</v>
      </c>
      <c r="M348" s="166">
        <f t="shared" si="192"/>
        <v>15</v>
      </c>
      <c r="O348" s="1">
        <f t="shared" si="188"/>
        <v>44</v>
      </c>
      <c r="P348" s="345"/>
      <c r="R348" s="291">
        <f>L348</f>
        <v>18</v>
      </c>
      <c r="S348" s="345">
        <f t="shared" si="189"/>
        <v>2000</v>
      </c>
    </row>
    <row r="349" spans="1:23">
      <c r="A349" s="1">
        <f t="shared" si="186"/>
        <v>1977</v>
      </c>
      <c r="B349" s="331">
        <f t="shared" ref="B349:M349" si="193">IF(B277&lt;=65,65-B277," ")</f>
        <v>25</v>
      </c>
      <c r="C349" s="166">
        <f t="shared" si="193"/>
        <v>21</v>
      </c>
      <c r="D349" s="222" t="str">
        <f t="shared" si="193"/>
        <v xml:space="preserve"> </v>
      </c>
      <c r="E349" s="222" t="str">
        <f t="shared" si="193"/>
        <v xml:space="preserve"> </v>
      </c>
      <c r="F349" s="222" t="str">
        <f t="shared" si="193"/>
        <v xml:space="preserve"> </v>
      </c>
      <c r="G349" s="222" t="str">
        <f t="shared" si="193"/>
        <v xml:space="preserve"> </v>
      </c>
      <c r="H349" s="222" t="str">
        <f t="shared" si="193"/>
        <v xml:space="preserve"> </v>
      </c>
      <c r="I349" s="222" t="str">
        <f t="shared" si="193"/>
        <v xml:space="preserve"> </v>
      </c>
      <c r="J349" s="222" t="str">
        <f t="shared" si="193"/>
        <v xml:space="preserve"> </v>
      </c>
      <c r="K349" s="222" t="str">
        <f t="shared" si="193"/>
        <v xml:space="preserve"> </v>
      </c>
      <c r="L349" s="222" t="str">
        <f t="shared" si="193"/>
        <v xml:space="preserve"> </v>
      </c>
      <c r="M349" s="166">
        <f t="shared" si="193"/>
        <v>20</v>
      </c>
      <c r="O349" s="1">
        <f t="shared" si="188"/>
        <v>43</v>
      </c>
      <c r="P349" s="345"/>
      <c r="S349" s="345">
        <f t="shared" si="189"/>
        <v>2000</v>
      </c>
    </row>
    <row r="350" spans="1:23">
      <c r="A350" s="1">
        <f t="shared" si="186"/>
        <v>1978</v>
      </c>
      <c r="B350" s="331">
        <f t="shared" ref="B350:M350" si="194">IF(B278&lt;=65,65-B278," ")</f>
        <v>17</v>
      </c>
      <c r="C350" s="166">
        <f t="shared" si="194"/>
        <v>24</v>
      </c>
      <c r="D350" s="166">
        <f t="shared" si="194"/>
        <v>10</v>
      </c>
      <c r="E350" s="222" t="str">
        <f t="shared" si="194"/>
        <v xml:space="preserve"> </v>
      </c>
      <c r="F350" s="222" t="str">
        <f t="shared" si="194"/>
        <v xml:space="preserve"> </v>
      </c>
      <c r="G350" s="222" t="str">
        <f t="shared" si="194"/>
        <v xml:space="preserve"> </v>
      </c>
      <c r="H350" s="222" t="str">
        <f t="shared" si="194"/>
        <v xml:space="preserve"> </v>
      </c>
      <c r="I350" s="222" t="str">
        <f t="shared" si="194"/>
        <v xml:space="preserve"> </v>
      </c>
      <c r="J350" s="222" t="str">
        <f t="shared" si="194"/>
        <v xml:space="preserve"> </v>
      </c>
      <c r="K350" s="222" t="str">
        <f t="shared" si="194"/>
        <v xml:space="preserve"> </v>
      </c>
      <c r="L350" s="222" t="str">
        <f t="shared" si="194"/>
        <v xml:space="preserve"> </v>
      </c>
      <c r="M350" s="332">
        <f t="shared" si="194"/>
        <v>10</v>
      </c>
      <c r="O350" s="1">
        <f t="shared" si="188"/>
        <v>42</v>
      </c>
      <c r="P350" s="345"/>
      <c r="S350" s="345">
        <f t="shared" si="189"/>
        <v>800</v>
      </c>
      <c r="T350" s="225">
        <f>D350</f>
        <v>10</v>
      </c>
    </row>
    <row r="351" spans="1:23">
      <c r="A351" s="1">
        <f t="shared" si="186"/>
        <v>1979</v>
      </c>
      <c r="B351" s="331">
        <f t="shared" ref="B351:M351" si="195">IF(B279&lt;=65,65-B279," ")</f>
        <v>18</v>
      </c>
      <c r="C351" s="166">
        <f t="shared" si="195"/>
        <v>20</v>
      </c>
      <c r="D351" s="166">
        <f t="shared" si="195"/>
        <v>6</v>
      </c>
      <c r="E351" s="222" t="str">
        <f t="shared" si="195"/>
        <v xml:space="preserve"> </v>
      </c>
      <c r="F351" s="222" t="str">
        <f t="shared" si="195"/>
        <v xml:space="preserve"> </v>
      </c>
      <c r="G351" s="222" t="str">
        <f t="shared" si="195"/>
        <v xml:space="preserve"> </v>
      </c>
      <c r="H351" s="222" t="str">
        <f t="shared" si="195"/>
        <v xml:space="preserve"> </v>
      </c>
      <c r="I351" s="222" t="str">
        <f t="shared" si="195"/>
        <v xml:space="preserve"> </v>
      </c>
      <c r="J351" s="222" t="str">
        <f t="shared" si="195"/>
        <v xml:space="preserve"> </v>
      </c>
      <c r="K351" s="222" t="str">
        <f t="shared" si="195"/>
        <v xml:space="preserve"> </v>
      </c>
      <c r="L351" s="332">
        <f t="shared" si="195"/>
        <v>21</v>
      </c>
      <c r="M351" s="166">
        <f t="shared" si="195"/>
        <v>11</v>
      </c>
      <c r="O351" s="1">
        <f t="shared" si="188"/>
        <v>41</v>
      </c>
      <c r="P351" s="345"/>
      <c r="R351" s="225">
        <f>L351</f>
        <v>21</v>
      </c>
      <c r="S351" s="345">
        <f t="shared" si="189"/>
        <v>800</v>
      </c>
      <c r="T351" s="225">
        <f>D351</f>
        <v>6</v>
      </c>
    </row>
    <row r="352" spans="1:23">
      <c r="A352" s="1">
        <f t="shared" si="186"/>
        <v>1980</v>
      </c>
      <c r="B352" s="331">
        <f t="shared" ref="B352:M352" si="196">IF(B280&lt;=65,65-B280," ")</f>
        <v>13</v>
      </c>
      <c r="C352" s="166">
        <f t="shared" si="196"/>
        <v>21</v>
      </c>
      <c r="D352" s="332">
        <f t="shared" si="196"/>
        <v>16</v>
      </c>
      <c r="E352" s="222" t="str">
        <f t="shared" si="196"/>
        <v xml:space="preserve"> </v>
      </c>
      <c r="F352" s="222" t="str">
        <f t="shared" si="196"/>
        <v xml:space="preserve"> </v>
      </c>
      <c r="G352" s="222" t="str">
        <f t="shared" si="196"/>
        <v xml:space="preserve"> </v>
      </c>
      <c r="H352" s="222" t="str">
        <f t="shared" si="196"/>
        <v xml:space="preserve"> </v>
      </c>
      <c r="I352" s="222" t="str">
        <f t="shared" si="196"/>
        <v xml:space="preserve"> </v>
      </c>
      <c r="J352" s="222" t="str">
        <f t="shared" si="196"/>
        <v xml:space="preserve"> </v>
      </c>
      <c r="K352" s="222" t="str">
        <f t="shared" si="196"/>
        <v xml:space="preserve"> </v>
      </c>
      <c r="L352" s="222" t="str">
        <f t="shared" si="196"/>
        <v xml:space="preserve"> </v>
      </c>
      <c r="M352" s="166">
        <f t="shared" si="196"/>
        <v>17</v>
      </c>
      <c r="O352" s="1">
        <f t="shared" si="188"/>
        <v>40</v>
      </c>
      <c r="P352" s="345"/>
      <c r="S352" s="345">
        <f t="shared" si="189"/>
        <v>2000</v>
      </c>
      <c r="U352" s="225">
        <f>D352</f>
        <v>16</v>
      </c>
    </row>
    <row r="353" spans="1:21">
      <c r="A353" s="1">
        <f t="shared" si="186"/>
        <v>1981</v>
      </c>
      <c r="B353" s="331">
        <f t="shared" ref="B353:M353" si="197">IF(B281&lt;=65,65-B281," ")</f>
        <v>31</v>
      </c>
      <c r="C353" s="332">
        <f t="shared" si="197"/>
        <v>22</v>
      </c>
      <c r="D353" s="332">
        <f t="shared" si="197"/>
        <v>7</v>
      </c>
      <c r="E353" s="222" t="str">
        <f t="shared" si="197"/>
        <v xml:space="preserve"> </v>
      </c>
      <c r="F353" s="222" t="str">
        <f t="shared" si="197"/>
        <v xml:space="preserve"> </v>
      </c>
      <c r="G353" s="222" t="str">
        <f t="shared" si="197"/>
        <v xml:space="preserve"> </v>
      </c>
      <c r="H353" s="222" t="str">
        <f t="shared" si="197"/>
        <v xml:space="preserve"> </v>
      </c>
      <c r="I353" s="222" t="str">
        <f t="shared" si="197"/>
        <v xml:space="preserve"> </v>
      </c>
      <c r="J353" s="222" t="str">
        <f t="shared" si="197"/>
        <v xml:space="preserve"> </v>
      </c>
      <c r="K353" s="222" t="str">
        <f t="shared" si="197"/>
        <v xml:space="preserve"> </v>
      </c>
      <c r="L353" s="166">
        <f t="shared" si="197"/>
        <v>12</v>
      </c>
      <c r="M353" s="166">
        <f t="shared" si="197"/>
        <v>23</v>
      </c>
      <c r="O353" s="1">
        <f t="shared" si="188"/>
        <v>39</v>
      </c>
      <c r="P353" s="345"/>
      <c r="Q353" s="225">
        <f>L353</f>
        <v>12</v>
      </c>
      <c r="S353" s="345">
        <f t="shared" si="189"/>
        <v>2000</v>
      </c>
      <c r="U353" s="225">
        <f>D353</f>
        <v>7</v>
      </c>
    </row>
    <row r="354" spans="1:21">
      <c r="A354" s="1">
        <f t="shared" si="186"/>
        <v>1982</v>
      </c>
      <c r="B354" s="331">
        <f t="shared" ref="B354:M354" si="198">IF(B282&lt;=65,65-B282," ")</f>
        <v>25</v>
      </c>
      <c r="C354" s="233" t="str">
        <f t="shared" si="198"/>
        <v xml:space="preserve"> </v>
      </c>
      <c r="D354" s="166">
        <f t="shared" si="198"/>
        <v>14</v>
      </c>
      <c r="E354" s="222" t="str">
        <f t="shared" si="198"/>
        <v xml:space="preserve"> </v>
      </c>
      <c r="F354" s="222" t="str">
        <f t="shared" si="198"/>
        <v xml:space="preserve"> </v>
      </c>
      <c r="G354" s="222" t="str">
        <f t="shared" si="198"/>
        <v xml:space="preserve"> </v>
      </c>
      <c r="H354" s="222" t="str">
        <f t="shared" si="198"/>
        <v xml:space="preserve"> </v>
      </c>
      <c r="I354" s="222" t="str">
        <f t="shared" si="198"/>
        <v xml:space="preserve"> </v>
      </c>
      <c r="J354" s="222" t="str">
        <f t="shared" si="198"/>
        <v xml:space="preserve"> </v>
      </c>
      <c r="K354" s="222" t="str">
        <f t="shared" si="198"/>
        <v xml:space="preserve"> </v>
      </c>
      <c r="L354" s="222" t="str">
        <f t="shared" si="198"/>
        <v xml:space="preserve"> </v>
      </c>
      <c r="M354" s="166">
        <f t="shared" si="198"/>
        <v>18</v>
      </c>
      <c r="O354" s="1">
        <f t="shared" si="188"/>
        <v>38</v>
      </c>
      <c r="P354" s="345"/>
      <c r="S354" s="345">
        <f t="shared" si="189"/>
        <v>800</v>
      </c>
      <c r="T354" s="225">
        <f>D354</f>
        <v>14</v>
      </c>
    </row>
    <row r="355" spans="1:21">
      <c r="A355" s="1">
        <f t="shared" si="186"/>
        <v>1983</v>
      </c>
      <c r="B355" s="331">
        <f t="shared" ref="B355:M355" si="199">IF(B283&lt;=65,65-B283," ")</f>
        <v>16</v>
      </c>
      <c r="C355" s="166">
        <f t="shared" si="199"/>
        <v>14</v>
      </c>
      <c r="D355" s="332">
        <f t="shared" si="199"/>
        <v>15</v>
      </c>
      <c r="E355" s="222" t="str">
        <f t="shared" si="199"/>
        <v xml:space="preserve"> </v>
      </c>
      <c r="F355" s="222" t="str">
        <f t="shared" si="199"/>
        <v xml:space="preserve"> </v>
      </c>
      <c r="G355" s="222" t="str">
        <f t="shared" si="199"/>
        <v xml:space="preserve"> </v>
      </c>
      <c r="H355" s="222" t="str">
        <f t="shared" si="199"/>
        <v xml:space="preserve"> </v>
      </c>
      <c r="I355" s="222" t="str">
        <f t="shared" si="199"/>
        <v xml:space="preserve"> </v>
      </c>
      <c r="J355" s="222" t="str">
        <f t="shared" si="199"/>
        <v xml:space="preserve"> </v>
      </c>
      <c r="K355" s="222" t="str">
        <f t="shared" si="199"/>
        <v xml:space="preserve"> </v>
      </c>
      <c r="L355" s="166">
        <f t="shared" si="199"/>
        <v>7</v>
      </c>
      <c r="M355" s="166">
        <f t="shared" si="199"/>
        <v>35</v>
      </c>
      <c r="O355" s="1">
        <f t="shared" si="188"/>
        <v>37</v>
      </c>
      <c r="P355" s="345"/>
      <c r="Q355" s="225">
        <f>L355</f>
        <v>7</v>
      </c>
      <c r="S355" s="345">
        <f t="shared" si="189"/>
        <v>2000</v>
      </c>
      <c r="U355" s="225">
        <f>D355</f>
        <v>15</v>
      </c>
    </row>
    <row r="356" spans="1:21">
      <c r="A356" s="1">
        <f t="shared" si="186"/>
        <v>1984</v>
      </c>
      <c r="B356" s="331">
        <f t="shared" ref="B356:M356" si="200">IF(B284&lt;=65,65-B284," ")</f>
        <v>20</v>
      </c>
      <c r="C356" s="166">
        <f t="shared" si="200"/>
        <v>20</v>
      </c>
      <c r="D356" s="166">
        <f t="shared" si="200"/>
        <v>13</v>
      </c>
      <c r="E356" s="222" t="str">
        <f t="shared" si="200"/>
        <v xml:space="preserve"> </v>
      </c>
      <c r="F356" s="222" t="str">
        <f t="shared" si="200"/>
        <v xml:space="preserve"> </v>
      </c>
      <c r="G356" s="222" t="str">
        <f t="shared" si="200"/>
        <v xml:space="preserve"> </v>
      </c>
      <c r="H356" s="222" t="str">
        <f t="shared" si="200"/>
        <v xml:space="preserve"> </v>
      </c>
      <c r="I356" s="222" t="str">
        <f t="shared" si="200"/>
        <v xml:space="preserve"> </v>
      </c>
      <c r="J356" s="222" t="str">
        <f t="shared" si="200"/>
        <v xml:space="preserve"> </v>
      </c>
      <c r="K356" s="222" t="str">
        <f t="shared" si="200"/>
        <v xml:space="preserve"> </v>
      </c>
      <c r="L356" s="166">
        <f t="shared" si="200"/>
        <v>7</v>
      </c>
      <c r="M356" s="166">
        <f t="shared" si="200"/>
        <v>21</v>
      </c>
      <c r="O356" s="1">
        <f t="shared" si="188"/>
        <v>36</v>
      </c>
      <c r="P356" s="345"/>
      <c r="Q356" s="225">
        <f>L356</f>
        <v>7</v>
      </c>
      <c r="S356" s="345">
        <f t="shared" si="189"/>
        <v>800</v>
      </c>
      <c r="T356" s="225">
        <f>D356</f>
        <v>13</v>
      </c>
    </row>
    <row r="357" spans="1:21">
      <c r="A357" s="1">
        <f t="shared" si="186"/>
        <v>1985</v>
      </c>
      <c r="B357" s="331">
        <f t="shared" ref="B357:M357" si="201">IF(B285&lt;=65,65-B285," ")</f>
        <v>29</v>
      </c>
      <c r="C357" s="166">
        <f t="shared" si="201"/>
        <v>14</v>
      </c>
      <c r="D357" s="166">
        <f t="shared" si="201"/>
        <v>7</v>
      </c>
      <c r="E357" s="222" t="str">
        <f t="shared" si="201"/>
        <v xml:space="preserve"> </v>
      </c>
      <c r="F357" s="222" t="str">
        <f t="shared" si="201"/>
        <v xml:space="preserve"> </v>
      </c>
      <c r="G357" s="222" t="str">
        <f t="shared" si="201"/>
        <v xml:space="preserve"> </v>
      </c>
      <c r="H357" s="222" t="str">
        <f t="shared" si="201"/>
        <v xml:space="preserve"> </v>
      </c>
      <c r="I357" s="222" t="str">
        <f t="shared" si="201"/>
        <v xml:space="preserve"> </v>
      </c>
      <c r="J357" s="222" t="str">
        <f t="shared" si="201"/>
        <v xml:space="preserve"> </v>
      </c>
      <c r="K357" s="222" t="str">
        <f t="shared" si="201"/>
        <v xml:space="preserve"> </v>
      </c>
      <c r="L357" s="222" t="str">
        <f t="shared" si="201"/>
        <v xml:space="preserve"> </v>
      </c>
      <c r="M357" s="166">
        <f t="shared" si="201"/>
        <v>20</v>
      </c>
      <c r="O357" s="1">
        <f t="shared" si="188"/>
        <v>35</v>
      </c>
      <c r="P357" s="345"/>
      <c r="S357" s="345">
        <f t="shared" si="189"/>
        <v>800</v>
      </c>
      <c r="T357" s="225">
        <f>D357</f>
        <v>7</v>
      </c>
    </row>
    <row r="358" spans="1:21">
      <c r="A358" s="1">
        <f t="shared" si="186"/>
        <v>1986</v>
      </c>
      <c r="B358" s="331">
        <f t="shared" ref="B358:M358" si="202">IF(B286&lt;=65,65-B286," ")</f>
        <v>29</v>
      </c>
      <c r="C358" s="166">
        <f t="shared" si="202"/>
        <v>10</v>
      </c>
      <c r="D358" s="166">
        <f t="shared" si="202"/>
        <v>5</v>
      </c>
      <c r="E358" s="222" t="str">
        <f t="shared" si="202"/>
        <v xml:space="preserve"> </v>
      </c>
      <c r="F358" s="222" t="str">
        <f t="shared" si="202"/>
        <v xml:space="preserve"> </v>
      </c>
      <c r="G358" s="222" t="str">
        <f t="shared" si="202"/>
        <v xml:space="preserve"> </v>
      </c>
      <c r="H358" s="222" t="str">
        <f t="shared" si="202"/>
        <v xml:space="preserve"> </v>
      </c>
      <c r="I358" s="222" t="str">
        <f t="shared" si="202"/>
        <v xml:space="preserve"> </v>
      </c>
      <c r="J358" s="222" t="str">
        <f t="shared" si="202"/>
        <v xml:space="preserve"> </v>
      </c>
      <c r="K358" s="222" t="str">
        <f t="shared" si="202"/>
        <v xml:space="preserve"> </v>
      </c>
      <c r="L358" s="222" t="str">
        <f t="shared" si="202"/>
        <v xml:space="preserve"> </v>
      </c>
      <c r="M358" s="222" t="str">
        <f t="shared" si="202"/>
        <v xml:space="preserve"> </v>
      </c>
      <c r="O358" s="1">
        <f t="shared" si="188"/>
        <v>34</v>
      </c>
      <c r="P358" s="345"/>
      <c r="S358" s="345">
        <f t="shared" si="189"/>
        <v>800</v>
      </c>
      <c r="T358" s="225">
        <f>D358</f>
        <v>5</v>
      </c>
    </row>
    <row r="359" spans="1:21">
      <c r="A359" s="1">
        <f t="shared" si="186"/>
        <v>1987</v>
      </c>
      <c r="B359" s="331">
        <f t="shared" ref="B359:M359" si="203">IF(B287&lt;=65,65-B287," ")</f>
        <v>16</v>
      </c>
      <c r="C359" s="166">
        <f t="shared" si="203"/>
        <v>16</v>
      </c>
      <c r="D359" s="332">
        <f t="shared" si="203"/>
        <v>9</v>
      </c>
      <c r="E359" s="166">
        <f t="shared" si="203"/>
        <v>10</v>
      </c>
      <c r="F359" s="222" t="str">
        <f t="shared" si="203"/>
        <v xml:space="preserve"> </v>
      </c>
      <c r="G359" s="222" t="str">
        <f t="shared" si="203"/>
        <v xml:space="preserve"> </v>
      </c>
      <c r="H359" s="222" t="str">
        <f t="shared" si="203"/>
        <v xml:space="preserve"> </v>
      </c>
      <c r="I359" s="222" t="str">
        <f t="shared" si="203"/>
        <v xml:space="preserve"> </v>
      </c>
      <c r="J359" s="222" t="str">
        <f t="shared" si="203"/>
        <v xml:space="preserve"> </v>
      </c>
      <c r="K359" s="222" t="str">
        <f t="shared" si="203"/>
        <v xml:space="preserve"> </v>
      </c>
      <c r="L359" s="222" t="str">
        <f t="shared" si="203"/>
        <v xml:space="preserve"> </v>
      </c>
      <c r="M359" s="166">
        <f t="shared" si="203"/>
        <v>13</v>
      </c>
      <c r="O359" s="1">
        <f t="shared" si="188"/>
        <v>33</v>
      </c>
      <c r="P359" s="345"/>
      <c r="S359" s="345">
        <f t="shared" si="189"/>
        <v>2000</v>
      </c>
      <c r="U359" s="225">
        <f>D359</f>
        <v>9</v>
      </c>
    </row>
    <row r="360" spans="1:21">
      <c r="A360" s="1">
        <f t="shared" si="186"/>
        <v>1988</v>
      </c>
      <c r="B360" s="331">
        <f t="shared" ref="B360:M360" si="204">IF(B288&lt;=65,65-B288," ")</f>
        <v>19</v>
      </c>
      <c r="C360" s="166">
        <f t="shared" si="204"/>
        <v>13</v>
      </c>
      <c r="D360" s="166">
        <f t="shared" si="204"/>
        <v>17</v>
      </c>
      <c r="E360" s="222" t="str">
        <f t="shared" si="204"/>
        <v xml:space="preserve"> </v>
      </c>
      <c r="F360" s="222" t="str">
        <f t="shared" si="204"/>
        <v xml:space="preserve"> </v>
      </c>
      <c r="G360" s="222" t="str">
        <f t="shared" si="204"/>
        <v xml:space="preserve"> </v>
      </c>
      <c r="H360" s="222" t="str">
        <f t="shared" si="204"/>
        <v xml:space="preserve"> </v>
      </c>
      <c r="I360" s="222" t="str">
        <f t="shared" si="204"/>
        <v xml:space="preserve"> </v>
      </c>
      <c r="J360" s="222" t="str">
        <f t="shared" si="204"/>
        <v xml:space="preserve"> </v>
      </c>
      <c r="K360" s="222" t="str">
        <f t="shared" si="204"/>
        <v xml:space="preserve"> </v>
      </c>
      <c r="L360" s="222" t="str">
        <f t="shared" si="204"/>
        <v xml:space="preserve"> </v>
      </c>
      <c r="M360" s="166">
        <f t="shared" si="204"/>
        <v>16</v>
      </c>
      <c r="O360" s="1">
        <f t="shared" si="188"/>
        <v>32</v>
      </c>
      <c r="P360" s="345"/>
      <c r="S360" s="345">
        <f t="shared" si="189"/>
        <v>800</v>
      </c>
      <c r="T360" s="225">
        <f>D360</f>
        <v>17</v>
      </c>
    </row>
    <row r="361" spans="1:21">
      <c r="A361" s="1">
        <f t="shared" si="186"/>
        <v>1989</v>
      </c>
      <c r="B361" s="331">
        <f t="shared" ref="B361:M361" si="205">IF(B289&lt;=65,65-B289," ")</f>
        <v>10</v>
      </c>
      <c r="C361" s="166">
        <f t="shared" si="205"/>
        <v>24</v>
      </c>
      <c r="D361" s="166">
        <f t="shared" si="205"/>
        <v>16</v>
      </c>
      <c r="E361" s="222" t="str">
        <f t="shared" si="205"/>
        <v xml:space="preserve"> </v>
      </c>
      <c r="F361" s="222" t="str">
        <f t="shared" si="205"/>
        <v xml:space="preserve"> </v>
      </c>
      <c r="G361" s="222" t="str">
        <f t="shared" si="205"/>
        <v xml:space="preserve"> </v>
      </c>
      <c r="H361" s="222" t="str">
        <f t="shared" si="205"/>
        <v xml:space="preserve"> </v>
      </c>
      <c r="I361" s="222" t="str">
        <f t="shared" si="205"/>
        <v xml:space="preserve"> </v>
      </c>
      <c r="J361" s="222" t="str">
        <f t="shared" si="205"/>
        <v xml:space="preserve"> </v>
      </c>
      <c r="K361" s="222" t="str">
        <f t="shared" si="205"/>
        <v xml:space="preserve"> </v>
      </c>
      <c r="L361" s="222" t="str">
        <f t="shared" si="205"/>
        <v xml:space="preserve"> </v>
      </c>
      <c r="M361" s="332">
        <f t="shared" si="205"/>
        <v>30</v>
      </c>
      <c r="O361" s="1">
        <f t="shared" si="188"/>
        <v>31</v>
      </c>
      <c r="P361" s="345"/>
      <c r="S361" s="345">
        <f t="shared" si="189"/>
        <v>800</v>
      </c>
      <c r="T361" s="225">
        <f>D361</f>
        <v>16</v>
      </c>
    </row>
    <row r="362" spans="1:21">
      <c r="A362" s="1">
        <f t="shared" si="186"/>
        <v>1990</v>
      </c>
      <c r="B362" s="331">
        <f t="shared" ref="B362:M362" si="206">IF(B290&lt;=65,65-B290," ")</f>
        <v>16</v>
      </c>
      <c r="C362" s="166">
        <f t="shared" si="206"/>
        <v>5</v>
      </c>
      <c r="D362" s="222" t="str">
        <f t="shared" si="206"/>
        <v xml:space="preserve"> </v>
      </c>
      <c r="E362" s="222" t="str">
        <f t="shared" si="206"/>
        <v xml:space="preserve"> </v>
      </c>
      <c r="F362" s="222" t="str">
        <f t="shared" si="206"/>
        <v xml:space="preserve"> </v>
      </c>
      <c r="G362" s="222" t="str">
        <f t="shared" si="206"/>
        <v xml:space="preserve"> </v>
      </c>
      <c r="H362" s="222" t="str">
        <f t="shared" si="206"/>
        <v xml:space="preserve"> </v>
      </c>
      <c r="I362" s="222" t="str">
        <f t="shared" si="206"/>
        <v xml:space="preserve"> </v>
      </c>
      <c r="J362" s="222" t="str">
        <f t="shared" si="206"/>
        <v xml:space="preserve"> </v>
      </c>
      <c r="K362" s="222" t="str">
        <f t="shared" si="206"/>
        <v xml:space="preserve"> </v>
      </c>
      <c r="L362" s="222" t="str">
        <f t="shared" si="206"/>
        <v xml:space="preserve"> </v>
      </c>
      <c r="M362" s="166">
        <f t="shared" si="206"/>
        <v>11</v>
      </c>
      <c r="O362" s="1">
        <f t="shared" si="188"/>
        <v>30</v>
      </c>
      <c r="P362" s="345"/>
      <c r="S362" s="345">
        <f t="shared" si="189"/>
        <v>1700</v>
      </c>
    </row>
    <row r="363" spans="1:21">
      <c r="A363" s="1">
        <f t="shared" si="186"/>
        <v>1991</v>
      </c>
      <c r="B363" s="331">
        <f t="shared" ref="B363:M363" si="207">IF(B291&lt;=65,65-B291," ")</f>
        <v>11</v>
      </c>
      <c r="C363" s="166">
        <f t="shared" si="207"/>
        <v>23</v>
      </c>
      <c r="D363" s="166">
        <f t="shared" si="207"/>
        <v>11</v>
      </c>
      <c r="E363" s="222" t="str">
        <f t="shared" si="207"/>
        <v xml:space="preserve"> </v>
      </c>
      <c r="F363" s="222" t="str">
        <f t="shared" si="207"/>
        <v xml:space="preserve"> </v>
      </c>
      <c r="G363" s="222" t="str">
        <f t="shared" si="207"/>
        <v xml:space="preserve"> </v>
      </c>
      <c r="H363" s="222" t="str">
        <f t="shared" si="207"/>
        <v xml:space="preserve"> </v>
      </c>
      <c r="I363" s="222" t="str">
        <f t="shared" si="207"/>
        <v xml:space="preserve"> </v>
      </c>
      <c r="J363" s="222" t="str">
        <f t="shared" si="207"/>
        <v xml:space="preserve"> </v>
      </c>
      <c r="K363" s="222" t="str">
        <f t="shared" si="207"/>
        <v xml:space="preserve"> </v>
      </c>
      <c r="L363" s="166">
        <f t="shared" si="207"/>
        <v>13</v>
      </c>
      <c r="M363" s="166">
        <f t="shared" si="207"/>
        <v>11</v>
      </c>
      <c r="O363" s="1">
        <f t="shared" si="188"/>
        <v>29</v>
      </c>
      <c r="P363" s="345"/>
      <c r="Q363" s="225">
        <f>L363</f>
        <v>13</v>
      </c>
      <c r="S363" s="345">
        <f t="shared" si="189"/>
        <v>800</v>
      </c>
      <c r="T363" s="225">
        <f>D363</f>
        <v>11</v>
      </c>
    </row>
    <row r="364" spans="1:21">
      <c r="A364" s="1">
        <f t="shared" si="186"/>
        <v>1992</v>
      </c>
      <c r="B364" s="331">
        <f t="shared" ref="B364:M364" si="208">IF(B292&lt;=65,65-B292," ")</f>
        <v>17</v>
      </c>
      <c r="C364" s="166">
        <f t="shared" si="208"/>
        <v>14</v>
      </c>
      <c r="D364" s="332">
        <f t="shared" si="208"/>
        <v>15</v>
      </c>
      <c r="E364" s="222" t="str">
        <f t="shared" si="208"/>
        <v xml:space="preserve"> </v>
      </c>
      <c r="F364" s="222" t="str">
        <f t="shared" si="208"/>
        <v xml:space="preserve"> </v>
      </c>
      <c r="G364" s="222" t="str">
        <f t="shared" si="208"/>
        <v xml:space="preserve"> </v>
      </c>
      <c r="H364" s="222" t="str">
        <f t="shared" si="208"/>
        <v xml:space="preserve"> </v>
      </c>
      <c r="I364" s="222" t="str">
        <f t="shared" si="208"/>
        <v xml:space="preserve"> </v>
      </c>
      <c r="J364" s="222" t="str">
        <f t="shared" si="208"/>
        <v xml:space="preserve"> </v>
      </c>
      <c r="K364" s="222" t="str">
        <f t="shared" si="208"/>
        <v xml:space="preserve"> </v>
      </c>
      <c r="L364" s="222" t="str">
        <f t="shared" si="208"/>
        <v xml:space="preserve"> </v>
      </c>
      <c r="M364" s="166">
        <f t="shared" si="208"/>
        <v>12</v>
      </c>
      <c r="O364" s="1">
        <f t="shared" si="188"/>
        <v>28</v>
      </c>
      <c r="P364" s="345"/>
      <c r="S364" s="345">
        <f t="shared" si="189"/>
        <v>2000</v>
      </c>
      <c r="U364" s="225">
        <f>D364</f>
        <v>15</v>
      </c>
    </row>
    <row r="365" spans="1:21">
      <c r="A365" s="1">
        <f t="shared" si="186"/>
        <v>1993</v>
      </c>
      <c r="B365" s="331">
        <f t="shared" ref="B365:M365" si="209">IF(B293&lt;=65,65-B293," ")</f>
        <v>10</v>
      </c>
      <c r="C365" s="166">
        <f t="shared" si="209"/>
        <v>17</v>
      </c>
      <c r="D365" s="166">
        <f t="shared" si="209"/>
        <v>18</v>
      </c>
      <c r="E365" s="222" t="str">
        <f t="shared" si="209"/>
        <v xml:space="preserve"> </v>
      </c>
      <c r="F365" s="222" t="str">
        <f t="shared" si="209"/>
        <v xml:space="preserve"> </v>
      </c>
      <c r="G365" s="222" t="str">
        <f t="shared" si="209"/>
        <v xml:space="preserve"> </v>
      </c>
      <c r="H365" s="222" t="str">
        <f t="shared" si="209"/>
        <v xml:space="preserve"> </v>
      </c>
      <c r="I365" s="222" t="str">
        <f t="shared" si="209"/>
        <v xml:space="preserve"> </v>
      </c>
      <c r="J365" s="222" t="str">
        <f t="shared" si="209"/>
        <v xml:space="preserve"> </v>
      </c>
      <c r="K365" s="222" t="str">
        <f t="shared" si="209"/>
        <v xml:space="preserve"> </v>
      </c>
      <c r="L365" s="222" t="str">
        <f t="shared" si="209"/>
        <v xml:space="preserve"> </v>
      </c>
      <c r="M365" s="166">
        <f t="shared" si="209"/>
        <v>11</v>
      </c>
      <c r="O365" s="1">
        <f t="shared" si="188"/>
        <v>27</v>
      </c>
      <c r="P365" s="345"/>
      <c r="S365" s="345">
        <f t="shared" si="189"/>
        <v>800</v>
      </c>
      <c r="T365" s="225">
        <f>D365</f>
        <v>18</v>
      </c>
    </row>
    <row r="366" spans="1:21">
      <c r="A366" s="1">
        <f t="shared" si="186"/>
        <v>1994</v>
      </c>
      <c r="B366" s="331">
        <f t="shared" ref="B366:M366" si="210">IF(B294&lt;=65,65-B294," ")</f>
        <v>10</v>
      </c>
      <c r="C366" s="166">
        <f t="shared" si="210"/>
        <v>16</v>
      </c>
      <c r="D366" s="222" t="str">
        <f t="shared" si="210"/>
        <v xml:space="preserve"> </v>
      </c>
      <c r="E366" s="222" t="str">
        <f t="shared" si="210"/>
        <v xml:space="preserve"> </v>
      </c>
      <c r="F366" s="222" t="str">
        <f t="shared" si="210"/>
        <v xml:space="preserve"> </v>
      </c>
      <c r="G366" s="222" t="str">
        <f t="shared" si="210"/>
        <v xml:space="preserve"> </v>
      </c>
      <c r="H366" s="222" t="str">
        <f t="shared" si="210"/>
        <v xml:space="preserve"> </v>
      </c>
      <c r="I366" s="222" t="str">
        <f t="shared" si="210"/>
        <v xml:space="preserve"> </v>
      </c>
      <c r="J366" s="222" t="str">
        <f t="shared" si="210"/>
        <v xml:space="preserve"> </v>
      </c>
      <c r="K366" s="222" t="str">
        <f t="shared" si="210"/>
        <v xml:space="preserve"> </v>
      </c>
      <c r="L366" s="222" t="str">
        <f t="shared" si="210"/>
        <v xml:space="preserve"> </v>
      </c>
      <c r="M366" s="222" t="str">
        <f t="shared" si="210"/>
        <v xml:space="preserve"> </v>
      </c>
      <c r="O366" s="1">
        <f t="shared" si="188"/>
        <v>26</v>
      </c>
      <c r="P366" s="345"/>
      <c r="S366" s="345">
        <f t="shared" si="189"/>
        <v>1700</v>
      </c>
    </row>
    <row r="367" spans="1:21">
      <c r="A367" s="1">
        <f t="shared" si="186"/>
        <v>1995</v>
      </c>
      <c r="B367" s="331">
        <f t="shared" ref="B367:M367" si="211">IF(B295&lt;=65,65-B295," ")</f>
        <v>17</v>
      </c>
      <c r="C367" s="166">
        <f t="shared" si="211"/>
        <v>24</v>
      </c>
      <c r="D367" s="166">
        <f t="shared" si="211"/>
        <v>8</v>
      </c>
      <c r="E367" s="222" t="str">
        <f t="shared" si="211"/>
        <v xml:space="preserve"> </v>
      </c>
      <c r="F367" s="222" t="str">
        <f t="shared" si="211"/>
        <v xml:space="preserve"> </v>
      </c>
      <c r="G367" s="222" t="str">
        <f t="shared" si="211"/>
        <v xml:space="preserve"> </v>
      </c>
      <c r="H367" s="222" t="str">
        <f t="shared" si="211"/>
        <v xml:space="preserve"> </v>
      </c>
      <c r="I367" s="222" t="str">
        <f t="shared" si="211"/>
        <v xml:space="preserve"> </v>
      </c>
      <c r="J367" s="222" t="str">
        <f t="shared" si="211"/>
        <v xml:space="preserve"> </v>
      </c>
      <c r="K367" s="222" t="str">
        <f t="shared" si="211"/>
        <v xml:space="preserve"> </v>
      </c>
      <c r="L367" s="222" t="str">
        <f t="shared" si="211"/>
        <v xml:space="preserve"> </v>
      </c>
      <c r="M367" s="166">
        <f t="shared" si="211"/>
        <v>15</v>
      </c>
      <c r="O367" s="1">
        <f t="shared" si="188"/>
        <v>25</v>
      </c>
      <c r="P367" s="345"/>
      <c r="S367" s="345">
        <f t="shared" si="189"/>
        <v>800</v>
      </c>
      <c r="T367" s="225">
        <f>D367</f>
        <v>8</v>
      </c>
    </row>
    <row r="368" spans="1:21">
      <c r="A368" s="1">
        <f t="shared" si="186"/>
        <v>1996</v>
      </c>
      <c r="B368" s="331">
        <f t="shared" ref="B368:M368" si="212">IF(B296&lt;=65,65-B296," ")</f>
        <v>21</v>
      </c>
      <c r="C368" s="166">
        <f t="shared" si="212"/>
        <v>27</v>
      </c>
      <c r="D368" s="166">
        <f t="shared" si="212"/>
        <v>22</v>
      </c>
      <c r="E368" s="222" t="str">
        <f t="shared" si="212"/>
        <v xml:space="preserve"> </v>
      </c>
      <c r="F368" s="222" t="str">
        <f t="shared" si="212"/>
        <v xml:space="preserve"> </v>
      </c>
      <c r="G368" s="222" t="str">
        <f t="shared" si="212"/>
        <v xml:space="preserve"> </v>
      </c>
      <c r="H368" s="222" t="str">
        <f t="shared" si="212"/>
        <v xml:space="preserve"> </v>
      </c>
      <c r="I368" s="222" t="str">
        <f t="shared" si="212"/>
        <v xml:space="preserve"> </v>
      </c>
      <c r="J368" s="222" t="str">
        <f t="shared" si="212"/>
        <v xml:space="preserve"> </v>
      </c>
      <c r="K368" s="222" t="str">
        <f t="shared" si="212"/>
        <v xml:space="preserve"> </v>
      </c>
      <c r="L368" s="222" t="str">
        <f t="shared" si="212"/>
        <v xml:space="preserve"> </v>
      </c>
      <c r="M368" s="166">
        <f t="shared" si="212"/>
        <v>27</v>
      </c>
      <c r="O368" s="1">
        <f t="shared" si="188"/>
        <v>24</v>
      </c>
      <c r="P368" s="345"/>
      <c r="S368" s="345">
        <f t="shared" si="189"/>
        <v>900</v>
      </c>
      <c r="T368" s="225">
        <f>D368</f>
        <v>22</v>
      </c>
    </row>
    <row r="369" spans="1:21" ht="15.75">
      <c r="A369" s="1">
        <f t="shared" si="186"/>
        <v>1997</v>
      </c>
      <c r="B369" s="331">
        <f t="shared" ref="B369:M369" si="213">IF(B297&lt;=65,65-B297," ")</f>
        <v>19</v>
      </c>
      <c r="C369" s="166">
        <f t="shared" si="213"/>
        <v>7</v>
      </c>
      <c r="D369" s="222" t="str">
        <f t="shared" si="213"/>
        <v xml:space="preserve"> </v>
      </c>
      <c r="E369" s="222" t="str">
        <f t="shared" si="213"/>
        <v xml:space="preserve"> </v>
      </c>
      <c r="F369" s="222" t="str">
        <f t="shared" si="213"/>
        <v xml:space="preserve"> </v>
      </c>
      <c r="G369" s="222" t="str">
        <f t="shared" si="213"/>
        <v xml:space="preserve"> </v>
      </c>
      <c r="H369" s="222" t="str">
        <f t="shared" si="213"/>
        <v xml:space="preserve"> </v>
      </c>
      <c r="I369" s="222" t="str">
        <f t="shared" si="213"/>
        <v xml:space="preserve"> </v>
      </c>
      <c r="J369" s="222" t="str">
        <f t="shared" si="213"/>
        <v xml:space="preserve"> </v>
      </c>
      <c r="K369" s="222" t="str">
        <f t="shared" si="213"/>
        <v xml:space="preserve"> </v>
      </c>
      <c r="L369" s="38" t="str">
        <f t="shared" si="213"/>
        <v xml:space="preserve"> </v>
      </c>
      <c r="M369" s="332">
        <f t="shared" si="213"/>
        <v>14</v>
      </c>
      <c r="O369" s="1">
        <f t="shared" si="188"/>
        <v>23</v>
      </c>
      <c r="P369" s="345"/>
      <c r="S369" s="345">
        <f t="shared" si="189"/>
        <v>1900</v>
      </c>
    </row>
    <row r="370" spans="1:21">
      <c r="A370" s="1">
        <f t="shared" si="186"/>
        <v>1998</v>
      </c>
      <c r="B370" s="331">
        <f t="shared" ref="B370:M370" si="214">IF(B298&lt;=65,65-B298," ")</f>
        <v>10</v>
      </c>
      <c r="C370" s="166">
        <f t="shared" si="214"/>
        <v>8</v>
      </c>
      <c r="D370" s="166">
        <f t="shared" si="214"/>
        <v>15</v>
      </c>
      <c r="E370" s="222" t="str">
        <f t="shared" si="214"/>
        <v xml:space="preserve"> </v>
      </c>
      <c r="F370" s="222" t="str">
        <f t="shared" si="214"/>
        <v xml:space="preserve"> </v>
      </c>
      <c r="G370" s="222" t="str">
        <f t="shared" si="214"/>
        <v xml:space="preserve"> </v>
      </c>
      <c r="H370" s="222" t="str">
        <f t="shared" si="214"/>
        <v xml:space="preserve"> </v>
      </c>
      <c r="I370" s="222" t="str">
        <f t="shared" si="214"/>
        <v xml:space="preserve"> </v>
      </c>
      <c r="J370" s="222" t="str">
        <f t="shared" si="214"/>
        <v xml:space="preserve"> </v>
      </c>
      <c r="K370" s="222" t="str">
        <f t="shared" si="214"/>
        <v xml:space="preserve"> </v>
      </c>
      <c r="L370" s="222" t="str">
        <f t="shared" si="214"/>
        <v xml:space="preserve"> </v>
      </c>
      <c r="M370" s="166">
        <f t="shared" si="214"/>
        <v>8</v>
      </c>
      <c r="O370" s="1">
        <f t="shared" si="188"/>
        <v>22</v>
      </c>
      <c r="P370" s="345"/>
      <c r="S370" s="345">
        <f t="shared" si="189"/>
        <v>800</v>
      </c>
      <c r="T370" s="225">
        <f>D370</f>
        <v>15</v>
      </c>
    </row>
    <row r="371" spans="1:21" ht="15.75">
      <c r="A371" s="1">
        <f t="shared" si="186"/>
        <v>1999</v>
      </c>
      <c r="B371" s="331">
        <f t="shared" ref="B371:M371" si="215">IF(B299&lt;=65,65-B299," ")</f>
        <v>21</v>
      </c>
      <c r="C371" s="166">
        <f t="shared" si="215"/>
        <v>14</v>
      </c>
      <c r="D371" s="166">
        <f t="shared" si="215"/>
        <v>6</v>
      </c>
      <c r="E371" s="222" t="str">
        <f t="shared" si="215"/>
        <v xml:space="preserve"> </v>
      </c>
      <c r="F371" s="222" t="str">
        <f t="shared" si="215"/>
        <v xml:space="preserve"> </v>
      </c>
      <c r="G371" s="222" t="str">
        <f t="shared" si="215"/>
        <v xml:space="preserve"> </v>
      </c>
      <c r="H371" s="222" t="str">
        <f t="shared" si="215"/>
        <v xml:space="preserve"> </v>
      </c>
      <c r="I371" s="222" t="str">
        <f t="shared" si="215"/>
        <v xml:space="preserve"> </v>
      </c>
      <c r="J371" s="222" t="str">
        <f t="shared" si="215"/>
        <v xml:space="preserve"> </v>
      </c>
      <c r="K371" s="222" t="str">
        <f t="shared" si="215"/>
        <v xml:space="preserve"> </v>
      </c>
      <c r="L371" s="222" t="str">
        <f t="shared" si="215"/>
        <v xml:space="preserve"> </v>
      </c>
      <c r="M371" s="38">
        <f t="shared" si="215"/>
        <v>12</v>
      </c>
      <c r="O371" s="1">
        <f t="shared" si="188"/>
        <v>21</v>
      </c>
      <c r="P371" s="345"/>
      <c r="S371" s="345">
        <f t="shared" si="189"/>
        <v>800</v>
      </c>
      <c r="T371" s="225">
        <f>D371</f>
        <v>6</v>
      </c>
    </row>
    <row r="372" spans="1:21">
      <c r="A372" s="1">
        <f t="shared" si="186"/>
        <v>2000</v>
      </c>
      <c r="B372" s="331">
        <f t="shared" ref="B372:M372" si="216">IF(B300&lt;=65,65-B300," ")</f>
        <v>20</v>
      </c>
      <c r="C372" s="166">
        <f t="shared" si="216"/>
        <v>15</v>
      </c>
      <c r="D372" s="222" t="str">
        <f t="shared" si="216"/>
        <v xml:space="preserve"> </v>
      </c>
      <c r="E372" s="222" t="str">
        <f t="shared" si="216"/>
        <v xml:space="preserve"> </v>
      </c>
      <c r="F372" s="222" t="str">
        <f t="shared" si="216"/>
        <v xml:space="preserve"> </v>
      </c>
      <c r="G372" s="222" t="str">
        <f t="shared" si="216"/>
        <v xml:space="preserve"> </v>
      </c>
      <c r="H372" s="222" t="str">
        <f t="shared" si="216"/>
        <v xml:space="preserve"> </v>
      </c>
      <c r="I372" s="222" t="str">
        <f t="shared" si="216"/>
        <v xml:space="preserve"> </v>
      </c>
      <c r="J372" s="222" t="str">
        <f t="shared" si="216"/>
        <v xml:space="preserve"> </v>
      </c>
      <c r="K372" s="222" t="str">
        <f t="shared" si="216"/>
        <v xml:space="preserve"> </v>
      </c>
      <c r="L372" s="166">
        <f t="shared" si="216"/>
        <v>14</v>
      </c>
      <c r="M372" s="166">
        <f t="shared" si="216"/>
        <v>18</v>
      </c>
      <c r="O372" s="1">
        <f t="shared" si="188"/>
        <v>20</v>
      </c>
      <c r="P372" s="345"/>
      <c r="Q372" s="225">
        <f>L372</f>
        <v>14</v>
      </c>
      <c r="S372" s="345">
        <f t="shared" si="189"/>
        <v>1600</v>
      </c>
    </row>
    <row r="373" spans="1:21">
      <c r="A373" s="1">
        <f t="shared" si="186"/>
        <v>2001</v>
      </c>
      <c r="B373" s="331">
        <f t="shared" ref="B373:M373" si="217">IF(B301&lt;=65,65-B301," ")</f>
        <v>18</v>
      </c>
      <c r="C373" s="166">
        <f t="shared" si="217"/>
        <v>11</v>
      </c>
      <c r="D373" s="222" t="str">
        <f t="shared" si="217"/>
        <v xml:space="preserve"> </v>
      </c>
      <c r="E373" s="222" t="str">
        <f t="shared" si="217"/>
        <v xml:space="preserve"> </v>
      </c>
      <c r="F373" s="222" t="str">
        <f t="shared" si="217"/>
        <v xml:space="preserve"> </v>
      </c>
      <c r="G373" s="222" t="str">
        <f t="shared" si="217"/>
        <v xml:space="preserve"> </v>
      </c>
      <c r="H373" s="222" t="str">
        <f t="shared" si="217"/>
        <v xml:space="preserve"> </v>
      </c>
      <c r="I373" s="222" t="str">
        <f t="shared" si="217"/>
        <v xml:space="preserve"> </v>
      </c>
      <c r="J373" s="222" t="str">
        <f t="shared" si="217"/>
        <v xml:space="preserve"> </v>
      </c>
      <c r="K373" s="222" t="str">
        <f t="shared" si="217"/>
        <v xml:space="preserve"> </v>
      </c>
      <c r="L373" s="222" t="str">
        <f t="shared" si="217"/>
        <v xml:space="preserve"> </v>
      </c>
      <c r="M373" s="222" t="str">
        <f t="shared" si="217"/>
        <v xml:space="preserve"> </v>
      </c>
      <c r="O373" s="1">
        <f t="shared" si="188"/>
        <v>19</v>
      </c>
      <c r="P373" s="345"/>
      <c r="S373" s="345">
        <f t="shared" si="189"/>
        <v>2000</v>
      </c>
    </row>
    <row r="374" spans="1:21">
      <c r="A374" s="1">
        <f t="shared" si="186"/>
        <v>2002</v>
      </c>
      <c r="B374" s="331">
        <f t="shared" ref="B374:M374" si="218">IF(B302&lt;=65,65-B302," ")</f>
        <v>17</v>
      </c>
      <c r="C374" s="166">
        <f t="shared" si="218"/>
        <v>20</v>
      </c>
      <c r="D374" s="166">
        <f t="shared" si="218"/>
        <v>15</v>
      </c>
      <c r="E374" s="222" t="str">
        <f t="shared" si="218"/>
        <v xml:space="preserve"> </v>
      </c>
      <c r="F374" s="222" t="str">
        <f t="shared" si="218"/>
        <v xml:space="preserve"> </v>
      </c>
      <c r="G374" s="222" t="str">
        <f t="shared" si="218"/>
        <v xml:space="preserve"> </v>
      </c>
      <c r="H374" s="222" t="str">
        <f t="shared" si="218"/>
        <v xml:space="preserve"> </v>
      </c>
      <c r="I374" s="222" t="str">
        <f t="shared" si="218"/>
        <v xml:space="preserve"> </v>
      </c>
      <c r="J374" s="222" t="str">
        <f t="shared" si="218"/>
        <v xml:space="preserve"> </v>
      </c>
      <c r="K374" s="222" t="str">
        <f t="shared" si="218"/>
        <v xml:space="preserve"> </v>
      </c>
      <c r="L374" s="222" t="str">
        <f t="shared" si="218"/>
        <v xml:space="preserve"> </v>
      </c>
      <c r="M374" s="166">
        <f t="shared" si="218"/>
        <v>14</v>
      </c>
      <c r="O374" s="1">
        <f t="shared" si="188"/>
        <v>18</v>
      </c>
      <c r="P374" s="345"/>
      <c r="S374" s="345">
        <f t="shared" si="189"/>
        <v>800</v>
      </c>
      <c r="T374" s="225">
        <f>D374</f>
        <v>15</v>
      </c>
    </row>
    <row r="375" spans="1:21">
      <c r="A375" s="1">
        <f t="shared" si="186"/>
        <v>2003</v>
      </c>
      <c r="B375" s="39">
        <f t="shared" ref="B375:M375" si="219">IF(B303&lt;=65,65-B303," ")</f>
        <v>28</v>
      </c>
      <c r="C375" s="40">
        <f t="shared" si="219"/>
        <v>6</v>
      </c>
      <c r="D375" s="222" t="str">
        <f t="shared" si="219"/>
        <v xml:space="preserve"> </v>
      </c>
      <c r="E375" s="222" t="str">
        <f t="shared" si="219"/>
        <v xml:space="preserve"> </v>
      </c>
      <c r="F375" s="222" t="str">
        <f t="shared" si="219"/>
        <v xml:space="preserve"> </v>
      </c>
      <c r="G375" s="222" t="str">
        <f t="shared" si="219"/>
        <v xml:space="preserve"> </v>
      </c>
      <c r="H375" s="222" t="str">
        <f t="shared" si="219"/>
        <v xml:space="preserve"> </v>
      </c>
      <c r="I375" s="222" t="str">
        <f t="shared" si="219"/>
        <v xml:space="preserve"> </v>
      </c>
      <c r="J375" s="222" t="str">
        <f t="shared" si="219"/>
        <v xml:space="preserve"> </v>
      </c>
      <c r="K375" s="222" t="str">
        <f t="shared" si="219"/>
        <v xml:space="preserve"> </v>
      </c>
      <c r="L375" s="222" t="str">
        <f t="shared" si="219"/>
        <v xml:space="preserve"> </v>
      </c>
      <c r="M375" s="166">
        <f t="shared" si="219"/>
        <v>15</v>
      </c>
      <c r="O375" s="1">
        <f t="shared" si="188"/>
        <v>17</v>
      </c>
      <c r="P375" s="345"/>
      <c r="S375" s="345">
        <f t="shared" si="189"/>
        <v>1600</v>
      </c>
    </row>
    <row r="376" spans="1:21">
      <c r="A376" s="254">
        <f t="shared" si="186"/>
        <v>2004</v>
      </c>
      <c r="B376" s="40">
        <f t="shared" ref="B376:M376" si="220">IF(B304&lt;=65,65-B304," ")</f>
        <v>11</v>
      </c>
      <c r="C376" s="40">
        <f t="shared" si="220"/>
        <v>12</v>
      </c>
      <c r="D376" s="222" t="str">
        <f t="shared" si="220"/>
        <v xml:space="preserve"> </v>
      </c>
      <c r="E376" s="222" t="str">
        <f t="shared" si="220"/>
        <v xml:space="preserve"> </v>
      </c>
      <c r="F376" s="222" t="str">
        <f t="shared" si="220"/>
        <v xml:space="preserve"> </v>
      </c>
      <c r="G376" s="222" t="str">
        <f t="shared" si="220"/>
        <v xml:space="preserve"> </v>
      </c>
      <c r="H376" s="222" t="str">
        <f t="shared" si="220"/>
        <v xml:space="preserve"> </v>
      </c>
      <c r="I376" s="222" t="str">
        <f t="shared" si="220"/>
        <v xml:space="preserve"> </v>
      </c>
      <c r="J376" s="222" t="str">
        <f t="shared" si="220"/>
        <v xml:space="preserve"> </v>
      </c>
      <c r="K376" s="222" t="str">
        <f t="shared" si="220"/>
        <v xml:space="preserve"> </v>
      </c>
      <c r="L376" s="222" t="str">
        <f t="shared" si="220"/>
        <v xml:space="preserve"> </v>
      </c>
      <c r="M376" s="166">
        <f t="shared" si="220"/>
        <v>20</v>
      </c>
      <c r="O376" s="1">
        <f t="shared" si="188"/>
        <v>16</v>
      </c>
      <c r="P376" s="345"/>
      <c r="S376" s="345">
        <f t="shared" si="189"/>
        <v>1700</v>
      </c>
    </row>
    <row r="377" spans="1:21">
      <c r="A377" s="254">
        <f t="shared" ref="A377:A394" si="221">A39</f>
        <v>2005</v>
      </c>
      <c r="B377" s="40">
        <f t="shared" ref="B377:M377" si="222">IF(B305&lt;=65,65-B305," ")</f>
        <v>22</v>
      </c>
      <c r="C377" s="40">
        <f t="shared" si="222"/>
        <v>15</v>
      </c>
      <c r="D377" s="40">
        <f t="shared" si="222"/>
        <v>15</v>
      </c>
      <c r="E377" s="222" t="str">
        <f t="shared" si="222"/>
        <v xml:space="preserve"> </v>
      </c>
      <c r="F377" s="222" t="str">
        <f t="shared" si="222"/>
        <v xml:space="preserve"> </v>
      </c>
      <c r="G377" s="222" t="str">
        <f t="shared" si="222"/>
        <v xml:space="preserve"> </v>
      </c>
      <c r="H377" s="222" t="str">
        <f t="shared" si="222"/>
        <v xml:space="preserve"> </v>
      </c>
      <c r="I377" s="222" t="str">
        <f t="shared" si="222"/>
        <v xml:space="preserve"> </v>
      </c>
      <c r="J377" s="222" t="str">
        <f t="shared" si="222"/>
        <v xml:space="preserve"> </v>
      </c>
      <c r="K377" s="222" t="str">
        <f t="shared" si="222"/>
        <v xml:space="preserve"> </v>
      </c>
      <c r="L377" s="222" t="str">
        <f t="shared" si="222"/>
        <v xml:space="preserve"> </v>
      </c>
      <c r="M377" s="166">
        <f t="shared" si="222"/>
        <v>17</v>
      </c>
      <c r="O377" s="1">
        <f t="shared" si="188"/>
        <v>15</v>
      </c>
      <c r="P377" s="345"/>
      <c r="S377" s="345">
        <f t="shared" si="189"/>
        <v>2000</v>
      </c>
      <c r="U377" s="225">
        <f>D377</f>
        <v>15</v>
      </c>
    </row>
    <row r="378" spans="1:21">
      <c r="A378" s="254">
        <f t="shared" si="221"/>
        <v>2006</v>
      </c>
      <c r="B378" s="40">
        <f t="shared" ref="B378:M378" si="223">IF(B306&lt;=65,65-B306," ")</f>
        <v>8</v>
      </c>
      <c r="C378" s="40">
        <f t="shared" si="223"/>
        <v>17</v>
      </c>
      <c r="D378" s="222" t="str">
        <f t="shared" si="223"/>
        <v xml:space="preserve"> </v>
      </c>
      <c r="E378" s="222" t="str">
        <f t="shared" si="223"/>
        <v xml:space="preserve"> </v>
      </c>
      <c r="F378" s="222" t="str">
        <f t="shared" si="223"/>
        <v xml:space="preserve"> </v>
      </c>
      <c r="G378" s="222" t="str">
        <f t="shared" si="223"/>
        <v xml:space="preserve"> </v>
      </c>
      <c r="H378" s="222" t="str">
        <f t="shared" si="223"/>
        <v xml:space="preserve"> </v>
      </c>
      <c r="I378" s="222" t="str">
        <f t="shared" si="223"/>
        <v xml:space="preserve"> </v>
      </c>
      <c r="J378" s="222" t="str">
        <f t="shared" si="223"/>
        <v xml:space="preserve"> </v>
      </c>
      <c r="K378" s="222" t="str">
        <f t="shared" si="223"/>
        <v xml:space="preserve"> </v>
      </c>
      <c r="L378" s="222" t="str">
        <f t="shared" si="223"/>
        <v xml:space="preserve"> </v>
      </c>
      <c r="M378" s="222" t="str">
        <f t="shared" si="223"/>
        <v xml:space="preserve"> </v>
      </c>
      <c r="O378" s="1">
        <f t="shared" si="188"/>
        <v>14</v>
      </c>
      <c r="P378" s="345"/>
      <c r="S378" s="345">
        <f t="shared" si="189"/>
        <v>1700</v>
      </c>
    </row>
    <row r="379" spans="1:21">
      <c r="A379" s="254">
        <f t="shared" si="221"/>
        <v>2007</v>
      </c>
      <c r="B379" s="40">
        <f t="shared" ref="B379:M379" si="224">IF(B307&lt;=65,65-B307," ")</f>
        <v>16</v>
      </c>
      <c r="C379" s="40">
        <f t="shared" si="224"/>
        <v>15</v>
      </c>
      <c r="D379" s="222" t="str">
        <f t="shared" si="224"/>
        <v xml:space="preserve"> </v>
      </c>
      <c r="E379" s="222" t="str">
        <f t="shared" si="224"/>
        <v xml:space="preserve"> </v>
      </c>
      <c r="F379" s="222" t="str">
        <f t="shared" si="224"/>
        <v xml:space="preserve"> </v>
      </c>
      <c r="G379" s="222" t="str">
        <f t="shared" si="224"/>
        <v xml:space="preserve"> </v>
      </c>
      <c r="H379" s="222" t="str">
        <f t="shared" si="224"/>
        <v xml:space="preserve"> </v>
      </c>
      <c r="I379" s="222" t="str">
        <f t="shared" si="224"/>
        <v xml:space="preserve"> </v>
      </c>
      <c r="J379" s="222" t="str">
        <f t="shared" si="224"/>
        <v xml:space="preserve"> </v>
      </c>
      <c r="K379" s="222" t="str">
        <f t="shared" si="224"/>
        <v xml:space="preserve"> </v>
      </c>
      <c r="L379" s="222" t="str">
        <f t="shared" si="224"/>
        <v xml:space="preserve"> </v>
      </c>
      <c r="M379" s="332">
        <f t="shared" si="224"/>
        <v>18</v>
      </c>
      <c r="O379" s="1">
        <f t="shared" si="188"/>
        <v>13</v>
      </c>
      <c r="P379" s="345"/>
      <c r="S379" s="345">
        <f t="shared" si="189"/>
        <v>1800</v>
      </c>
    </row>
    <row r="380" spans="1:21">
      <c r="A380" s="254">
        <f t="shared" si="221"/>
        <v>2008</v>
      </c>
      <c r="B380" s="40">
        <f t="shared" ref="B380:M380" si="225">IF(B308&lt;=65,65-B308," ")</f>
        <v>24</v>
      </c>
      <c r="C380" s="40">
        <f t="shared" si="225"/>
        <v>16</v>
      </c>
      <c r="D380" s="222" t="str">
        <f t="shared" si="225"/>
        <v xml:space="preserve"> </v>
      </c>
      <c r="E380" s="222" t="str">
        <f t="shared" si="225"/>
        <v xml:space="preserve"> </v>
      </c>
      <c r="F380" s="222" t="str">
        <f t="shared" si="225"/>
        <v xml:space="preserve"> </v>
      </c>
      <c r="G380" s="222" t="str">
        <f t="shared" si="225"/>
        <v xml:space="preserve"> </v>
      </c>
      <c r="H380" s="222" t="str">
        <f t="shared" si="225"/>
        <v xml:space="preserve"> </v>
      </c>
      <c r="I380" s="222" t="str">
        <f t="shared" si="225"/>
        <v xml:space="preserve"> </v>
      </c>
      <c r="J380" s="222" t="str">
        <f t="shared" si="225"/>
        <v xml:space="preserve"> </v>
      </c>
      <c r="K380" s="222" t="str">
        <f t="shared" si="225"/>
        <v xml:space="preserve"> </v>
      </c>
      <c r="L380" s="222" t="str">
        <f t="shared" si="225"/>
        <v xml:space="preserve"> </v>
      </c>
      <c r="M380" s="166">
        <f t="shared" si="225"/>
        <v>10</v>
      </c>
      <c r="O380" s="1">
        <f t="shared" si="188"/>
        <v>12</v>
      </c>
      <c r="P380" s="345"/>
      <c r="S380" s="345">
        <f t="shared" si="189"/>
        <v>1800</v>
      </c>
    </row>
    <row r="381" spans="1:21">
      <c r="A381" s="254">
        <f t="shared" si="221"/>
        <v>2009</v>
      </c>
      <c r="B381" s="40">
        <f t="shared" ref="B381:M381" si="226">IF(B309&lt;=65,65-B309," ")</f>
        <v>19</v>
      </c>
      <c r="C381" s="40">
        <f t="shared" si="226"/>
        <v>16</v>
      </c>
      <c r="D381" s="40">
        <f t="shared" si="226"/>
        <v>14</v>
      </c>
      <c r="E381" s="222" t="str">
        <f t="shared" si="226"/>
        <v xml:space="preserve"> </v>
      </c>
      <c r="F381" s="222" t="str">
        <f t="shared" si="226"/>
        <v xml:space="preserve"> </v>
      </c>
      <c r="G381" s="222" t="str">
        <f t="shared" si="226"/>
        <v xml:space="preserve"> </v>
      </c>
      <c r="H381" s="222" t="str">
        <f t="shared" si="226"/>
        <v xml:space="preserve"> </v>
      </c>
      <c r="I381" s="222" t="str">
        <f t="shared" si="226"/>
        <v xml:space="preserve"> </v>
      </c>
      <c r="J381" s="222" t="str">
        <f t="shared" si="226"/>
        <v xml:space="preserve"> </v>
      </c>
      <c r="K381" s="222" t="str">
        <f t="shared" si="226"/>
        <v xml:space="preserve"> </v>
      </c>
      <c r="L381" s="222" t="str">
        <f t="shared" si="226"/>
        <v xml:space="preserve"> </v>
      </c>
      <c r="M381" s="222" t="str">
        <f t="shared" si="226"/>
        <v xml:space="preserve"> </v>
      </c>
      <c r="O381" s="1">
        <f t="shared" si="188"/>
        <v>11</v>
      </c>
      <c r="P381" s="345"/>
      <c r="S381" s="345">
        <f t="shared" si="189"/>
        <v>800</v>
      </c>
      <c r="T381" s="225">
        <f>D381</f>
        <v>14</v>
      </c>
    </row>
    <row r="382" spans="1:21">
      <c r="A382" s="254">
        <f t="shared" si="221"/>
        <v>2010</v>
      </c>
      <c r="B382" s="40">
        <f t="shared" ref="B382:M382" si="227">IF(B310&lt;=65,65-B310," ")</f>
        <v>27</v>
      </c>
      <c r="C382" s="40">
        <f t="shared" si="227"/>
        <v>16</v>
      </c>
      <c r="D382" s="40">
        <f t="shared" si="227"/>
        <v>15</v>
      </c>
      <c r="E382" s="222" t="str">
        <f t="shared" si="227"/>
        <v xml:space="preserve"> </v>
      </c>
      <c r="F382" s="222" t="str">
        <f t="shared" si="227"/>
        <v xml:space="preserve"> </v>
      </c>
      <c r="G382" s="222" t="str">
        <f t="shared" si="227"/>
        <v xml:space="preserve"> </v>
      </c>
      <c r="H382" s="222" t="str">
        <f t="shared" si="227"/>
        <v xml:space="preserve"> </v>
      </c>
      <c r="I382" s="222" t="str">
        <f t="shared" si="227"/>
        <v xml:space="preserve"> </v>
      </c>
      <c r="J382" s="222" t="str">
        <f t="shared" si="227"/>
        <v xml:space="preserve"> </v>
      </c>
      <c r="K382" s="222" t="str">
        <f t="shared" si="227"/>
        <v xml:space="preserve"> </v>
      </c>
      <c r="L382" s="222" t="str">
        <f t="shared" si="227"/>
        <v xml:space="preserve"> </v>
      </c>
      <c r="M382" s="166">
        <f t="shared" si="227"/>
        <v>21</v>
      </c>
      <c r="O382" s="1">
        <f t="shared" si="188"/>
        <v>10</v>
      </c>
      <c r="P382" s="345"/>
      <c r="S382" s="345">
        <f t="shared" si="189"/>
        <v>800</v>
      </c>
      <c r="T382" s="225">
        <f>D382</f>
        <v>15</v>
      </c>
    </row>
    <row r="383" spans="1:21">
      <c r="A383" s="254">
        <f t="shared" si="221"/>
        <v>2011</v>
      </c>
      <c r="B383" s="40">
        <f t="shared" ref="B383:M383" si="228">IF(B311&lt;=65,65-B311," ")</f>
        <v>24</v>
      </c>
      <c r="C383" s="40">
        <f t="shared" si="228"/>
        <v>10</v>
      </c>
      <c r="D383" s="222" t="str">
        <f t="shared" si="228"/>
        <v xml:space="preserve"> </v>
      </c>
      <c r="E383" s="222" t="str">
        <f t="shared" si="228"/>
        <v xml:space="preserve"> </v>
      </c>
      <c r="F383" s="222" t="str">
        <f t="shared" si="228"/>
        <v xml:space="preserve"> </v>
      </c>
      <c r="G383" s="222" t="str">
        <f t="shared" si="228"/>
        <v xml:space="preserve"> </v>
      </c>
      <c r="H383" s="222" t="str">
        <f t="shared" si="228"/>
        <v xml:space="preserve"> </v>
      </c>
      <c r="I383" s="222" t="str">
        <f t="shared" si="228"/>
        <v xml:space="preserve"> </v>
      </c>
      <c r="J383" s="222" t="str">
        <f t="shared" si="228"/>
        <v xml:space="preserve"> </v>
      </c>
      <c r="K383" s="222" t="str">
        <f t="shared" si="228"/>
        <v xml:space="preserve"> </v>
      </c>
      <c r="L383" s="222" t="str">
        <f t="shared" si="228"/>
        <v xml:space="preserve"> </v>
      </c>
      <c r="M383" s="222" t="str">
        <f t="shared" si="228"/>
        <v xml:space="preserve"> </v>
      </c>
      <c r="O383" s="1">
        <f t="shared" si="188"/>
        <v>9</v>
      </c>
      <c r="P383" s="345"/>
      <c r="S383" s="345">
        <f t="shared" si="189"/>
        <v>1600</v>
      </c>
    </row>
    <row r="384" spans="1:21">
      <c r="A384" s="254">
        <f t="shared" si="221"/>
        <v>2012</v>
      </c>
      <c r="B384" s="40">
        <f t="shared" ref="B384:M384" si="229">IF(B312&lt;=65,65-B312," ")</f>
        <v>21</v>
      </c>
      <c r="C384" s="40">
        <f t="shared" si="229"/>
        <v>14</v>
      </c>
      <c r="D384" s="222" t="str">
        <f t="shared" si="229"/>
        <v xml:space="preserve"> </v>
      </c>
      <c r="E384" s="222" t="str">
        <f t="shared" si="229"/>
        <v xml:space="preserve"> </v>
      </c>
      <c r="F384" s="222" t="str">
        <f t="shared" si="229"/>
        <v xml:space="preserve"> </v>
      </c>
      <c r="G384" s="222" t="str">
        <f t="shared" si="229"/>
        <v xml:space="preserve"> </v>
      </c>
      <c r="H384" s="222" t="str">
        <f t="shared" si="229"/>
        <v xml:space="preserve"> </v>
      </c>
      <c r="I384" s="222" t="str">
        <f t="shared" si="229"/>
        <v xml:space="preserve"> </v>
      </c>
      <c r="J384" s="222" t="str">
        <f t="shared" si="229"/>
        <v xml:space="preserve"> </v>
      </c>
      <c r="K384" s="222" t="str">
        <f t="shared" si="229"/>
        <v xml:space="preserve"> </v>
      </c>
      <c r="L384" s="222" t="str">
        <f t="shared" si="229"/>
        <v xml:space="preserve"> </v>
      </c>
      <c r="M384" s="222" t="str">
        <f t="shared" si="229"/>
        <v xml:space="preserve"> </v>
      </c>
      <c r="O384" s="1">
        <f t="shared" si="188"/>
        <v>8</v>
      </c>
      <c r="P384" s="345"/>
      <c r="S384" s="345">
        <f t="shared" si="189"/>
        <v>1800</v>
      </c>
    </row>
    <row r="385" spans="1:21">
      <c r="A385" s="254">
        <f t="shared" si="221"/>
        <v>2013</v>
      </c>
      <c r="B385" s="222"/>
      <c r="C385" s="40">
        <f t="shared" ref="C385:M385" si="230">IF(C313&lt;=65,65-C313," ")</f>
        <v>10</v>
      </c>
      <c r="D385" s="40">
        <f t="shared" si="230"/>
        <v>13</v>
      </c>
      <c r="E385" s="222" t="str">
        <f t="shared" si="230"/>
        <v xml:space="preserve"> </v>
      </c>
      <c r="F385" s="222" t="str">
        <f t="shared" si="230"/>
        <v xml:space="preserve"> </v>
      </c>
      <c r="G385" s="222" t="str">
        <f t="shared" si="230"/>
        <v xml:space="preserve"> </v>
      </c>
      <c r="H385" s="222" t="str">
        <f t="shared" si="230"/>
        <v xml:space="preserve"> </v>
      </c>
      <c r="I385" s="222" t="str">
        <f t="shared" si="230"/>
        <v xml:space="preserve"> </v>
      </c>
      <c r="J385" s="222" t="str">
        <f t="shared" si="230"/>
        <v xml:space="preserve"> </v>
      </c>
      <c r="K385" s="222" t="str">
        <f t="shared" si="230"/>
        <v xml:space="preserve"> </v>
      </c>
      <c r="L385" s="222" t="str">
        <f t="shared" si="230"/>
        <v xml:space="preserve"> </v>
      </c>
      <c r="M385" s="222" t="str">
        <f t="shared" si="230"/>
        <v xml:space="preserve"> </v>
      </c>
      <c r="O385" s="1">
        <f t="shared" ref="O385:O390" si="231">+O386+1</f>
        <v>7</v>
      </c>
      <c r="P385" s="345"/>
      <c r="S385" s="345">
        <f t="shared" si="189"/>
        <v>800</v>
      </c>
      <c r="T385" s="225">
        <f>D385</f>
        <v>13</v>
      </c>
    </row>
    <row r="386" spans="1:21">
      <c r="A386" s="254">
        <f t="shared" si="221"/>
        <v>2014</v>
      </c>
      <c r="B386" s="40">
        <f>IF(B314&lt;=65,65-B314," ")</f>
        <v>16</v>
      </c>
      <c r="C386" s="253">
        <f>IF(C314&lt;=65,65-C314," ")</f>
        <v>11</v>
      </c>
      <c r="D386" s="222" t="str">
        <f>IF(D314&lt;=65,65-D314," ")</f>
        <v xml:space="preserve"> </v>
      </c>
      <c r="E386" s="222" t="str">
        <f>IF(E314&lt;=65,65-E314," ")</f>
        <v xml:space="preserve"> </v>
      </c>
      <c r="F386" s="222" t="str">
        <f t="shared" ref="F386:K386" si="232">IF(F314&lt;=65,65-F314," ")</f>
        <v xml:space="preserve"> </v>
      </c>
      <c r="G386" s="222" t="str">
        <f t="shared" si="232"/>
        <v xml:space="preserve"> </v>
      </c>
      <c r="H386" s="222" t="str">
        <f t="shared" si="232"/>
        <v xml:space="preserve"> </v>
      </c>
      <c r="I386" s="222" t="str">
        <f t="shared" si="232"/>
        <v xml:space="preserve"> </v>
      </c>
      <c r="J386" s="222" t="str">
        <f t="shared" si="232"/>
        <v xml:space="preserve"> </v>
      </c>
      <c r="K386" s="222" t="str">
        <f t="shared" si="232"/>
        <v xml:space="preserve"> </v>
      </c>
      <c r="L386" s="253">
        <f>IF(L314&lt;=65,65-L314," ")</f>
        <v>15</v>
      </c>
      <c r="M386" s="253">
        <f>IF(M314&lt;=65,65-M314," ")</f>
        <v>10</v>
      </c>
      <c r="O386" s="1">
        <f t="shared" si="231"/>
        <v>6</v>
      </c>
      <c r="P386" s="345"/>
      <c r="Q386" s="225">
        <v>15</v>
      </c>
      <c r="S386" s="345">
        <f t="shared" si="189"/>
        <v>1800</v>
      </c>
    </row>
    <row r="387" spans="1:21">
      <c r="A387" s="254">
        <f t="shared" si="221"/>
        <v>2015</v>
      </c>
      <c r="B387" s="40">
        <f>IF(B315&lt;=65,65-B315," ")</f>
        <v>8</v>
      </c>
      <c r="C387" s="40">
        <f t="shared" ref="C387:L387" si="233">IF(C315&lt;=65,65-C315," ")</f>
        <v>19</v>
      </c>
      <c r="D387" s="222" t="str">
        <f t="shared" si="233"/>
        <v xml:space="preserve"> </v>
      </c>
      <c r="E387" s="222" t="str">
        <f t="shared" si="233"/>
        <v xml:space="preserve"> </v>
      </c>
      <c r="F387" s="222" t="str">
        <f t="shared" si="233"/>
        <v xml:space="preserve"> </v>
      </c>
      <c r="G387" s="222" t="str">
        <f t="shared" si="233"/>
        <v xml:space="preserve"> </v>
      </c>
      <c r="H387" s="222" t="str">
        <f t="shared" si="233"/>
        <v xml:space="preserve"> </v>
      </c>
      <c r="I387" s="222" t="str">
        <f t="shared" si="233"/>
        <v xml:space="preserve"> </v>
      </c>
      <c r="J387" s="222" t="str">
        <f t="shared" si="233"/>
        <v xml:space="preserve"> </v>
      </c>
      <c r="K387" s="222" t="str">
        <f t="shared" si="233"/>
        <v xml:space="preserve"> </v>
      </c>
      <c r="L387" s="222" t="str">
        <f t="shared" si="233"/>
        <v xml:space="preserve"> </v>
      </c>
      <c r="M387" s="222" t="str">
        <f>IF(M315&lt;=65,65-M315," ")</f>
        <v xml:space="preserve"> </v>
      </c>
      <c r="O387" s="1">
        <f t="shared" si="231"/>
        <v>5</v>
      </c>
      <c r="P387" s="345"/>
      <c r="S387" s="345">
        <f t="shared" si="189"/>
        <v>1800</v>
      </c>
    </row>
    <row r="388" spans="1:21">
      <c r="A388" s="254">
        <f t="shared" si="221"/>
        <v>2016</v>
      </c>
      <c r="B388" s="40">
        <f>IF(B316&lt;=65,65-B316," ")</f>
        <v>12</v>
      </c>
      <c r="C388" s="40">
        <f t="shared" ref="C388:L388" si="234">IF(C316&lt;=65,65-C316," ")</f>
        <v>11.083333333333336</v>
      </c>
      <c r="D388" s="222" t="str">
        <f t="shared" si="234"/>
        <v xml:space="preserve"> </v>
      </c>
      <c r="E388" s="222" t="str">
        <f t="shared" si="234"/>
        <v xml:space="preserve"> </v>
      </c>
      <c r="F388" s="222" t="str">
        <f t="shared" si="234"/>
        <v xml:space="preserve"> </v>
      </c>
      <c r="G388" s="222" t="str">
        <f t="shared" si="234"/>
        <v xml:space="preserve"> </v>
      </c>
      <c r="H388" s="222" t="str">
        <f t="shared" si="234"/>
        <v xml:space="preserve"> </v>
      </c>
      <c r="I388" s="222" t="str">
        <f t="shared" si="234"/>
        <v xml:space="preserve"> </v>
      </c>
      <c r="J388" s="222" t="str">
        <f t="shared" si="234"/>
        <v xml:space="preserve"> </v>
      </c>
      <c r="K388" s="222" t="str">
        <f t="shared" si="234"/>
        <v xml:space="preserve"> </v>
      </c>
      <c r="L388" s="222" t="str">
        <f t="shared" si="234"/>
        <v xml:space="preserve"> </v>
      </c>
      <c r="M388" s="222" t="str">
        <f>IF(M316&lt;=65,65-M316," ")</f>
        <v xml:space="preserve"> </v>
      </c>
      <c r="O388" s="1">
        <f t="shared" si="231"/>
        <v>4</v>
      </c>
      <c r="P388" s="345"/>
      <c r="S388" s="345">
        <f t="shared" si="189"/>
        <v>1800</v>
      </c>
    </row>
    <row r="389" spans="1:21">
      <c r="A389" s="254">
        <f t="shared" si="221"/>
        <v>2017</v>
      </c>
      <c r="B389" s="40">
        <f>IF(B317&lt;=65,65-B317," ")</f>
        <v>12</v>
      </c>
      <c r="C389" s="222" t="str">
        <f t="shared" ref="C389:L389" si="235">IF(C317&lt;=65,65-C317," ")</f>
        <v xml:space="preserve"> </v>
      </c>
      <c r="D389" s="222" t="str">
        <f t="shared" si="235"/>
        <v xml:space="preserve"> </v>
      </c>
      <c r="E389" s="222" t="str">
        <f t="shared" si="235"/>
        <v xml:space="preserve"> </v>
      </c>
      <c r="F389" s="222" t="str">
        <f t="shared" si="235"/>
        <v xml:space="preserve"> </v>
      </c>
      <c r="G389" s="222" t="str">
        <f t="shared" si="235"/>
        <v xml:space="preserve"> </v>
      </c>
      <c r="H389" s="222" t="str">
        <f t="shared" si="235"/>
        <v xml:space="preserve"> </v>
      </c>
      <c r="I389" s="222" t="str">
        <f t="shared" si="235"/>
        <v xml:space="preserve"> </v>
      </c>
      <c r="J389" s="222" t="str">
        <f t="shared" si="235"/>
        <v xml:space="preserve"> </v>
      </c>
      <c r="K389" s="222" t="str">
        <f t="shared" si="235"/>
        <v xml:space="preserve"> </v>
      </c>
      <c r="L389" s="222" t="str">
        <f t="shared" si="235"/>
        <v xml:space="preserve"> </v>
      </c>
      <c r="M389" s="253">
        <f>IF(M317&lt;=65,65-M317," ")</f>
        <v>11.583333333333336</v>
      </c>
      <c r="O389" s="1">
        <f t="shared" si="231"/>
        <v>3</v>
      </c>
      <c r="P389" s="345"/>
      <c r="S389" s="345">
        <f t="shared" si="189"/>
        <v>1700</v>
      </c>
    </row>
    <row r="390" spans="1:21">
      <c r="A390" s="254">
        <f t="shared" si="221"/>
        <v>2018</v>
      </c>
      <c r="B390" s="40">
        <f>IF(B318&lt;=65,65-B318," ")</f>
        <v>24</v>
      </c>
      <c r="C390" s="222" t="str">
        <f t="shared" ref="C390:L390" si="236">IF(C318&lt;=65,65-C318," ")</f>
        <v xml:space="preserve"> </v>
      </c>
      <c r="D390" s="222" t="str">
        <f t="shared" si="236"/>
        <v xml:space="preserve"> </v>
      </c>
      <c r="E390" s="222" t="str">
        <f t="shared" si="236"/>
        <v xml:space="preserve"> </v>
      </c>
      <c r="F390" s="222" t="str">
        <f t="shared" si="236"/>
        <v xml:space="preserve"> </v>
      </c>
      <c r="G390" s="222" t="str">
        <f t="shared" si="236"/>
        <v xml:space="preserve"> </v>
      </c>
      <c r="H390" s="222" t="str">
        <f t="shared" si="236"/>
        <v xml:space="preserve"> </v>
      </c>
      <c r="I390" s="222" t="str">
        <f t="shared" si="236"/>
        <v xml:space="preserve"> </v>
      </c>
      <c r="J390" s="222" t="str">
        <f t="shared" si="236"/>
        <v xml:space="preserve"> </v>
      </c>
      <c r="K390" s="222" t="str">
        <f t="shared" si="236"/>
        <v xml:space="preserve"> </v>
      </c>
      <c r="L390" s="222" t="str">
        <f t="shared" si="236"/>
        <v xml:space="preserve"> </v>
      </c>
      <c r="M390" s="222" t="str">
        <f>IF(M318&lt;=65,65-M318," ")</f>
        <v xml:space="preserve"> </v>
      </c>
      <c r="O390" s="1">
        <f t="shared" si="231"/>
        <v>2</v>
      </c>
      <c r="P390" s="345"/>
      <c r="S390" s="345">
        <f t="shared" si="189"/>
        <v>1800</v>
      </c>
    </row>
    <row r="391" spans="1:21">
      <c r="A391" s="254">
        <f t="shared" si="221"/>
        <v>2019</v>
      </c>
      <c r="B391" s="40">
        <f>IF(B319&lt;=65,65-B319," ")</f>
        <v>11</v>
      </c>
      <c r="C391" s="222" t="str">
        <f t="shared" ref="C391:L391" si="237">IF(C319&lt;=65,65-C319," ")</f>
        <v xml:space="preserve"> </v>
      </c>
      <c r="D391" s="222" t="str">
        <f t="shared" si="237"/>
        <v xml:space="preserve"> </v>
      </c>
      <c r="E391" s="222" t="str">
        <f t="shared" si="237"/>
        <v xml:space="preserve"> </v>
      </c>
      <c r="F391" s="222" t="str">
        <f t="shared" si="237"/>
        <v xml:space="preserve"> </v>
      </c>
      <c r="G391" s="222" t="str">
        <f t="shared" si="237"/>
        <v xml:space="preserve"> </v>
      </c>
      <c r="H391" s="222" t="str">
        <f t="shared" si="237"/>
        <v xml:space="preserve"> </v>
      </c>
      <c r="I391" s="222" t="str">
        <f t="shared" si="237"/>
        <v xml:space="preserve"> </v>
      </c>
      <c r="J391" s="222" t="str">
        <f t="shared" si="237"/>
        <v xml:space="preserve"> </v>
      </c>
      <c r="K391" s="222" t="str">
        <f t="shared" si="237"/>
        <v xml:space="preserve"> </v>
      </c>
      <c r="L391" s="222" t="str">
        <f t="shared" si="237"/>
        <v xml:space="preserve"> </v>
      </c>
      <c r="M391" s="222" t="str">
        <f>IF(M319&lt;=65,65-M319," ")</f>
        <v xml:space="preserve"> </v>
      </c>
      <c r="O391" s="1">
        <v>1</v>
      </c>
      <c r="P391" s="345"/>
      <c r="S391" s="345">
        <f t="shared" si="189"/>
        <v>1800</v>
      </c>
    </row>
    <row r="392" spans="1:21">
      <c r="A392" s="254">
        <f t="shared" si="221"/>
        <v>2020</v>
      </c>
      <c r="B392" s="40"/>
      <c r="C392" s="222"/>
      <c r="D392" s="222"/>
      <c r="E392" s="222"/>
      <c r="F392" s="222"/>
      <c r="G392" s="222"/>
      <c r="H392" s="222"/>
      <c r="I392" s="222"/>
      <c r="J392" s="222"/>
      <c r="K392" s="222"/>
      <c r="L392" s="222"/>
      <c r="M392" s="222"/>
      <c r="P392" s="345"/>
      <c r="S392" s="345"/>
    </row>
    <row r="393" spans="1:21">
      <c r="A393" s="254">
        <f t="shared" si="221"/>
        <v>2021</v>
      </c>
      <c r="B393" s="40"/>
      <c r="C393" s="222"/>
      <c r="D393" s="222"/>
      <c r="E393" s="222"/>
      <c r="F393" s="222"/>
      <c r="G393" s="222"/>
      <c r="H393" s="222"/>
      <c r="I393" s="222"/>
      <c r="J393" s="222"/>
      <c r="K393" s="222"/>
      <c r="L393" s="222"/>
      <c r="M393" s="222"/>
      <c r="P393" s="345"/>
      <c r="S393" s="345"/>
    </row>
    <row r="394" spans="1:21" customFormat="1">
      <c r="A394" s="254">
        <f t="shared" si="221"/>
        <v>2022</v>
      </c>
    </row>
    <row r="395" spans="1:21">
      <c r="B395" s="40"/>
      <c r="C395" s="253"/>
    </row>
    <row r="396" spans="1:21" ht="15.75">
      <c r="A396" s="1" t="s">
        <v>67</v>
      </c>
      <c r="B396" s="43">
        <f>AVERAGE(B362:B391)</f>
        <v>16.896551724137932</v>
      </c>
      <c r="C396" s="43">
        <f>AVERAGE(C362:C391)</f>
        <v>14.410493827160494</v>
      </c>
      <c r="D396" s="43">
        <f>AVERAGE(D362:D391)</f>
        <v>13.916666666666666</v>
      </c>
      <c r="E396" s="43"/>
      <c r="F396" s="43"/>
      <c r="G396" s="43"/>
      <c r="H396" s="43"/>
      <c r="I396" s="43"/>
      <c r="J396" s="43"/>
      <c r="K396" s="43"/>
      <c r="L396" s="43">
        <f>AVERAGE(L362:L391)</f>
        <v>14</v>
      </c>
      <c r="M396" s="43">
        <f>AVERAGE(M362:M391)</f>
        <v>14.504385964912279</v>
      </c>
      <c r="Q396" s="302">
        <f>AVERAGE(Q362:Q391)</f>
        <v>14</v>
      </c>
      <c r="R396" s="302" t="e">
        <f>AVERAGE(R362:R391)</f>
        <v>#DIV/0!</v>
      </c>
      <c r="S396" s="225" t="s">
        <v>67</v>
      </c>
      <c r="T396" s="302">
        <f>AVERAGE(T362:T391)</f>
        <v>13.7</v>
      </c>
      <c r="U396" s="302">
        <f>AVERAGE(U362:U391)</f>
        <v>15</v>
      </c>
    </row>
    <row r="397" spans="1:21" ht="15.75">
      <c r="A397" s="1" t="s">
        <v>69</v>
      </c>
      <c r="B397" s="43">
        <f>AVERAGE(B372:B391)</f>
        <v>17.789473684210527</v>
      </c>
      <c r="C397" s="43">
        <f>AVERAGE(C372:C391)</f>
        <v>13.769607843137255</v>
      </c>
      <c r="D397" s="43">
        <f>AVERAGE(D372:D391)</f>
        <v>14.4</v>
      </c>
      <c r="E397" s="43"/>
      <c r="F397" s="43"/>
      <c r="G397" s="43"/>
      <c r="H397" s="43"/>
      <c r="I397" s="43"/>
      <c r="J397" s="43"/>
      <c r="K397" s="43"/>
      <c r="L397" s="43">
        <f>AVERAGE(L372:L391)</f>
        <v>14.5</v>
      </c>
      <c r="M397" s="43">
        <f>AVERAGE(M372:M391)</f>
        <v>15.458333333333334</v>
      </c>
      <c r="Q397" s="302">
        <f>AVERAGE(Q372:Q391)</f>
        <v>14.5</v>
      </c>
      <c r="R397" s="302" t="e">
        <f>AVERAGE(R372:R391)</f>
        <v>#DIV/0!</v>
      </c>
      <c r="S397" s="225" t="s">
        <v>69</v>
      </c>
      <c r="T397" s="302">
        <f>AVERAGE(T372:T391)</f>
        <v>14.25</v>
      </c>
      <c r="U397" s="302">
        <f>AVERAGE(U372:U391)</f>
        <v>15</v>
      </c>
    </row>
    <row r="398" spans="1:21" ht="15.75">
      <c r="A398" s="1" t="s">
        <v>68</v>
      </c>
      <c r="B398" s="43">
        <f>AVERAGE(B382:B391)</f>
        <v>17.222222222222221</v>
      </c>
      <c r="C398" s="43">
        <f>AVERAGE(C382:C391)</f>
        <v>13.011904761904763</v>
      </c>
      <c r="D398" s="43">
        <f>AVERAGE(D382:D391)</f>
        <v>14</v>
      </c>
      <c r="E398" s="43"/>
      <c r="F398" s="43"/>
      <c r="G398" s="43"/>
      <c r="H398" s="43"/>
      <c r="I398" s="43"/>
      <c r="J398" s="43"/>
      <c r="K398" s="43"/>
      <c r="L398" s="43">
        <f>AVERAGE(L382:L391)</f>
        <v>15</v>
      </c>
      <c r="M398" s="43">
        <f>AVERAGE(M382:M391)</f>
        <v>14.194444444444445</v>
      </c>
      <c r="Q398" s="302">
        <f>AVERAGE(Q382:Q391)</f>
        <v>15</v>
      </c>
      <c r="R398" s="302" t="e">
        <f>AVERAGE(R382:R391)</f>
        <v>#DIV/0!</v>
      </c>
      <c r="S398" s="225" t="s">
        <v>68</v>
      </c>
      <c r="T398" s="302">
        <f>AVERAGE(T382:T391)</f>
        <v>14</v>
      </c>
      <c r="U398" s="302" t="e">
        <f>AVERAGE(U382:U391)</f>
        <v>#DIV/0!</v>
      </c>
    </row>
    <row r="399" spans="1:21">
      <c r="B399" s="334"/>
    </row>
    <row r="400" spans="1:21">
      <c r="A400" s="235" t="s">
        <v>259</v>
      </c>
      <c r="B400" s="236">
        <v>22</v>
      </c>
      <c r="C400" s="236">
        <v>16</v>
      </c>
      <c r="D400" s="236">
        <v>13</v>
      </c>
      <c r="E400" s="236">
        <v>0</v>
      </c>
      <c r="F400" s="236">
        <v>0</v>
      </c>
      <c r="G400" s="236">
        <v>0</v>
      </c>
      <c r="H400" s="236">
        <v>0</v>
      </c>
      <c r="I400" s="236">
        <v>0</v>
      </c>
      <c r="J400" s="236">
        <v>0</v>
      </c>
      <c r="K400" s="236">
        <v>0</v>
      </c>
      <c r="L400" s="236">
        <v>0</v>
      </c>
      <c r="M400" s="236">
        <v>14</v>
      </c>
      <c r="N400" s="236"/>
      <c r="O400" s="236"/>
      <c r="Q400" s="307"/>
      <c r="R400" s="307"/>
      <c r="S400" s="307"/>
      <c r="T400" s="307"/>
      <c r="U400" s="308"/>
    </row>
    <row r="401" spans="1:21">
      <c r="A401" s="238" t="s">
        <v>260</v>
      </c>
      <c r="B401" s="239">
        <f>65-B400</f>
        <v>43</v>
      </c>
      <c r="C401" s="239">
        <f>65-C400</f>
        <v>49</v>
      </c>
      <c r="D401" s="239">
        <f>65-D400</f>
        <v>52</v>
      </c>
      <c r="E401" s="239"/>
      <c r="F401" s="239"/>
      <c r="G401" s="239"/>
      <c r="H401" s="239"/>
      <c r="I401" s="239"/>
      <c r="J401" s="239"/>
      <c r="K401" s="239"/>
      <c r="L401" s="239"/>
      <c r="M401" s="239">
        <f>65-M400</f>
        <v>51</v>
      </c>
      <c r="N401" s="239"/>
      <c r="O401" s="239"/>
      <c r="Q401" s="313">
        <v>54</v>
      </c>
      <c r="R401" s="346"/>
      <c r="S401" s="313"/>
      <c r="T401" s="313"/>
      <c r="U401" s="347">
        <v>52</v>
      </c>
    </row>
    <row r="402" spans="1:21">
      <c r="B402" s="68">
        <f>65-B397</f>
        <v>47.210526315789473</v>
      </c>
      <c r="C402" s="68">
        <f>65-C397</f>
        <v>51.230392156862749</v>
      </c>
      <c r="D402" s="68">
        <f>65-D397</f>
        <v>50.6</v>
      </c>
      <c r="M402" s="68">
        <f>65-M397</f>
        <v>49.541666666666664</v>
      </c>
      <c r="Q402" s="291">
        <f>65-Q397</f>
        <v>50.5</v>
      </c>
      <c r="U402" s="291">
        <f>65-U397</f>
        <v>50</v>
      </c>
    </row>
    <row r="404" spans="1:21">
      <c r="B404" s="1" t="s">
        <v>77</v>
      </c>
    </row>
    <row r="405" spans="1:21">
      <c r="B405" s="165" t="s">
        <v>4</v>
      </c>
      <c r="C405" s="165" t="s">
        <v>8</v>
      </c>
      <c r="D405" s="165" t="s">
        <v>9</v>
      </c>
      <c r="E405" s="165" t="s">
        <v>10</v>
      </c>
      <c r="F405" s="165" t="s">
        <v>11</v>
      </c>
      <c r="G405" s="165" t="s">
        <v>12</v>
      </c>
      <c r="H405" s="165" t="s">
        <v>13</v>
      </c>
      <c r="I405" s="165" t="s">
        <v>15</v>
      </c>
      <c r="J405" s="165" t="s">
        <v>16</v>
      </c>
      <c r="K405" s="165" t="s">
        <v>17</v>
      </c>
      <c r="L405" s="165" t="s">
        <v>18</v>
      </c>
      <c r="M405" s="165" t="s">
        <v>19</v>
      </c>
      <c r="Q405" s="225" t="s">
        <v>93</v>
      </c>
      <c r="S405" s="225" t="s">
        <v>95</v>
      </c>
      <c r="T405" s="225" t="s">
        <v>97</v>
      </c>
    </row>
    <row r="406" spans="1:21">
      <c r="A406" s="1">
        <f t="shared" ref="A406:A437" si="238">A7</f>
        <v>1973</v>
      </c>
      <c r="B406" s="327" t="str">
        <f t="shared" ref="B406:M406" si="239">IF(B273&gt;=65,B273-65," ")</f>
        <v xml:space="preserve"> </v>
      </c>
      <c r="C406" s="328" t="str">
        <f t="shared" si="239"/>
        <v xml:space="preserve"> </v>
      </c>
      <c r="D406" s="222">
        <f t="shared" si="239"/>
        <v>12</v>
      </c>
      <c r="E406" s="222">
        <f t="shared" si="239"/>
        <v>9</v>
      </c>
      <c r="F406" s="222">
        <f t="shared" si="239"/>
        <v>20</v>
      </c>
      <c r="G406" s="222">
        <f t="shared" si="239"/>
        <v>17</v>
      </c>
      <c r="H406" s="222">
        <f t="shared" si="239"/>
        <v>16</v>
      </c>
      <c r="I406" s="222">
        <f t="shared" si="239"/>
        <v>16</v>
      </c>
      <c r="J406" s="222">
        <f t="shared" si="239"/>
        <v>17</v>
      </c>
      <c r="K406" s="222">
        <f t="shared" si="239"/>
        <v>15</v>
      </c>
      <c r="L406" s="222">
        <f t="shared" si="239"/>
        <v>11</v>
      </c>
      <c r="M406" s="328" t="str">
        <f t="shared" si="239"/>
        <v xml:space="preserve"> </v>
      </c>
      <c r="O406" s="348">
        <f t="shared" ref="O406:O452" si="240">+L123</f>
        <v>1900</v>
      </c>
      <c r="Q406" s="225">
        <f>L406</f>
        <v>11</v>
      </c>
      <c r="R406" s="345">
        <f t="shared" ref="R406:R452" si="241">+D123</f>
        <v>2000</v>
      </c>
      <c r="T406" s="225">
        <f>D406</f>
        <v>12</v>
      </c>
    </row>
    <row r="407" spans="1:21">
      <c r="A407" s="1">
        <f t="shared" si="238"/>
        <v>1974</v>
      </c>
      <c r="B407" s="344">
        <f t="shared" ref="B407:M407" si="242">IF(B274&gt;=65,B274-65," ")</f>
        <v>8</v>
      </c>
      <c r="C407" s="166" t="str">
        <f t="shared" si="242"/>
        <v xml:space="preserve"> </v>
      </c>
      <c r="D407" s="222">
        <f t="shared" si="242"/>
        <v>10</v>
      </c>
      <c r="E407" s="222">
        <f t="shared" si="242"/>
        <v>13</v>
      </c>
      <c r="F407" s="222">
        <f t="shared" si="242"/>
        <v>16</v>
      </c>
      <c r="G407" s="222">
        <f t="shared" si="242"/>
        <v>17</v>
      </c>
      <c r="H407" s="222">
        <f t="shared" si="242"/>
        <v>19</v>
      </c>
      <c r="I407" s="222">
        <f t="shared" si="242"/>
        <v>16</v>
      </c>
      <c r="J407" s="222">
        <f t="shared" si="242"/>
        <v>18</v>
      </c>
      <c r="K407" s="222">
        <f t="shared" si="242"/>
        <v>12</v>
      </c>
      <c r="L407" s="222">
        <f t="shared" si="242"/>
        <v>7</v>
      </c>
      <c r="M407" s="166" t="str">
        <f t="shared" si="242"/>
        <v xml:space="preserve"> </v>
      </c>
      <c r="O407" s="348">
        <f t="shared" si="240"/>
        <v>1900</v>
      </c>
      <c r="Q407" s="225">
        <f>L407</f>
        <v>7</v>
      </c>
      <c r="R407" s="345">
        <f t="shared" si="241"/>
        <v>1700</v>
      </c>
      <c r="T407" s="225">
        <f>D407</f>
        <v>10</v>
      </c>
    </row>
    <row r="408" spans="1:21">
      <c r="A408" s="1">
        <f t="shared" si="238"/>
        <v>1975</v>
      </c>
      <c r="B408" s="331" t="str">
        <f t="shared" ref="B408:M408" si="243">IF(B275&gt;=65,B275-65," ")</f>
        <v xml:space="preserve"> </v>
      </c>
      <c r="C408" s="166" t="str">
        <f t="shared" si="243"/>
        <v xml:space="preserve"> </v>
      </c>
      <c r="D408" s="166" t="str">
        <f t="shared" si="243"/>
        <v xml:space="preserve"> </v>
      </c>
      <c r="E408" s="222">
        <f t="shared" si="243"/>
        <v>16</v>
      </c>
      <c r="F408" s="222">
        <f t="shared" si="243"/>
        <v>18</v>
      </c>
      <c r="G408" s="222">
        <f t="shared" si="243"/>
        <v>18</v>
      </c>
      <c r="H408" s="222">
        <f t="shared" si="243"/>
        <v>21</v>
      </c>
      <c r="I408" s="222">
        <f t="shared" si="243"/>
        <v>20</v>
      </c>
      <c r="J408" s="222">
        <f t="shared" si="243"/>
        <v>18</v>
      </c>
      <c r="K408" s="222">
        <f t="shared" si="243"/>
        <v>17</v>
      </c>
      <c r="L408" s="166" t="str">
        <f t="shared" si="243"/>
        <v xml:space="preserve"> </v>
      </c>
      <c r="M408" s="332" t="str">
        <f t="shared" si="243"/>
        <v xml:space="preserve"> </v>
      </c>
      <c r="O408" s="348">
        <f t="shared" si="240"/>
        <v>900</v>
      </c>
      <c r="R408" s="345">
        <f t="shared" si="241"/>
        <v>800</v>
      </c>
    </row>
    <row r="409" spans="1:21">
      <c r="A409" s="1">
        <f t="shared" si="238"/>
        <v>1976</v>
      </c>
      <c r="B409" s="331" t="str">
        <f t="shared" ref="B409:M409" si="244">IF(B276&gt;=65,B276-65," ")</f>
        <v xml:space="preserve"> </v>
      </c>
      <c r="C409" s="166" t="str">
        <f t="shared" si="244"/>
        <v xml:space="preserve"> </v>
      </c>
      <c r="D409" s="222">
        <f t="shared" si="244"/>
        <v>9</v>
      </c>
      <c r="E409" s="222">
        <f t="shared" si="244"/>
        <v>10</v>
      </c>
      <c r="F409" s="222">
        <f t="shared" si="244"/>
        <v>14</v>
      </c>
      <c r="G409" s="222">
        <f t="shared" si="244"/>
        <v>15</v>
      </c>
      <c r="H409" s="222">
        <f t="shared" si="244"/>
        <v>19</v>
      </c>
      <c r="I409" s="222">
        <f t="shared" si="244"/>
        <v>18</v>
      </c>
      <c r="J409" s="222">
        <f t="shared" si="244"/>
        <v>15</v>
      </c>
      <c r="K409" s="222">
        <f t="shared" si="244"/>
        <v>14</v>
      </c>
      <c r="L409" s="332" t="str">
        <f t="shared" si="244"/>
        <v xml:space="preserve"> </v>
      </c>
      <c r="M409" s="166" t="str">
        <f t="shared" si="244"/>
        <v xml:space="preserve"> </v>
      </c>
      <c r="O409" s="348">
        <f t="shared" si="240"/>
        <v>1900</v>
      </c>
      <c r="Q409" s="225" t="str">
        <f>L409</f>
        <v xml:space="preserve"> </v>
      </c>
      <c r="R409" s="345">
        <f t="shared" si="241"/>
        <v>2000</v>
      </c>
      <c r="T409" s="225">
        <f>D409</f>
        <v>9</v>
      </c>
    </row>
    <row r="410" spans="1:21">
      <c r="A410" s="1">
        <f t="shared" si="238"/>
        <v>1977</v>
      </c>
      <c r="B410" s="331" t="str">
        <f t="shared" ref="B410:M410" si="245">IF(B277&gt;=65,B277-65," ")</f>
        <v xml:space="preserve"> </v>
      </c>
      <c r="C410" s="166" t="str">
        <f t="shared" si="245"/>
        <v xml:space="preserve"> </v>
      </c>
      <c r="D410" s="222">
        <f t="shared" si="245"/>
        <v>12</v>
      </c>
      <c r="E410" s="222">
        <f t="shared" si="245"/>
        <v>12</v>
      </c>
      <c r="F410" s="222">
        <f t="shared" si="245"/>
        <v>15</v>
      </c>
      <c r="G410" s="222">
        <f t="shared" si="245"/>
        <v>21</v>
      </c>
      <c r="H410" s="222">
        <f t="shared" si="245"/>
        <v>20</v>
      </c>
      <c r="I410" s="222">
        <f t="shared" si="245"/>
        <v>18</v>
      </c>
      <c r="J410" s="222">
        <f t="shared" si="245"/>
        <v>18</v>
      </c>
      <c r="K410" s="222">
        <f t="shared" si="245"/>
        <v>16</v>
      </c>
      <c r="L410" s="222">
        <f t="shared" si="245"/>
        <v>10</v>
      </c>
      <c r="M410" s="166" t="str">
        <f t="shared" si="245"/>
        <v xml:space="preserve"> </v>
      </c>
      <c r="O410" s="348">
        <f t="shared" si="240"/>
        <v>1900</v>
      </c>
      <c r="Q410" s="225">
        <f>L410</f>
        <v>10</v>
      </c>
      <c r="R410" s="345">
        <f t="shared" si="241"/>
        <v>2000</v>
      </c>
      <c r="T410" s="225">
        <f>D410</f>
        <v>12</v>
      </c>
    </row>
    <row r="411" spans="1:21">
      <c r="A411" s="1">
        <f t="shared" si="238"/>
        <v>1978</v>
      </c>
      <c r="B411" s="331" t="str">
        <f t="shared" ref="B411:M411" si="246">IF(B278&gt;=65,B278-65," ")</f>
        <v xml:space="preserve"> </v>
      </c>
      <c r="C411" s="166" t="str">
        <f t="shared" si="246"/>
        <v xml:space="preserve"> </v>
      </c>
      <c r="D411" s="166" t="str">
        <f t="shared" si="246"/>
        <v xml:space="preserve"> </v>
      </c>
      <c r="E411" s="222">
        <f t="shared" si="246"/>
        <v>12</v>
      </c>
      <c r="F411" s="222">
        <f t="shared" si="246"/>
        <v>16</v>
      </c>
      <c r="G411" s="222">
        <f t="shared" si="246"/>
        <v>18</v>
      </c>
      <c r="H411" s="222">
        <f t="shared" si="246"/>
        <v>19</v>
      </c>
      <c r="I411" s="222">
        <f t="shared" si="246"/>
        <v>18</v>
      </c>
      <c r="J411" s="222">
        <f t="shared" si="246"/>
        <v>18</v>
      </c>
      <c r="K411" s="222">
        <f t="shared" si="246"/>
        <v>15</v>
      </c>
      <c r="L411" s="222">
        <f t="shared" si="246"/>
        <v>11</v>
      </c>
      <c r="M411" s="332" t="str">
        <f t="shared" si="246"/>
        <v xml:space="preserve"> </v>
      </c>
      <c r="O411" s="348">
        <f t="shared" si="240"/>
        <v>1900</v>
      </c>
      <c r="Q411" s="225">
        <f>L411</f>
        <v>11</v>
      </c>
      <c r="R411" s="345">
        <f t="shared" si="241"/>
        <v>800</v>
      </c>
    </row>
    <row r="412" spans="1:21">
      <c r="A412" s="1">
        <f t="shared" si="238"/>
        <v>1979</v>
      </c>
      <c r="B412" s="331" t="str">
        <f t="shared" ref="B412:M412" si="247">IF(B279&gt;=65,B279-65," ")</f>
        <v xml:space="preserve"> </v>
      </c>
      <c r="C412" s="166" t="str">
        <f t="shared" si="247"/>
        <v xml:space="preserve"> </v>
      </c>
      <c r="D412" s="166" t="str">
        <f t="shared" si="247"/>
        <v xml:space="preserve"> </v>
      </c>
      <c r="E412" s="222">
        <f t="shared" si="247"/>
        <v>13</v>
      </c>
      <c r="F412" s="222">
        <f t="shared" si="247"/>
        <v>14</v>
      </c>
      <c r="G412" s="222">
        <f t="shared" si="247"/>
        <v>18</v>
      </c>
      <c r="H412" s="222">
        <f t="shared" si="247"/>
        <v>18</v>
      </c>
      <c r="I412" s="222">
        <f t="shared" si="247"/>
        <v>16</v>
      </c>
      <c r="J412" s="222">
        <f t="shared" si="247"/>
        <v>19</v>
      </c>
      <c r="K412" s="222">
        <f t="shared" si="247"/>
        <v>17</v>
      </c>
      <c r="L412" s="332" t="str">
        <f t="shared" si="247"/>
        <v xml:space="preserve"> </v>
      </c>
      <c r="M412" s="166" t="str">
        <f t="shared" si="247"/>
        <v xml:space="preserve"> </v>
      </c>
      <c r="O412" s="348">
        <f t="shared" si="240"/>
        <v>1900</v>
      </c>
      <c r="Q412" s="225" t="str">
        <f>L412</f>
        <v xml:space="preserve"> </v>
      </c>
      <c r="R412" s="345">
        <f t="shared" si="241"/>
        <v>800</v>
      </c>
    </row>
    <row r="413" spans="1:21">
      <c r="A413" s="1">
        <f t="shared" si="238"/>
        <v>1980</v>
      </c>
      <c r="B413" s="331" t="str">
        <f t="shared" ref="B413:M413" si="248">IF(B280&gt;=65,B280-65," ")</f>
        <v xml:space="preserve"> </v>
      </c>
      <c r="C413" s="166" t="str">
        <f t="shared" si="248"/>
        <v xml:space="preserve"> </v>
      </c>
      <c r="D413" s="332" t="str">
        <f t="shared" si="248"/>
        <v xml:space="preserve"> </v>
      </c>
      <c r="E413" s="222">
        <f t="shared" si="248"/>
        <v>11</v>
      </c>
      <c r="F413" s="222">
        <f t="shared" si="248"/>
        <v>15</v>
      </c>
      <c r="G413" s="222">
        <f t="shared" si="248"/>
        <v>17</v>
      </c>
      <c r="H413" s="222">
        <f t="shared" si="248"/>
        <v>23</v>
      </c>
      <c r="I413" s="222">
        <f t="shared" si="248"/>
        <v>18</v>
      </c>
      <c r="J413" s="222">
        <f t="shared" si="248"/>
        <v>17</v>
      </c>
      <c r="K413" s="222">
        <f t="shared" si="248"/>
        <v>12</v>
      </c>
      <c r="L413" s="222">
        <f t="shared" si="248"/>
        <v>9</v>
      </c>
      <c r="M413" s="166" t="str">
        <f t="shared" si="248"/>
        <v xml:space="preserve"> </v>
      </c>
      <c r="O413" s="348">
        <f t="shared" si="240"/>
        <v>1900</v>
      </c>
      <c r="Q413" s="225">
        <f>L413</f>
        <v>9</v>
      </c>
      <c r="R413" s="345">
        <f t="shared" si="241"/>
        <v>2000</v>
      </c>
    </row>
    <row r="414" spans="1:21">
      <c r="A414" s="1">
        <f t="shared" si="238"/>
        <v>1981</v>
      </c>
      <c r="B414" s="331" t="str">
        <f t="shared" ref="B414:M414" si="249">IF(B281&gt;=65,B281-65," ")</f>
        <v xml:space="preserve"> </v>
      </c>
      <c r="C414" s="332" t="str">
        <f t="shared" si="249"/>
        <v xml:space="preserve"> </v>
      </c>
      <c r="D414" s="332" t="str">
        <f t="shared" si="249"/>
        <v xml:space="preserve"> </v>
      </c>
      <c r="E414" s="222">
        <f t="shared" si="249"/>
        <v>10</v>
      </c>
      <c r="F414" s="222">
        <f t="shared" si="249"/>
        <v>14</v>
      </c>
      <c r="G414" s="222">
        <f t="shared" si="249"/>
        <v>20</v>
      </c>
      <c r="H414" s="222">
        <f t="shared" si="249"/>
        <v>19</v>
      </c>
      <c r="I414" s="222">
        <f t="shared" si="249"/>
        <v>18</v>
      </c>
      <c r="J414" s="222">
        <f t="shared" si="249"/>
        <v>16</v>
      </c>
      <c r="K414" s="222">
        <f t="shared" si="249"/>
        <v>11</v>
      </c>
      <c r="L414" s="166" t="str">
        <f t="shared" si="249"/>
        <v xml:space="preserve"> </v>
      </c>
      <c r="M414" s="166" t="str">
        <f t="shared" si="249"/>
        <v xml:space="preserve"> </v>
      </c>
      <c r="O414" s="348">
        <f t="shared" si="240"/>
        <v>800</v>
      </c>
      <c r="R414" s="345">
        <f t="shared" si="241"/>
        <v>2000</v>
      </c>
    </row>
    <row r="415" spans="1:21">
      <c r="A415" s="1">
        <f t="shared" si="238"/>
        <v>1982</v>
      </c>
      <c r="B415" s="331" t="str">
        <f t="shared" ref="B415:M415" si="250">IF(B282&gt;=65,B282-65," ")</f>
        <v xml:space="preserve"> </v>
      </c>
      <c r="C415" s="233">
        <f t="shared" si="250"/>
        <v>7</v>
      </c>
      <c r="D415" s="166" t="str">
        <f t="shared" si="250"/>
        <v xml:space="preserve"> </v>
      </c>
      <c r="E415" s="222">
        <f t="shared" si="250"/>
        <v>12</v>
      </c>
      <c r="F415" s="222">
        <f t="shared" si="250"/>
        <v>16</v>
      </c>
      <c r="G415" s="222">
        <f t="shared" si="250"/>
        <v>16</v>
      </c>
      <c r="H415" s="222">
        <f t="shared" si="250"/>
        <v>16</v>
      </c>
      <c r="I415" s="222">
        <f t="shared" si="250"/>
        <v>18</v>
      </c>
      <c r="J415" s="222">
        <f t="shared" si="250"/>
        <v>18</v>
      </c>
      <c r="K415" s="222">
        <f t="shared" si="250"/>
        <v>14</v>
      </c>
      <c r="L415" s="222">
        <f t="shared" si="250"/>
        <v>11</v>
      </c>
      <c r="M415" s="166" t="str">
        <f t="shared" si="250"/>
        <v xml:space="preserve"> </v>
      </c>
      <c r="O415" s="348">
        <f t="shared" si="240"/>
        <v>1900</v>
      </c>
      <c r="Q415" s="225">
        <f>L415</f>
        <v>11</v>
      </c>
      <c r="R415" s="345">
        <f t="shared" si="241"/>
        <v>800</v>
      </c>
    </row>
    <row r="416" spans="1:21">
      <c r="A416" s="1">
        <f t="shared" si="238"/>
        <v>1983</v>
      </c>
      <c r="B416" s="331" t="str">
        <f t="shared" ref="B416:M416" si="251">IF(B283&gt;=65,B283-65," ")</f>
        <v xml:space="preserve"> </v>
      </c>
      <c r="C416" s="166" t="str">
        <f t="shared" si="251"/>
        <v xml:space="preserve"> </v>
      </c>
      <c r="D416" s="332" t="str">
        <f t="shared" si="251"/>
        <v xml:space="preserve"> </v>
      </c>
      <c r="E416" s="222">
        <f t="shared" si="251"/>
        <v>12</v>
      </c>
      <c r="F416" s="222">
        <f t="shared" si="251"/>
        <v>14</v>
      </c>
      <c r="G416" s="222">
        <f t="shared" si="251"/>
        <v>17</v>
      </c>
      <c r="H416" s="222">
        <f t="shared" si="251"/>
        <v>19</v>
      </c>
      <c r="I416" s="222">
        <f t="shared" si="251"/>
        <v>17</v>
      </c>
      <c r="J416" s="222">
        <f t="shared" si="251"/>
        <v>18</v>
      </c>
      <c r="K416" s="222">
        <f t="shared" si="251"/>
        <v>11</v>
      </c>
      <c r="L416" s="166" t="str">
        <f t="shared" si="251"/>
        <v xml:space="preserve"> </v>
      </c>
      <c r="M416" s="166" t="str">
        <f t="shared" si="251"/>
        <v xml:space="preserve"> </v>
      </c>
      <c r="O416" s="348">
        <f t="shared" si="240"/>
        <v>800</v>
      </c>
      <c r="R416" s="345">
        <f t="shared" si="241"/>
        <v>2000</v>
      </c>
    </row>
    <row r="417" spans="1:20">
      <c r="A417" s="1">
        <f t="shared" si="238"/>
        <v>1984</v>
      </c>
      <c r="B417" s="331" t="str">
        <f t="shared" ref="B417:M417" si="252">IF(B284&gt;=65,B284-65," ")</f>
        <v xml:space="preserve"> </v>
      </c>
      <c r="C417" s="166" t="str">
        <f t="shared" si="252"/>
        <v xml:space="preserve"> </v>
      </c>
      <c r="D417" s="166" t="str">
        <f t="shared" si="252"/>
        <v xml:space="preserve"> </v>
      </c>
      <c r="E417" s="222">
        <f t="shared" si="252"/>
        <v>12</v>
      </c>
      <c r="F417" s="222">
        <f t="shared" si="252"/>
        <v>18</v>
      </c>
      <c r="G417" s="222">
        <f t="shared" si="252"/>
        <v>18</v>
      </c>
      <c r="H417" s="222">
        <f t="shared" si="252"/>
        <v>16</v>
      </c>
      <c r="I417" s="222">
        <f t="shared" si="252"/>
        <v>18</v>
      </c>
      <c r="J417" s="222">
        <f t="shared" si="252"/>
        <v>18</v>
      </c>
      <c r="K417" s="222">
        <f t="shared" si="252"/>
        <v>14</v>
      </c>
      <c r="L417" s="166" t="str">
        <f t="shared" si="252"/>
        <v xml:space="preserve"> </v>
      </c>
      <c r="M417" s="166" t="str">
        <f t="shared" si="252"/>
        <v xml:space="preserve"> </v>
      </c>
      <c r="O417" s="348">
        <f t="shared" si="240"/>
        <v>800</v>
      </c>
      <c r="R417" s="345">
        <f t="shared" si="241"/>
        <v>800</v>
      </c>
    </row>
    <row r="418" spans="1:20">
      <c r="A418" s="1">
        <f t="shared" si="238"/>
        <v>1985</v>
      </c>
      <c r="B418" s="331" t="str">
        <f t="shared" ref="B418:M418" si="253">IF(B285&gt;=65,B285-65," ")</f>
        <v xml:space="preserve"> </v>
      </c>
      <c r="C418" s="166" t="str">
        <f t="shared" si="253"/>
        <v xml:space="preserve"> </v>
      </c>
      <c r="D418" s="166" t="str">
        <f t="shared" si="253"/>
        <v xml:space="preserve"> </v>
      </c>
      <c r="E418" s="222">
        <f t="shared" si="253"/>
        <v>11</v>
      </c>
      <c r="F418" s="222">
        <f t="shared" si="253"/>
        <v>19</v>
      </c>
      <c r="G418" s="222">
        <f t="shared" si="253"/>
        <v>21</v>
      </c>
      <c r="H418" s="222">
        <f t="shared" si="253"/>
        <v>20</v>
      </c>
      <c r="I418" s="222">
        <f t="shared" si="253"/>
        <v>17</v>
      </c>
      <c r="J418" s="222">
        <f t="shared" si="253"/>
        <v>17</v>
      </c>
      <c r="K418" s="222">
        <f t="shared" si="253"/>
        <v>15</v>
      </c>
      <c r="L418" s="222">
        <f t="shared" si="253"/>
        <v>11</v>
      </c>
      <c r="M418" s="166" t="str">
        <f t="shared" si="253"/>
        <v xml:space="preserve"> </v>
      </c>
      <c r="O418" s="348">
        <f t="shared" si="240"/>
        <v>1900</v>
      </c>
      <c r="Q418" s="225">
        <f t="shared" ref="Q418:Q423" si="254">L418</f>
        <v>11</v>
      </c>
      <c r="R418" s="345">
        <f t="shared" si="241"/>
        <v>800</v>
      </c>
    </row>
    <row r="419" spans="1:20">
      <c r="A419" s="1">
        <f t="shared" si="238"/>
        <v>1986</v>
      </c>
      <c r="B419" s="331" t="str">
        <f t="shared" ref="B419:M419" si="255">IF(B286&gt;=65,B286-65," ")</f>
        <v xml:space="preserve"> </v>
      </c>
      <c r="C419" s="166" t="str">
        <f t="shared" si="255"/>
        <v xml:space="preserve"> </v>
      </c>
      <c r="D419" s="166" t="str">
        <f t="shared" si="255"/>
        <v xml:space="preserve"> </v>
      </c>
      <c r="E419" s="222">
        <f t="shared" si="255"/>
        <v>10</v>
      </c>
      <c r="F419" s="222">
        <f t="shared" si="255"/>
        <v>17</v>
      </c>
      <c r="G419" s="222">
        <f t="shared" si="255"/>
        <v>16</v>
      </c>
      <c r="H419" s="222">
        <f t="shared" si="255"/>
        <v>20</v>
      </c>
      <c r="I419" s="222">
        <f t="shared" si="255"/>
        <v>17</v>
      </c>
      <c r="J419" s="222">
        <f t="shared" si="255"/>
        <v>18</v>
      </c>
      <c r="K419" s="222">
        <f t="shared" si="255"/>
        <v>18</v>
      </c>
      <c r="L419" s="222">
        <f t="shared" si="255"/>
        <v>13</v>
      </c>
      <c r="M419" s="222">
        <f t="shared" si="255"/>
        <v>10</v>
      </c>
      <c r="O419" s="348">
        <f t="shared" si="240"/>
        <v>1900</v>
      </c>
      <c r="Q419" s="225">
        <f t="shared" si="254"/>
        <v>13</v>
      </c>
      <c r="R419" s="345">
        <f t="shared" si="241"/>
        <v>800</v>
      </c>
    </row>
    <row r="420" spans="1:20">
      <c r="A420" s="1">
        <f t="shared" si="238"/>
        <v>1987</v>
      </c>
      <c r="B420" s="331" t="str">
        <f t="shared" ref="B420:M420" si="256">IF(B287&gt;=65,B287-65," ")</f>
        <v xml:space="preserve"> </v>
      </c>
      <c r="C420" s="166" t="str">
        <f t="shared" si="256"/>
        <v xml:space="preserve"> </v>
      </c>
      <c r="D420" s="332" t="str">
        <f t="shared" si="256"/>
        <v xml:space="preserve"> </v>
      </c>
      <c r="E420" s="166" t="str">
        <f t="shared" si="256"/>
        <v xml:space="preserve"> </v>
      </c>
      <c r="F420" s="222">
        <f t="shared" si="256"/>
        <v>14</v>
      </c>
      <c r="G420" s="222">
        <f t="shared" si="256"/>
        <v>19</v>
      </c>
      <c r="H420" s="222">
        <f t="shared" si="256"/>
        <v>18</v>
      </c>
      <c r="I420" s="222">
        <f t="shared" si="256"/>
        <v>21</v>
      </c>
      <c r="J420" s="222">
        <f t="shared" si="256"/>
        <v>17</v>
      </c>
      <c r="K420" s="222">
        <f t="shared" si="256"/>
        <v>11</v>
      </c>
      <c r="L420" s="222">
        <f t="shared" si="256"/>
        <v>9</v>
      </c>
      <c r="M420" s="166" t="str">
        <f t="shared" si="256"/>
        <v xml:space="preserve"> </v>
      </c>
      <c r="O420" s="348">
        <f t="shared" si="240"/>
        <v>1900</v>
      </c>
      <c r="Q420" s="225">
        <f t="shared" si="254"/>
        <v>9</v>
      </c>
      <c r="R420" s="345">
        <f t="shared" si="241"/>
        <v>2000</v>
      </c>
    </row>
    <row r="421" spans="1:20">
      <c r="A421" s="1">
        <f t="shared" si="238"/>
        <v>1988</v>
      </c>
      <c r="B421" s="331" t="str">
        <f t="shared" ref="B421:M421" si="257">IF(B288&gt;=65,B288-65," ")</f>
        <v xml:space="preserve"> </v>
      </c>
      <c r="C421" s="166" t="str">
        <f t="shared" si="257"/>
        <v xml:space="preserve"> </v>
      </c>
      <c r="D421" s="166" t="str">
        <f t="shared" si="257"/>
        <v xml:space="preserve"> </v>
      </c>
      <c r="E421" s="222">
        <f t="shared" si="257"/>
        <v>11</v>
      </c>
      <c r="F421" s="222">
        <f t="shared" si="257"/>
        <v>17</v>
      </c>
      <c r="G421" s="222">
        <f t="shared" si="257"/>
        <v>18</v>
      </c>
      <c r="H421" s="222">
        <f t="shared" si="257"/>
        <v>21</v>
      </c>
      <c r="I421" s="222">
        <f t="shared" si="257"/>
        <v>20</v>
      </c>
      <c r="J421" s="222">
        <f t="shared" si="257"/>
        <v>17</v>
      </c>
      <c r="K421" s="222">
        <f t="shared" si="257"/>
        <v>12</v>
      </c>
      <c r="L421" s="222">
        <f t="shared" si="257"/>
        <v>10</v>
      </c>
      <c r="M421" s="166" t="str">
        <f t="shared" si="257"/>
        <v xml:space="preserve"> </v>
      </c>
      <c r="O421" s="348">
        <f t="shared" si="240"/>
        <v>1900</v>
      </c>
      <c r="Q421" s="225">
        <f t="shared" si="254"/>
        <v>10</v>
      </c>
      <c r="R421" s="345">
        <f t="shared" si="241"/>
        <v>800</v>
      </c>
    </row>
    <row r="422" spans="1:20">
      <c r="A422" s="1">
        <f t="shared" si="238"/>
        <v>1989</v>
      </c>
      <c r="B422" s="331" t="str">
        <f t="shared" ref="B422:M422" si="258">IF(B289&gt;=65,B289-65," ")</f>
        <v xml:space="preserve"> </v>
      </c>
      <c r="C422" s="166" t="str">
        <f t="shared" si="258"/>
        <v xml:space="preserve"> </v>
      </c>
      <c r="D422" s="166" t="str">
        <f t="shared" si="258"/>
        <v xml:space="preserve"> </v>
      </c>
      <c r="E422" s="222">
        <f t="shared" si="258"/>
        <v>9</v>
      </c>
      <c r="F422" s="222">
        <f t="shared" si="258"/>
        <v>17</v>
      </c>
      <c r="G422" s="222">
        <f t="shared" si="258"/>
        <v>20</v>
      </c>
      <c r="H422" s="222">
        <f t="shared" si="258"/>
        <v>20</v>
      </c>
      <c r="I422" s="222">
        <f t="shared" si="258"/>
        <v>19</v>
      </c>
      <c r="J422" s="222">
        <f t="shared" si="258"/>
        <v>17</v>
      </c>
      <c r="K422" s="222">
        <f t="shared" si="258"/>
        <v>14</v>
      </c>
      <c r="L422" s="222">
        <f t="shared" si="258"/>
        <v>7</v>
      </c>
      <c r="M422" s="332" t="str">
        <f t="shared" si="258"/>
        <v xml:space="preserve"> </v>
      </c>
      <c r="O422" s="348">
        <f t="shared" si="240"/>
        <v>1900</v>
      </c>
      <c r="Q422" s="225">
        <f t="shared" si="254"/>
        <v>7</v>
      </c>
      <c r="R422" s="345">
        <f t="shared" si="241"/>
        <v>800</v>
      </c>
    </row>
    <row r="423" spans="1:20">
      <c r="A423" s="1">
        <f t="shared" si="238"/>
        <v>1990</v>
      </c>
      <c r="B423" s="331" t="str">
        <f t="shared" ref="B423:M423" si="259">IF(B290&gt;=65,B290-65," ")</f>
        <v xml:space="preserve"> </v>
      </c>
      <c r="C423" s="166" t="str">
        <f t="shared" si="259"/>
        <v xml:space="preserve"> </v>
      </c>
      <c r="D423" s="222">
        <f t="shared" si="259"/>
        <v>12</v>
      </c>
      <c r="E423" s="222">
        <f t="shared" si="259"/>
        <v>13</v>
      </c>
      <c r="F423" s="222">
        <f t="shared" si="259"/>
        <v>18</v>
      </c>
      <c r="G423" s="222">
        <f t="shared" si="259"/>
        <v>18</v>
      </c>
      <c r="H423" s="222">
        <f t="shared" si="259"/>
        <v>17</v>
      </c>
      <c r="I423" s="222">
        <f t="shared" si="259"/>
        <v>19</v>
      </c>
      <c r="J423" s="222">
        <f t="shared" si="259"/>
        <v>19</v>
      </c>
      <c r="K423" s="222">
        <f t="shared" si="259"/>
        <v>18</v>
      </c>
      <c r="L423" s="222">
        <f t="shared" si="259"/>
        <v>12</v>
      </c>
      <c r="M423" s="166" t="str">
        <f t="shared" si="259"/>
        <v xml:space="preserve"> </v>
      </c>
      <c r="O423" s="348">
        <f t="shared" si="240"/>
        <v>1900</v>
      </c>
      <c r="Q423" s="225">
        <f t="shared" si="254"/>
        <v>12</v>
      </c>
      <c r="R423" s="345">
        <f t="shared" si="241"/>
        <v>1700</v>
      </c>
      <c r="T423" s="225">
        <f>D423</f>
        <v>12</v>
      </c>
    </row>
    <row r="424" spans="1:20">
      <c r="A424" s="1">
        <f t="shared" si="238"/>
        <v>1991</v>
      </c>
      <c r="B424" s="331" t="str">
        <f t="shared" ref="B424:M424" si="260">IF(B291&gt;=65,B291-65," ")</f>
        <v xml:space="preserve"> </v>
      </c>
      <c r="C424" s="166" t="str">
        <f t="shared" si="260"/>
        <v xml:space="preserve"> </v>
      </c>
      <c r="D424" s="166" t="str">
        <f t="shared" si="260"/>
        <v xml:space="preserve"> </v>
      </c>
      <c r="E424" s="222">
        <f t="shared" si="260"/>
        <v>18</v>
      </c>
      <c r="F424" s="222">
        <f t="shared" si="260"/>
        <v>17</v>
      </c>
      <c r="G424" s="222">
        <f t="shared" si="260"/>
        <v>17</v>
      </c>
      <c r="H424" s="222">
        <f t="shared" si="260"/>
        <v>20</v>
      </c>
      <c r="I424" s="222">
        <f t="shared" si="260"/>
        <v>19</v>
      </c>
      <c r="J424" s="222">
        <f t="shared" si="260"/>
        <v>19</v>
      </c>
      <c r="K424" s="222">
        <f t="shared" si="260"/>
        <v>17</v>
      </c>
      <c r="L424" s="166" t="str">
        <f t="shared" si="260"/>
        <v xml:space="preserve"> </v>
      </c>
      <c r="M424" s="166" t="str">
        <f t="shared" si="260"/>
        <v xml:space="preserve"> </v>
      </c>
      <c r="O424" s="348">
        <f t="shared" si="240"/>
        <v>800</v>
      </c>
      <c r="R424" s="345">
        <f t="shared" si="241"/>
        <v>800</v>
      </c>
    </row>
    <row r="425" spans="1:20">
      <c r="A425" s="1">
        <f t="shared" si="238"/>
        <v>1992</v>
      </c>
      <c r="B425" s="331" t="str">
        <f t="shared" ref="B425:M425" si="261">IF(B292&gt;=65,B292-65," ")</f>
        <v xml:space="preserve"> </v>
      </c>
      <c r="C425" s="166" t="str">
        <f t="shared" si="261"/>
        <v xml:space="preserve"> </v>
      </c>
      <c r="D425" s="332" t="str">
        <f t="shared" si="261"/>
        <v xml:space="preserve"> </v>
      </c>
      <c r="E425" s="222">
        <f t="shared" si="261"/>
        <v>11</v>
      </c>
      <c r="F425" s="222">
        <f t="shared" si="261"/>
        <v>13</v>
      </c>
      <c r="G425" s="222">
        <f t="shared" si="261"/>
        <v>19</v>
      </c>
      <c r="H425" s="222">
        <f t="shared" si="261"/>
        <v>20</v>
      </c>
      <c r="I425" s="222">
        <f t="shared" si="261"/>
        <v>19</v>
      </c>
      <c r="J425" s="222">
        <f t="shared" si="261"/>
        <v>17</v>
      </c>
      <c r="K425" s="222">
        <f t="shared" si="261"/>
        <v>12</v>
      </c>
      <c r="L425" s="222">
        <f t="shared" si="261"/>
        <v>12</v>
      </c>
      <c r="M425" s="166" t="str">
        <f t="shared" si="261"/>
        <v xml:space="preserve"> </v>
      </c>
      <c r="O425" s="348">
        <f t="shared" si="240"/>
        <v>1900</v>
      </c>
      <c r="Q425" s="225">
        <f>L425</f>
        <v>12</v>
      </c>
      <c r="R425" s="345">
        <f t="shared" si="241"/>
        <v>2000</v>
      </c>
    </row>
    <row r="426" spans="1:20">
      <c r="A426" s="1">
        <f t="shared" si="238"/>
        <v>1993</v>
      </c>
      <c r="B426" s="331" t="str">
        <f t="shared" ref="B426:M426" si="262">IF(B293&gt;=65,B293-65," ")</f>
        <v xml:space="preserve"> </v>
      </c>
      <c r="C426" s="166" t="str">
        <f t="shared" si="262"/>
        <v xml:space="preserve"> </v>
      </c>
      <c r="D426" s="166" t="str">
        <f t="shared" si="262"/>
        <v xml:space="preserve"> </v>
      </c>
      <c r="E426" s="222">
        <f t="shared" si="262"/>
        <v>6</v>
      </c>
      <c r="F426" s="222">
        <f t="shared" si="262"/>
        <v>10</v>
      </c>
      <c r="G426" s="222">
        <f t="shared" si="262"/>
        <v>20</v>
      </c>
      <c r="H426" s="222">
        <f t="shared" si="262"/>
        <v>21</v>
      </c>
      <c r="I426" s="222">
        <f t="shared" si="262"/>
        <v>21</v>
      </c>
      <c r="J426" s="222">
        <f t="shared" si="262"/>
        <v>18</v>
      </c>
      <c r="K426" s="222">
        <f t="shared" si="262"/>
        <v>15</v>
      </c>
      <c r="L426" s="222">
        <f t="shared" si="262"/>
        <v>13</v>
      </c>
      <c r="M426" s="166" t="str">
        <f t="shared" si="262"/>
        <v xml:space="preserve"> </v>
      </c>
      <c r="O426" s="348">
        <f t="shared" si="240"/>
        <v>1900</v>
      </c>
      <c r="Q426" s="225">
        <f>L426</f>
        <v>13</v>
      </c>
      <c r="R426" s="345">
        <f t="shared" si="241"/>
        <v>800</v>
      </c>
    </row>
    <row r="427" spans="1:20">
      <c r="A427" s="1">
        <f t="shared" si="238"/>
        <v>1994</v>
      </c>
      <c r="B427" s="331" t="str">
        <f t="shared" ref="B427:M427" si="263">IF(B294&gt;=65,B294-65," ")</f>
        <v xml:space="preserve"> </v>
      </c>
      <c r="C427" s="166" t="str">
        <f t="shared" si="263"/>
        <v xml:space="preserve"> </v>
      </c>
      <c r="D427" s="222">
        <f t="shared" si="263"/>
        <v>15</v>
      </c>
      <c r="E427" s="222">
        <f t="shared" si="263"/>
        <v>11</v>
      </c>
      <c r="F427" s="222">
        <f t="shared" si="263"/>
        <v>16</v>
      </c>
      <c r="G427" s="222">
        <f t="shared" si="263"/>
        <v>19</v>
      </c>
      <c r="H427" s="222">
        <f t="shared" si="263"/>
        <v>17</v>
      </c>
      <c r="I427" s="222">
        <f t="shared" si="263"/>
        <v>17</v>
      </c>
      <c r="J427" s="222">
        <f t="shared" si="263"/>
        <v>17</v>
      </c>
      <c r="K427" s="222">
        <f t="shared" si="263"/>
        <v>14</v>
      </c>
      <c r="L427" s="222">
        <f t="shared" si="263"/>
        <v>11</v>
      </c>
      <c r="M427" s="222">
        <f t="shared" si="263"/>
        <v>7</v>
      </c>
      <c r="O427" s="348">
        <f t="shared" si="240"/>
        <v>1900</v>
      </c>
      <c r="Q427" s="225">
        <f>L427</f>
        <v>11</v>
      </c>
      <c r="R427" s="345">
        <f t="shared" si="241"/>
        <v>1700</v>
      </c>
      <c r="T427" s="225">
        <f>D427</f>
        <v>15</v>
      </c>
    </row>
    <row r="428" spans="1:20">
      <c r="A428" s="1">
        <f t="shared" si="238"/>
        <v>1995</v>
      </c>
      <c r="B428" s="331" t="str">
        <f t="shared" ref="B428:M428" si="264">IF(B295&gt;=65,B295-65," ")</f>
        <v xml:space="preserve"> </v>
      </c>
      <c r="C428" s="166" t="str">
        <f t="shared" si="264"/>
        <v xml:space="preserve"> </v>
      </c>
      <c r="D428" s="166" t="str">
        <f t="shared" si="264"/>
        <v xml:space="preserve"> </v>
      </c>
      <c r="E428" s="222">
        <f t="shared" si="264"/>
        <v>14</v>
      </c>
      <c r="F428" s="222">
        <f t="shared" si="264"/>
        <v>19</v>
      </c>
      <c r="G428" s="222">
        <f t="shared" si="264"/>
        <v>18</v>
      </c>
      <c r="H428" s="222">
        <f t="shared" si="264"/>
        <v>20</v>
      </c>
      <c r="I428" s="222">
        <f t="shared" si="264"/>
        <v>19</v>
      </c>
      <c r="J428" s="222">
        <f t="shared" si="264"/>
        <v>19</v>
      </c>
      <c r="K428" s="222">
        <f t="shared" si="264"/>
        <v>15</v>
      </c>
      <c r="L428" s="222">
        <f t="shared" si="264"/>
        <v>13</v>
      </c>
      <c r="M428" s="166" t="str">
        <f t="shared" si="264"/>
        <v xml:space="preserve"> </v>
      </c>
      <c r="O428" s="348">
        <f t="shared" si="240"/>
        <v>1600</v>
      </c>
      <c r="Q428" s="225">
        <f>L428</f>
        <v>13</v>
      </c>
      <c r="R428" s="345">
        <f t="shared" si="241"/>
        <v>800</v>
      </c>
    </row>
    <row r="429" spans="1:20">
      <c r="A429" s="1">
        <f t="shared" si="238"/>
        <v>1996</v>
      </c>
      <c r="B429" s="331" t="str">
        <f t="shared" ref="B429:M429" si="265">IF(B296&gt;=65,B296-65," ")</f>
        <v xml:space="preserve"> </v>
      </c>
      <c r="C429" s="166" t="str">
        <f t="shared" si="265"/>
        <v xml:space="preserve"> </v>
      </c>
      <c r="D429" s="166" t="str">
        <f t="shared" si="265"/>
        <v xml:space="preserve"> </v>
      </c>
      <c r="E429" s="222">
        <f t="shared" si="265"/>
        <v>14</v>
      </c>
      <c r="F429" s="222">
        <f t="shared" si="265"/>
        <v>17</v>
      </c>
      <c r="G429" s="222">
        <f t="shared" si="265"/>
        <v>19</v>
      </c>
      <c r="H429" s="222">
        <f t="shared" si="265"/>
        <v>21</v>
      </c>
      <c r="I429" s="222">
        <f t="shared" si="265"/>
        <v>19</v>
      </c>
      <c r="J429" s="222">
        <f t="shared" si="265"/>
        <v>19</v>
      </c>
      <c r="K429" s="222">
        <f t="shared" si="265"/>
        <v>16</v>
      </c>
      <c r="L429" s="222">
        <f t="shared" si="265"/>
        <v>11</v>
      </c>
      <c r="M429" s="166" t="str">
        <f t="shared" si="265"/>
        <v xml:space="preserve"> </v>
      </c>
      <c r="O429" s="348">
        <f t="shared" si="240"/>
        <v>1400</v>
      </c>
      <c r="Q429" s="225">
        <f>L429</f>
        <v>11</v>
      </c>
      <c r="R429" s="345">
        <f t="shared" si="241"/>
        <v>900</v>
      </c>
    </row>
    <row r="430" spans="1:20">
      <c r="A430" s="1">
        <f t="shared" si="238"/>
        <v>1997</v>
      </c>
      <c r="B430" s="331" t="str">
        <f t="shared" ref="B430:M430" si="266">IF(B297&gt;=65,B297-65," ")</f>
        <v xml:space="preserve"> </v>
      </c>
      <c r="C430" s="166" t="str">
        <f t="shared" si="266"/>
        <v xml:space="preserve"> </v>
      </c>
      <c r="D430" s="222">
        <f t="shared" si="266"/>
        <v>11</v>
      </c>
      <c r="E430" s="222">
        <f t="shared" si="266"/>
        <v>11</v>
      </c>
      <c r="F430" s="222">
        <f t="shared" si="266"/>
        <v>17</v>
      </c>
      <c r="G430" s="222">
        <f t="shared" si="266"/>
        <v>20</v>
      </c>
      <c r="H430" s="222">
        <f t="shared" si="266"/>
        <v>21</v>
      </c>
      <c r="I430" s="222">
        <f t="shared" si="266"/>
        <v>19</v>
      </c>
      <c r="J430" s="222">
        <f t="shared" si="266"/>
        <v>17</v>
      </c>
      <c r="K430" s="222">
        <f t="shared" si="266"/>
        <v>15</v>
      </c>
      <c r="L430" s="222">
        <f>IF(L297&gt;=65,L297-65," ")</f>
        <v>12</v>
      </c>
      <c r="M430" s="332" t="str">
        <f t="shared" si="266"/>
        <v xml:space="preserve"> </v>
      </c>
      <c r="O430" s="348">
        <f t="shared" si="240"/>
        <v>800</v>
      </c>
      <c r="P430" s="291"/>
      <c r="R430" s="345">
        <f t="shared" si="241"/>
        <v>1900</v>
      </c>
      <c r="T430" s="225">
        <f>D430</f>
        <v>11</v>
      </c>
    </row>
    <row r="431" spans="1:20">
      <c r="A431" s="1">
        <f t="shared" si="238"/>
        <v>1998</v>
      </c>
      <c r="B431" s="331" t="str">
        <f t="shared" ref="B431:M431" si="267">IF(B298&gt;=65,B298-65," ")</f>
        <v xml:space="preserve"> </v>
      </c>
      <c r="C431" s="166" t="str">
        <f t="shared" si="267"/>
        <v xml:space="preserve"> </v>
      </c>
      <c r="D431" s="166" t="str">
        <f t="shared" si="267"/>
        <v xml:space="preserve"> </v>
      </c>
      <c r="E431" s="222">
        <f t="shared" si="267"/>
        <v>11</v>
      </c>
      <c r="F431" s="222">
        <f t="shared" si="267"/>
        <v>15</v>
      </c>
      <c r="G431" s="222">
        <f t="shared" si="267"/>
        <v>20</v>
      </c>
      <c r="H431" s="222">
        <f t="shared" si="267"/>
        <v>23</v>
      </c>
      <c r="I431" s="222">
        <f t="shared" si="267"/>
        <v>21</v>
      </c>
      <c r="J431" s="222">
        <f t="shared" si="267"/>
        <v>18</v>
      </c>
      <c r="K431" s="222">
        <f t="shared" si="267"/>
        <v>16</v>
      </c>
      <c r="L431" s="222">
        <f t="shared" si="267"/>
        <v>9</v>
      </c>
      <c r="M431" s="166" t="str">
        <f t="shared" si="267"/>
        <v xml:space="preserve"> </v>
      </c>
      <c r="O431" s="348">
        <f t="shared" si="240"/>
        <v>1900</v>
      </c>
      <c r="Q431" s="225">
        <f>L431</f>
        <v>9</v>
      </c>
      <c r="R431" s="345">
        <f t="shared" si="241"/>
        <v>800</v>
      </c>
    </row>
    <row r="432" spans="1:20" ht="15.75">
      <c r="A432" s="1">
        <f t="shared" si="238"/>
        <v>1999</v>
      </c>
      <c r="B432" s="331" t="str">
        <f t="shared" ref="B432:M432" si="268">IF(B299&gt;=65,B299-65," ")</f>
        <v xml:space="preserve"> </v>
      </c>
      <c r="C432" s="166" t="str">
        <f t="shared" si="268"/>
        <v xml:space="preserve"> </v>
      </c>
      <c r="D432" s="166" t="str">
        <f t="shared" si="268"/>
        <v xml:space="preserve"> </v>
      </c>
      <c r="E432" s="222">
        <f t="shared" si="268"/>
        <v>13</v>
      </c>
      <c r="F432" s="222">
        <f t="shared" si="268"/>
        <v>16</v>
      </c>
      <c r="G432" s="222">
        <f t="shared" si="268"/>
        <v>17</v>
      </c>
      <c r="H432" s="222">
        <f t="shared" si="268"/>
        <v>21</v>
      </c>
      <c r="I432" s="222">
        <f t="shared" si="268"/>
        <v>22</v>
      </c>
      <c r="J432" s="222">
        <f t="shared" si="268"/>
        <v>19</v>
      </c>
      <c r="K432" s="222">
        <f t="shared" si="268"/>
        <v>14</v>
      </c>
      <c r="L432" s="222">
        <f t="shared" si="268"/>
        <v>12</v>
      </c>
      <c r="M432" s="38" t="str">
        <f t="shared" si="268"/>
        <v xml:space="preserve"> </v>
      </c>
      <c r="O432" s="348">
        <f t="shared" si="240"/>
        <v>1900</v>
      </c>
      <c r="Q432" s="225">
        <f>L432</f>
        <v>12</v>
      </c>
      <c r="R432" s="345">
        <f t="shared" si="241"/>
        <v>800</v>
      </c>
    </row>
    <row r="433" spans="1:20">
      <c r="A433" s="1">
        <f t="shared" si="238"/>
        <v>2000</v>
      </c>
      <c r="B433" s="331" t="str">
        <f t="shared" ref="B433:M433" si="269">IF(B300&gt;=65,B300-65," ")</f>
        <v xml:space="preserve"> </v>
      </c>
      <c r="C433" s="166" t="str">
        <f t="shared" si="269"/>
        <v xml:space="preserve"> </v>
      </c>
      <c r="D433" s="222">
        <f t="shared" si="269"/>
        <v>12</v>
      </c>
      <c r="E433" s="222">
        <f t="shared" si="269"/>
        <v>10</v>
      </c>
      <c r="F433" s="222">
        <f t="shared" si="269"/>
        <v>19</v>
      </c>
      <c r="G433" s="222">
        <f t="shared" si="269"/>
        <v>18</v>
      </c>
      <c r="H433" s="222">
        <f t="shared" si="269"/>
        <v>20</v>
      </c>
      <c r="I433" s="222">
        <f t="shared" si="269"/>
        <v>20</v>
      </c>
      <c r="J433" s="222">
        <f t="shared" si="269"/>
        <v>16</v>
      </c>
      <c r="K433" s="222">
        <f t="shared" si="269"/>
        <v>14</v>
      </c>
      <c r="L433" s="166" t="str">
        <f t="shared" si="269"/>
        <v xml:space="preserve"> </v>
      </c>
      <c r="M433" s="166" t="str">
        <f t="shared" si="269"/>
        <v xml:space="preserve"> </v>
      </c>
      <c r="O433" s="348">
        <f t="shared" si="240"/>
        <v>800</v>
      </c>
      <c r="R433" s="345">
        <f t="shared" si="241"/>
        <v>1600</v>
      </c>
      <c r="T433" s="225">
        <f>D433</f>
        <v>12</v>
      </c>
    </row>
    <row r="434" spans="1:20">
      <c r="A434" s="1">
        <f t="shared" si="238"/>
        <v>2001</v>
      </c>
      <c r="B434" s="331" t="str">
        <f t="shared" ref="B434:M434" si="270">IF(B301&gt;=65,B301-65," ")</f>
        <v xml:space="preserve"> </v>
      </c>
      <c r="C434" s="166" t="str">
        <f t="shared" si="270"/>
        <v xml:space="preserve"> </v>
      </c>
      <c r="D434" s="222">
        <f t="shared" si="270"/>
        <v>6</v>
      </c>
      <c r="E434" s="222">
        <f t="shared" si="270"/>
        <v>13</v>
      </c>
      <c r="F434" s="222">
        <f t="shared" si="270"/>
        <v>16</v>
      </c>
      <c r="G434" s="222">
        <f t="shared" si="270"/>
        <v>20</v>
      </c>
      <c r="H434" s="222">
        <f t="shared" si="270"/>
        <v>19</v>
      </c>
      <c r="I434" s="222">
        <f t="shared" si="270"/>
        <v>18</v>
      </c>
      <c r="J434" s="222">
        <f t="shared" si="270"/>
        <v>18</v>
      </c>
      <c r="K434" s="222">
        <f t="shared" si="270"/>
        <v>15</v>
      </c>
      <c r="L434" s="222">
        <f t="shared" si="270"/>
        <v>11</v>
      </c>
      <c r="M434" s="222">
        <f t="shared" si="270"/>
        <v>11</v>
      </c>
      <c r="O434" s="348">
        <f t="shared" si="240"/>
        <v>1900</v>
      </c>
      <c r="Q434" s="291">
        <f t="shared" ref="Q434:Q446" si="271">+L434</f>
        <v>11</v>
      </c>
      <c r="R434" s="345">
        <f t="shared" si="241"/>
        <v>2000</v>
      </c>
      <c r="T434" s="225">
        <f>D434</f>
        <v>6</v>
      </c>
    </row>
    <row r="435" spans="1:20">
      <c r="A435" s="1">
        <f t="shared" si="238"/>
        <v>2002</v>
      </c>
      <c r="B435" s="331" t="str">
        <f t="shared" ref="B435:M435" si="272">IF(B302&gt;=65,B302-65," ")</f>
        <v xml:space="preserve"> </v>
      </c>
      <c r="C435" s="166" t="str">
        <f t="shared" si="272"/>
        <v xml:space="preserve"> </v>
      </c>
      <c r="D435" s="166" t="str">
        <f t="shared" si="272"/>
        <v xml:space="preserve"> </v>
      </c>
      <c r="E435" s="222">
        <f t="shared" si="272"/>
        <v>14</v>
      </c>
      <c r="F435" s="222">
        <f t="shared" si="272"/>
        <v>16</v>
      </c>
      <c r="G435" s="222">
        <f t="shared" si="272"/>
        <v>18</v>
      </c>
      <c r="H435" s="222">
        <f t="shared" si="272"/>
        <v>22</v>
      </c>
      <c r="I435" s="222">
        <f t="shared" si="272"/>
        <v>19</v>
      </c>
      <c r="J435" s="222">
        <f t="shared" si="272"/>
        <v>17</v>
      </c>
      <c r="K435" s="222">
        <f t="shared" si="272"/>
        <v>18</v>
      </c>
      <c r="L435" s="222">
        <f t="shared" si="272"/>
        <v>12</v>
      </c>
      <c r="M435" s="166" t="str">
        <f t="shared" si="272"/>
        <v xml:space="preserve"> </v>
      </c>
      <c r="O435" s="348">
        <f t="shared" si="240"/>
        <v>1600</v>
      </c>
      <c r="Q435" s="291">
        <f t="shared" si="271"/>
        <v>12</v>
      </c>
      <c r="R435" s="345">
        <f t="shared" si="241"/>
        <v>800</v>
      </c>
    </row>
    <row r="436" spans="1:20">
      <c r="A436" s="1">
        <f t="shared" si="238"/>
        <v>2003</v>
      </c>
      <c r="B436" s="39" t="str">
        <f t="shared" ref="B436:M436" si="273">IF(B303&gt;=65,B303-65," ")</f>
        <v xml:space="preserve"> </v>
      </c>
      <c r="C436" s="40" t="str">
        <f t="shared" si="273"/>
        <v xml:space="preserve"> </v>
      </c>
      <c r="D436" s="222">
        <f t="shared" si="273"/>
        <v>14</v>
      </c>
      <c r="E436" s="222">
        <f t="shared" si="273"/>
        <v>13</v>
      </c>
      <c r="F436" s="222">
        <f t="shared" si="273"/>
        <v>17</v>
      </c>
      <c r="G436" s="222">
        <f t="shared" si="273"/>
        <v>16</v>
      </c>
      <c r="H436" s="222">
        <f t="shared" si="273"/>
        <v>18</v>
      </c>
      <c r="I436" s="222">
        <f t="shared" si="273"/>
        <v>17</v>
      </c>
      <c r="J436" s="222">
        <f t="shared" si="273"/>
        <v>17</v>
      </c>
      <c r="K436" s="222">
        <f t="shared" si="273"/>
        <v>16</v>
      </c>
      <c r="L436" s="222">
        <f t="shared" si="273"/>
        <v>13</v>
      </c>
      <c r="M436" s="166" t="str">
        <f t="shared" si="273"/>
        <v xml:space="preserve"> </v>
      </c>
      <c r="O436" s="348">
        <f t="shared" si="240"/>
        <v>1500</v>
      </c>
      <c r="Q436" s="291">
        <f t="shared" si="271"/>
        <v>13</v>
      </c>
      <c r="R436" s="345">
        <f t="shared" si="241"/>
        <v>1600</v>
      </c>
      <c r="T436" s="291">
        <f>+D436</f>
        <v>14</v>
      </c>
    </row>
    <row r="437" spans="1:20">
      <c r="A437" s="1">
        <f t="shared" si="238"/>
        <v>2004</v>
      </c>
      <c r="B437" s="39" t="str">
        <f t="shared" ref="B437:M437" si="274">IF(B304&gt;=65,B304-65," ")</f>
        <v xml:space="preserve"> </v>
      </c>
      <c r="C437" s="40" t="str">
        <f t="shared" si="274"/>
        <v xml:space="preserve"> </v>
      </c>
      <c r="D437" s="222">
        <f t="shared" si="274"/>
        <v>8</v>
      </c>
      <c r="E437" s="222">
        <f t="shared" si="274"/>
        <v>12</v>
      </c>
      <c r="F437" s="222">
        <f t="shared" si="274"/>
        <v>16</v>
      </c>
      <c r="G437" s="222">
        <f t="shared" si="274"/>
        <v>20</v>
      </c>
      <c r="H437" s="222">
        <f t="shared" si="274"/>
        <v>20</v>
      </c>
      <c r="I437" s="222">
        <f t="shared" si="274"/>
        <v>17</v>
      </c>
      <c r="J437" s="222">
        <f t="shared" si="274"/>
        <v>15</v>
      </c>
      <c r="K437" s="222">
        <f t="shared" si="274"/>
        <v>14</v>
      </c>
      <c r="L437" s="222">
        <f t="shared" si="274"/>
        <v>12</v>
      </c>
      <c r="M437" s="166" t="str">
        <f t="shared" si="274"/>
        <v xml:space="preserve"> </v>
      </c>
      <c r="O437" s="348">
        <f t="shared" si="240"/>
        <v>1600</v>
      </c>
      <c r="Q437" s="291">
        <f t="shared" si="271"/>
        <v>12</v>
      </c>
      <c r="R437" s="345">
        <f t="shared" si="241"/>
        <v>1700</v>
      </c>
      <c r="T437" s="291">
        <f>+D437</f>
        <v>8</v>
      </c>
    </row>
    <row r="438" spans="1:20">
      <c r="A438" s="254">
        <f t="shared" ref="A438:A457" si="275">A39</f>
        <v>2005</v>
      </c>
      <c r="B438" s="40" t="str">
        <f t="shared" ref="B438:M438" si="276">IF(B305&gt;=65,B305-65," ")</f>
        <v xml:space="preserve"> </v>
      </c>
      <c r="C438" s="40" t="str">
        <f t="shared" si="276"/>
        <v xml:space="preserve"> </v>
      </c>
      <c r="D438" s="40" t="str">
        <f t="shared" si="276"/>
        <v xml:space="preserve"> </v>
      </c>
      <c r="E438" s="222">
        <f t="shared" si="276"/>
        <v>10</v>
      </c>
      <c r="F438" s="222">
        <f t="shared" si="276"/>
        <v>17</v>
      </c>
      <c r="G438" s="222">
        <f t="shared" si="276"/>
        <v>19</v>
      </c>
      <c r="H438" s="222">
        <f t="shared" si="276"/>
        <v>19</v>
      </c>
      <c r="I438" s="222">
        <f t="shared" si="276"/>
        <v>21</v>
      </c>
      <c r="J438" s="222">
        <f t="shared" si="276"/>
        <v>19</v>
      </c>
      <c r="K438" s="222">
        <f t="shared" si="276"/>
        <v>16</v>
      </c>
      <c r="L438" s="222">
        <f t="shared" si="276"/>
        <v>11</v>
      </c>
      <c r="M438" s="166" t="str">
        <f t="shared" si="276"/>
        <v xml:space="preserve"> </v>
      </c>
      <c r="O438" s="348">
        <f t="shared" si="240"/>
        <v>1900</v>
      </c>
      <c r="Q438" s="291">
        <f t="shared" si="271"/>
        <v>11</v>
      </c>
      <c r="R438" s="345">
        <f t="shared" si="241"/>
        <v>2000</v>
      </c>
      <c r="T438" s="291"/>
    </row>
    <row r="439" spans="1:20">
      <c r="A439" s="254">
        <f t="shared" si="275"/>
        <v>2006</v>
      </c>
      <c r="B439" s="40" t="str">
        <f t="shared" ref="B439:M439" si="277">IF(B306&gt;=65,B306-65," ")</f>
        <v xml:space="preserve"> </v>
      </c>
      <c r="C439" s="40" t="str">
        <f t="shared" si="277"/>
        <v xml:space="preserve"> </v>
      </c>
      <c r="D439" s="222">
        <f t="shared" si="277"/>
        <v>8</v>
      </c>
      <c r="E439" s="222">
        <f t="shared" si="277"/>
        <v>12</v>
      </c>
      <c r="F439" s="222">
        <f t="shared" si="277"/>
        <v>16</v>
      </c>
      <c r="G439" s="222">
        <f t="shared" si="277"/>
        <v>18</v>
      </c>
      <c r="H439" s="222">
        <f t="shared" si="277"/>
        <v>20</v>
      </c>
      <c r="I439" s="222">
        <f t="shared" si="277"/>
        <v>21</v>
      </c>
      <c r="J439" s="222">
        <f t="shared" si="277"/>
        <v>19</v>
      </c>
      <c r="K439" s="222">
        <f t="shared" si="277"/>
        <v>16</v>
      </c>
      <c r="L439" s="222">
        <f t="shared" si="277"/>
        <v>12</v>
      </c>
      <c r="M439" s="222">
        <f t="shared" si="277"/>
        <v>8</v>
      </c>
      <c r="O439" s="348">
        <f t="shared" si="240"/>
        <v>1700</v>
      </c>
      <c r="Q439" s="291">
        <f t="shared" si="271"/>
        <v>12</v>
      </c>
      <c r="R439" s="345">
        <f t="shared" si="241"/>
        <v>1700</v>
      </c>
      <c r="T439" s="291">
        <f>+D439</f>
        <v>8</v>
      </c>
    </row>
    <row r="440" spans="1:20">
      <c r="A440" s="254">
        <f t="shared" si="275"/>
        <v>2007</v>
      </c>
      <c r="B440" s="40" t="str">
        <f t="shared" ref="B440:M440" si="278">IF(B307&gt;=65,B307-65," ")</f>
        <v xml:space="preserve"> </v>
      </c>
      <c r="C440" s="40" t="str">
        <f t="shared" si="278"/>
        <v xml:space="preserve"> </v>
      </c>
      <c r="D440" s="222">
        <f t="shared" si="278"/>
        <v>7</v>
      </c>
      <c r="E440" s="222">
        <f t="shared" si="278"/>
        <v>12</v>
      </c>
      <c r="F440" s="222">
        <f t="shared" si="278"/>
        <v>15</v>
      </c>
      <c r="G440" s="222">
        <f t="shared" si="278"/>
        <v>18</v>
      </c>
      <c r="H440" s="222">
        <f t="shared" si="278"/>
        <v>21</v>
      </c>
      <c r="I440" s="222">
        <f t="shared" si="278"/>
        <v>22</v>
      </c>
      <c r="J440" s="222">
        <f t="shared" si="278"/>
        <v>17</v>
      </c>
      <c r="K440" s="222">
        <f t="shared" si="278"/>
        <v>18</v>
      </c>
      <c r="L440" s="222">
        <f t="shared" si="278"/>
        <v>12</v>
      </c>
      <c r="M440" s="332" t="str">
        <f t="shared" si="278"/>
        <v xml:space="preserve"> </v>
      </c>
      <c r="O440" s="348">
        <f t="shared" si="240"/>
        <v>1700</v>
      </c>
      <c r="Q440" s="291">
        <f t="shared" si="271"/>
        <v>12</v>
      </c>
      <c r="R440" s="345">
        <f t="shared" si="241"/>
        <v>1800</v>
      </c>
      <c r="T440" s="291">
        <f>+D440</f>
        <v>7</v>
      </c>
    </row>
    <row r="441" spans="1:20">
      <c r="A441" s="254">
        <f t="shared" si="275"/>
        <v>2008</v>
      </c>
      <c r="B441" s="40" t="str">
        <f t="shared" ref="B441:M441" si="279">IF(B308&gt;=65,B308-65," ")</f>
        <v xml:space="preserve"> </v>
      </c>
      <c r="C441" s="40" t="str">
        <f t="shared" si="279"/>
        <v xml:space="preserve"> </v>
      </c>
      <c r="D441" s="222">
        <f t="shared" si="279"/>
        <v>10</v>
      </c>
      <c r="E441" s="222">
        <f t="shared" si="279"/>
        <v>10</v>
      </c>
      <c r="F441" s="222">
        <f t="shared" si="279"/>
        <v>18</v>
      </c>
      <c r="G441" s="222">
        <f t="shared" si="279"/>
        <v>21</v>
      </c>
      <c r="H441" s="222">
        <f t="shared" si="279"/>
        <v>20</v>
      </c>
      <c r="I441" s="222">
        <f t="shared" si="279"/>
        <v>18</v>
      </c>
      <c r="J441" s="222">
        <f t="shared" si="279"/>
        <v>20</v>
      </c>
      <c r="K441" s="222">
        <f t="shared" si="279"/>
        <v>14</v>
      </c>
      <c r="L441" s="222">
        <f t="shared" si="279"/>
        <v>13</v>
      </c>
      <c r="M441" s="166" t="str">
        <f t="shared" si="279"/>
        <v xml:space="preserve"> </v>
      </c>
      <c r="O441" s="348">
        <f t="shared" si="240"/>
        <v>1600</v>
      </c>
      <c r="Q441" s="291">
        <f t="shared" si="271"/>
        <v>13</v>
      </c>
      <c r="R441" s="345">
        <f t="shared" si="241"/>
        <v>1800</v>
      </c>
      <c r="T441" s="291">
        <f>+D441</f>
        <v>10</v>
      </c>
    </row>
    <row r="442" spans="1:20">
      <c r="A442" s="254">
        <f t="shared" si="275"/>
        <v>2009</v>
      </c>
      <c r="B442" s="40" t="str">
        <f t="shared" ref="B442:M442" si="280">IF(B309&gt;=65,B309-65," ")</f>
        <v xml:space="preserve"> </v>
      </c>
      <c r="C442" s="40" t="str">
        <f t="shared" si="280"/>
        <v xml:space="preserve"> </v>
      </c>
      <c r="D442" s="40" t="str">
        <f t="shared" si="280"/>
        <v xml:space="preserve"> </v>
      </c>
      <c r="E442" s="222">
        <f t="shared" si="280"/>
        <v>12</v>
      </c>
      <c r="F442" s="222">
        <f t="shared" si="280"/>
        <v>17</v>
      </c>
      <c r="G442" s="222">
        <f t="shared" si="280"/>
        <v>23</v>
      </c>
      <c r="H442" s="222">
        <f t="shared" si="280"/>
        <v>19</v>
      </c>
      <c r="I442" s="222">
        <f t="shared" si="280"/>
        <v>20</v>
      </c>
      <c r="J442" s="222">
        <f t="shared" si="280"/>
        <v>19</v>
      </c>
      <c r="K442" s="222">
        <f t="shared" si="280"/>
        <v>20</v>
      </c>
      <c r="L442" s="222">
        <f t="shared" si="280"/>
        <v>10</v>
      </c>
      <c r="M442" s="222">
        <f t="shared" si="280"/>
        <v>8</v>
      </c>
      <c r="O442" s="348">
        <f t="shared" si="240"/>
        <v>1500</v>
      </c>
      <c r="Q442" s="291">
        <f t="shared" si="271"/>
        <v>10</v>
      </c>
      <c r="R442" s="345">
        <f t="shared" si="241"/>
        <v>800</v>
      </c>
      <c r="S442" s="291"/>
      <c r="T442" s="291"/>
    </row>
    <row r="443" spans="1:20">
      <c r="A443" s="254">
        <f t="shared" si="275"/>
        <v>2010</v>
      </c>
      <c r="B443" s="40" t="str">
        <f t="shared" ref="B443:M443" si="281">IF(B310&gt;=65,B310-65," ")</f>
        <v xml:space="preserve"> </v>
      </c>
      <c r="C443" s="40" t="str">
        <f t="shared" si="281"/>
        <v xml:space="preserve"> </v>
      </c>
      <c r="D443" s="40" t="str">
        <f t="shared" si="281"/>
        <v xml:space="preserve"> </v>
      </c>
      <c r="E443" s="222">
        <f t="shared" si="281"/>
        <v>10</v>
      </c>
      <c r="F443" s="222">
        <f t="shared" si="281"/>
        <v>16</v>
      </c>
      <c r="G443" s="222">
        <f t="shared" si="281"/>
        <v>22</v>
      </c>
      <c r="H443" s="222">
        <f t="shared" si="281"/>
        <v>20</v>
      </c>
      <c r="I443" s="222">
        <f t="shared" si="281"/>
        <v>21</v>
      </c>
      <c r="J443" s="222">
        <f t="shared" si="281"/>
        <v>19</v>
      </c>
      <c r="K443" s="222">
        <f t="shared" si="281"/>
        <v>15</v>
      </c>
      <c r="L443" s="222">
        <f t="shared" si="281"/>
        <v>11</v>
      </c>
      <c r="M443" s="166" t="str">
        <f t="shared" si="281"/>
        <v xml:space="preserve"> </v>
      </c>
      <c r="O443" s="348">
        <f t="shared" si="240"/>
        <v>1800</v>
      </c>
      <c r="Q443" s="291">
        <f t="shared" si="271"/>
        <v>11</v>
      </c>
      <c r="R443" s="345">
        <f t="shared" si="241"/>
        <v>800</v>
      </c>
      <c r="S443" s="291"/>
      <c r="T443" s="291"/>
    </row>
    <row r="444" spans="1:20">
      <c r="A444" s="254">
        <f t="shared" si="275"/>
        <v>2011</v>
      </c>
      <c r="B444" s="40" t="str">
        <f t="shared" ref="B444:M444" si="282">IF(B311&gt;=65,B311-65," ")</f>
        <v xml:space="preserve"> </v>
      </c>
      <c r="C444" s="40" t="str">
        <f t="shared" si="282"/>
        <v xml:space="preserve"> </v>
      </c>
      <c r="D444" s="222">
        <f t="shared" si="282"/>
        <v>9</v>
      </c>
      <c r="E444" s="222">
        <f t="shared" si="282"/>
        <v>16</v>
      </c>
      <c r="F444" s="222">
        <f t="shared" si="282"/>
        <v>18</v>
      </c>
      <c r="G444" s="222">
        <f t="shared" si="282"/>
        <v>22</v>
      </c>
      <c r="H444" s="222">
        <f t="shared" si="282"/>
        <v>21</v>
      </c>
      <c r="I444" s="222">
        <f t="shared" si="282"/>
        <v>22</v>
      </c>
      <c r="J444" s="222">
        <f t="shared" si="282"/>
        <v>18</v>
      </c>
      <c r="K444" s="222">
        <f t="shared" si="282"/>
        <v>14</v>
      </c>
      <c r="L444" s="222">
        <f t="shared" si="282"/>
        <v>11</v>
      </c>
      <c r="M444" s="222">
        <f t="shared" si="282"/>
        <v>5</v>
      </c>
      <c r="O444" s="348">
        <f t="shared" si="240"/>
        <v>1600</v>
      </c>
      <c r="Q444" s="291">
        <f t="shared" si="271"/>
        <v>11</v>
      </c>
      <c r="R444" s="345">
        <f t="shared" si="241"/>
        <v>1600</v>
      </c>
      <c r="S444" s="291"/>
      <c r="T444" s="291">
        <f t="shared" ref="T444:T452" si="283">+D444</f>
        <v>9</v>
      </c>
    </row>
    <row r="445" spans="1:20">
      <c r="A445" s="254">
        <f t="shared" si="275"/>
        <v>2012</v>
      </c>
      <c r="B445" s="40" t="str">
        <f t="shared" ref="B445:M445" si="284">IF(B312&gt;=65,B312-65," ")</f>
        <v xml:space="preserve"> </v>
      </c>
      <c r="C445" s="40" t="str">
        <f t="shared" si="284"/>
        <v xml:space="preserve"> </v>
      </c>
      <c r="D445" s="222">
        <f t="shared" si="284"/>
        <v>11</v>
      </c>
      <c r="E445" s="222">
        <f t="shared" si="284"/>
        <v>12</v>
      </c>
      <c r="F445" s="222">
        <f t="shared" si="284"/>
        <v>18</v>
      </c>
      <c r="G445" s="222">
        <f t="shared" si="284"/>
        <v>17</v>
      </c>
      <c r="H445" s="222">
        <f t="shared" si="284"/>
        <v>20</v>
      </c>
      <c r="I445" s="222">
        <f t="shared" si="284"/>
        <v>20</v>
      </c>
      <c r="J445" s="222">
        <f t="shared" si="284"/>
        <v>18</v>
      </c>
      <c r="K445" s="222">
        <f t="shared" si="284"/>
        <v>13</v>
      </c>
      <c r="L445" s="222">
        <f t="shared" si="284"/>
        <v>8</v>
      </c>
      <c r="M445" s="222">
        <f t="shared" si="284"/>
        <v>5</v>
      </c>
      <c r="O445" s="348">
        <f t="shared" si="240"/>
        <v>1900</v>
      </c>
      <c r="Q445" s="291">
        <f t="shared" si="271"/>
        <v>8</v>
      </c>
      <c r="R445" s="345">
        <f t="shared" si="241"/>
        <v>1800</v>
      </c>
      <c r="S445" s="291"/>
      <c r="T445" s="291">
        <f t="shared" si="283"/>
        <v>11</v>
      </c>
    </row>
    <row r="446" spans="1:20">
      <c r="A446" s="254">
        <f t="shared" si="275"/>
        <v>2013</v>
      </c>
      <c r="B446" s="222">
        <f t="shared" ref="B446:M446" si="285">IF(B313&gt;=65,B313-65," ")</f>
        <v>11</v>
      </c>
      <c r="C446" s="40" t="str">
        <f t="shared" si="285"/>
        <v xml:space="preserve"> </v>
      </c>
      <c r="D446" s="40" t="str">
        <f t="shared" si="285"/>
        <v xml:space="preserve"> </v>
      </c>
      <c r="E446" s="222">
        <f t="shared" si="285"/>
        <v>16</v>
      </c>
      <c r="F446" s="222">
        <f t="shared" si="285"/>
        <v>18</v>
      </c>
      <c r="G446" s="222">
        <f t="shared" si="285"/>
        <v>20</v>
      </c>
      <c r="H446" s="222">
        <f t="shared" si="285"/>
        <v>17</v>
      </c>
      <c r="I446" s="222">
        <f t="shared" si="285"/>
        <v>20</v>
      </c>
      <c r="J446" s="222">
        <f t="shared" si="285"/>
        <v>17</v>
      </c>
      <c r="K446" s="222">
        <f t="shared" si="285"/>
        <v>17</v>
      </c>
      <c r="L446" s="222">
        <f t="shared" si="285"/>
        <v>13</v>
      </c>
      <c r="M446" s="222">
        <f t="shared" si="285"/>
        <v>6</v>
      </c>
      <c r="O446" s="348">
        <f t="shared" si="240"/>
        <v>1700</v>
      </c>
      <c r="Q446" s="291">
        <f t="shared" si="271"/>
        <v>13</v>
      </c>
      <c r="R446" s="345">
        <f t="shared" si="241"/>
        <v>800</v>
      </c>
      <c r="S446" s="291"/>
      <c r="T446" s="291" t="str">
        <f t="shared" si="283"/>
        <v xml:space="preserve"> </v>
      </c>
    </row>
    <row r="447" spans="1:20">
      <c r="A447" s="254">
        <f t="shared" si="275"/>
        <v>2014</v>
      </c>
      <c r="B447" s="222" t="str">
        <f t="shared" ref="B447:M447" si="286">IF(B314&gt;=65,B314-65," ")</f>
        <v xml:space="preserve"> </v>
      </c>
      <c r="C447" s="441" t="str">
        <f t="shared" si="286"/>
        <v xml:space="preserve"> </v>
      </c>
      <c r="D447" s="441">
        <f t="shared" si="286"/>
        <v>7</v>
      </c>
      <c r="E447" s="222">
        <f t="shared" si="286"/>
        <v>15</v>
      </c>
      <c r="F447" s="222">
        <f t="shared" si="286"/>
        <v>15</v>
      </c>
      <c r="G447" s="222">
        <f t="shared" si="286"/>
        <v>21</v>
      </c>
      <c r="H447" s="222">
        <f t="shared" si="286"/>
        <v>19</v>
      </c>
      <c r="I447" s="222">
        <f t="shared" si="286"/>
        <v>21</v>
      </c>
      <c r="J447" s="222">
        <f t="shared" si="286"/>
        <v>17</v>
      </c>
      <c r="K447" s="222">
        <f t="shared" si="286"/>
        <v>16</v>
      </c>
      <c r="L447" s="222" t="str">
        <f t="shared" si="286"/>
        <v xml:space="preserve"> </v>
      </c>
      <c r="M447" s="222" t="str">
        <f t="shared" si="286"/>
        <v xml:space="preserve"> </v>
      </c>
      <c r="O447" s="348">
        <f t="shared" si="240"/>
        <v>800</v>
      </c>
      <c r="R447" s="345">
        <f t="shared" si="241"/>
        <v>1800</v>
      </c>
      <c r="T447" s="291">
        <f t="shared" si="283"/>
        <v>7</v>
      </c>
    </row>
    <row r="448" spans="1:20">
      <c r="A448" s="254">
        <f t="shared" si="275"/>
        <v>2015</v>
      </c>
      <c r="B448" s="222" t="str">
        <f t="shared" ref="B448:M448" si="287">IF(B315&gt;=65,B315-65," ")</f>
        <v xml:space="preserve"> </v>
      </c>
      <c r="C448" s="441" t="str">
        <f t="shared" si="287"/>
        <v xml:space="preserve"> </v>
      </c>
      <c r="D448" s="441">
        <f t="shared" si="287"/>
        <v>8</v>
      </c>
      <c r="E448" s="222">
        <f t="shared" si="287"/>
        <v>15</v>
      </c>
      <c r="F448" s="222">
        <f t="shared" si="287"/>
        <v>19</v>
      </c>
      <c r="G448" s="222">
        <f t="shared" si="287"/>
        <v>18</v>
      </c>
      <c r="H448" s="222">
        <f t="shared" si="287"/>
        <v>19</v>
      </c>
      <c r="I448" s="222">
        <f t="shared" si="287"/>
        <v>21</v>
      </c>
      <c r="J448" s="222">
        <f t="shared" si="287"/>
        <v>20</v>
      </c>
      <c r="K448" s="222">
        <f t="shared" si="287"/>
        <v>15</v>
      </c>
      <c r="L448" s="222">
        <f t="shared" si="287"/>
        <v>16</v>
      </c>
      <c r="M448" s="222">
        <f t="shared" si="287"/>
        <v>12</v>
      </c>
      <c r="O448" s="348">
        <f t="shared" si="240"/>
        <v>1500</v>
      </c>
      <c r="Q448" s="291">
        <f>+L448</f>
        <v>16</v>
      </c>
      <c r="R448" s="345">
        <f t="shared" si="241"/>
        <v>1800</v>
      </c>
      <c r="T448" s="291">
        <f t="shared" si="283"/>
        <v>8</v>
      </c>
    </row>
    <row r="449" spans="1:20">
      <c r="A449" s="254">
        <f t="shared" si="275"/>
        <v>2016</v>
      </c>
      <c r="B449" s="222" t="str">
        <f t="shared" ref="B449:M449" si="288">IF(B316&gt;=65,B316-65," ")</f>
        <v xml:space="preserve"> </v>
      </c>
      <c r="C449" s="441" t="str">
        <f t="shared" si="288"/>
        <v xml:space="preserve"> </v>
      </c>
      <c r="D449" s="441">
        <f t="shared" si="288"/>
        <v>10.5</v>
      </c>
      <c r="E449" s="222">
        <f t="shared" si="288"/>
        <v>15</v>
      </c>
      <c r="F449" s="222">
        <f t="shared" si="288"/>
        <v>15</v>
      </c>
      <c r="G449" s="222">
        <f t="shared" si="288"/>
        <v>20</v>
      </c>
      <c r="H449" s="222">
        <f t="shared" si="288"/>
        <v>21</v>
      </c>
      <c r="I449" s="222">
        <f t="shared" si="288"/>
        <v>21</v>
      </c>
      <c r="J449" s="222">
        <f t="shared" si="288"/>
        <v>20</v>
      </c>
      <c r="K449" s="222">
        <f t="shared" si="288"/>
        <v>16</v>
      </c>
      <c r="L449" s="222">
        <f t="shared" si="288"/>
        <v>10.916666666666671</v>
      </c>
      <c r="M449" s="222">
        <f t="shared" si="288"/>
        <v>12</v>
      </c>
      <c r="O449" s="348">
        <f t="shared" si="240"/>
        <v>1700</v>
      </c>
      <c r="Q449" s="291">
        <f>+L449</f>
        <v>10.916666666666671</v>
      </c>
      <c r="R449" s="345">
        <f t="shared" si="241"/>
        <v>1800</v>
      </c>
      <c r="T449" s="291">
        <f t="shared" si="283"/>
        <v>10.5</v>
      </c>
    </row>
    <row r="450" spans="1:20">
      <c r="A450" s="254">
        <f t="shared" si="275"/>
        <v>2017</v>
      </c>
      <c r="B450" s="222" t="str">
        <f t="shared" ref="B450:M450" si="289">IF(B317&gt;=65,B317-65," ")</f>
        <v xml:space="preserve"> </v>
      </c>
      <c r="C450" s="441">
        <f t="shared" si="289"/>
        <v>11</v>
      </c>
      <c r="D450" s="441">
        <f t="shared" si="289"/>
        <v>10</v>
      </c>
      <c r="E450" s="222">
        <f t="shared" si="289"/>
        <v>17</v>
      </c>
      <c r="F450" s="222">
        <f t="shared" si="289"/>
        <v>20</v>
      </c>
      <c r="G450" s="222">
        <f t="shared" si="289"/>
        <v>19</v>
      </c>
      <c r="H450" s="222">
        <f t="shared" si="289"/>
        <v>21</v>
      </c>
      <c r="I450" s="222">
        <f t="shared" si="289"/>
        <v>21</v>
      </c>
      <c r="J450" s="222">
        <f t="shared" si="289"/>
        <v>18</v>
      </c>
      <c r="K450" s="222">
        <f t="shared" si="289"/>
        <v>18</v>
      </c>
      <c r="L450" s="222">
        <f t="shared" si="289"/>
        <v>10</v>
      </c>
      <c r="M450" s="222" t="str">
        <f t="shared" si="289"/>
        <v xml:space="preserve"> </v>
      </c>
      <c r="O450" s="348">
        <f t="shared" si="240"/>
        <v>1600</v>
      </c>
      <c r="Q450" s="291">
        <f>+L450</f>
        <v>10</v>
      </c>
      <c r="R450" s="345">
        <f t="shared" si="241"/>
        <v>1700</v>
      </c>
      <c r="T450" s="291">
        <f t="shared" si="283"/>
        <v>10</v>
      </c>
    </row>
    <row r="451" spans="1:20">
      <c r="A451" s="254">
        <f t="shared" si="275"/>
        <v>2018</v>
      </c>
      <c r="B451" s="222" t="str">
        <f t="shared" ref="B451:M451" si="290">IF(B318&gt;=65,B318-65," ")</f>
        <v xml:space="preserve"> </v>
      </c>
      <c r="C451" s="441">
        <f t="shared" si="290"/>
        <v>14</v>
      </c>
      <c r="D451" s="441">
        <f t="shared" si="290"/>
        <v>9</v>
      </c>
      <c r="E451" s="222">
        <f t="shared" si="290"/>
        <v>13</v>
      </c>
      <c r="F451" s="222">
        <f t="shared" si="290"/>
        <v>15</v>
      </c>
      <c r="G451" s="222">
        <f t="shared" si="290"/>
        <v>19</v>
      </c>
      <c r="H451" s="222">
        <f t="shared" si="290"/>
        <v>21</v>
      </c>
      <c r="I451" s="222">
        <f t="shared" si="290"/>
        <v>19</v>
      </c>
      <c r="J451" s="222">
        <f t="shared" si="290"/>
        <v>22</v>
      </c>
      <c r="K451" s="222">
        <f t="shared" si="290"/>
        <v>19</v>
      </c>
      <c r="L451" s="222">
        <f t="shared" si="290"/>
        <v>19</v>
      </c>
      <c r="M451" s="222">
        <f t="shared" si="290"/>
        <v>10</v>
      </c>
      <c r="O451" s="348">
        <f t="shared" si="240"/>
        <v>1600</v>
      </c>
      <c r="Q451" s="291">
        <f>+L451</f>
        <v>19</v>
      </c>
      <c r="R451" s="345">
        <f t="shared" si="241"/>
        <v>1800</v>
      </c>
      <c r="T451" s="291">
        <f t="shared" si="283"/>
        <v>9</v>
      </c>
    </row>
    <row r="452" spans="1:20">
      <c r="A452" s="254">
        <f t="shared" si="275"/>
        <v>2019</v>
      </c>
      <c r="B452" s="222" t="str">
        <f t="shared" ref="B452:M452" si="291">IF(B319&gt;=65,B319-65," ")</f>
        <v xml:space="preserve"> </v>
      </c>
      <c r="C452" s="441">
        <f t="shared" si="291"/>
        <v>12</v>
      </c>
      <c r="D452" s="441">
        <f t="shared" si="291"/>
        <v>10</v>
      </c>
      <c r="E452" s="222">
        <f t="shared" si="291"/>
        <v>15</v>
      </c>
      <c r="F452" s="222">
        <f t="shared" si="291"/>
        <v>21</v>
      </c>
      <c r="G452" s="222">
        <f t="shared" si="291"/>
        <v>23</v>
      </c>
      <c r="H452" s="222">
        <f t="shared" si="291"/>
        <v>18</v>
      </c>
      <c r="I452" s="222">
        <f t="shared" si="291"/>
        <v>20</v>
      </c>
      <c r="J452" s="222">
        <f t="shared" si="291"/>
        <v>22</v>
      </c>
      <c r="K452" s="222">
        <f t="shared" si="291"/>
        <v>17</v>
      </c>
      <c r="L452" s="222">
        <f t="shared" si="291"/>
        <v>14</v>
      </c>
      <c r="M452" s="222">
        <f t="shared" si="291"/>
        <v>9</v>
      </c>
      <c r="O452" s="348">
        <f t="shared" si="240"/>
        <v>1600</v>
      </c>
      <c r="Q452" s="291">
        <f>+L452</f>
        <v>14</v>
      </c>
      <c r="R452" s="345">
        <f t="shared" si="241"/>
        <v>1800</v>
      </c>
      <c r="T452" s="291">
        <f t="shared" si="283"/>
        <v>10</v>
      </c>
    </row>
    <row r="453" spans="1:20">
      <c r="A453" s="254">
        <f t="shared" si="275"/>
        <v>2020</v>
      </c>
      <c r="B453" s="222" t="str">
        <f t="shared" ref="B453:M453" si="292">IF(B320&gt;=65,B320-65," ")</f>
        <v xml:space="preserve"> </v>
      </c>
      <c r="C453" s="441">
        <f t="shared" si="292"/>
        <v>10</v>
      </c>
      <c r="D453" s="441">
        <f t="shared" si="292"/>
        <v>13</v>
      </c>
      <c r="E453" s="222">
        <f t="shared" si="292"/>
        <v>17</v>
      </c>
      <c r="F453" s="222">
        <f t="shared" si="292"/>
        <v>16</v>
      </c>
      <c r="G453" s="222">
        <f t="shared" si="292"/>
        <v>21</v>
      </c>
      <c r="H453" s="222">
        <f t="shared" si="292"/>
        <v>22</v>
      </c>
      <c r="I453" s="222">
        <f t="shared" si="292"/>
        <v>22</v>
      </c>
      <c r="J453" s="222">
        <f t="shared" si="292"/>
        <v>22</v>
      </c>
      <c r="K453" s="222">
        <f t="shared" si="292"/>
        <v>20</v>
      </c>
      <c r="L453" s="222">
        <f t="shared" si="292"/>
        <v>14</v>
      </c>
      <c r="M453" s="222" t="str">
        <f t="shared" si="292"/>
        <v xml:space="preserve"> </v>
      </c>
      <c r="O453" s="348"/>
      <c r="Q453" s="291"/>
      <c r="R453" s="345"/>
      <c r="T453" s="291"/>
    </row>
    <row r="454" spans="1:20">
      <c r="A454" s="254">
        <f t="shared" si="275"/>
        <v>2021</v>
      </c>
      <c r="B454" s="222" t="str">
        <f t="shared" ref="B454:M454" si="293">IF(B321&gt;=65,B321-65," ")</f>
        <v xml:space="preserve"> </v>
      </c>
      <c r="C454" s="441" t="str">
        <f t="shared" si="293"/>
        <v xml:space="preserve"> </v>
      </c>
      <c r="D454" s="441">
        <f t="shared" si="293"/>
        <v>13</v>
      </c>
      <c r="E454" s="222">
        <f t="shared" si="293"/>
        <v>14</v>
      </c>
      <c r="F454" s="222">
        <f t="shared" si="293"/>
        <v>18.25</v>
      </c>
      <c r="G454" s="222">
        <f t="shared" si="293"/>
        <v>21</v>
      </c>
      <c r="H454" s="222">
        <f t="shared" si="293"/>
        <v>22</v>
      </c>
      <c r="I454" s="222">
        <f t="shared" si="293"/>
        <v>21</v>
      </c>
      <c r="J454" s="222">
        <f t="shared" si="293"/>
        <v>18</v>
      </c>
      <c r="K454" s="222">
        <f t="shared" si="293"/>
        <v>19</v>
      </c>
      <c r="L454" s="222">
        <f t="shared" si="293"/>
        <v>10</v>
      </c>
      <c r="M454" s="222">
        <f t="shared" si="293"/>
        <v>11</v>
      </c>
      <c r="O454" s="348"/>
      <c r="Q454" s="291"/>
      <c r="R454" s="345"/>
      <c r="T454" s="291"/>
    </row>
    <row r="455" spans="1:20" customFormat="1">
      <c r="A455" s="254">
        <f t="shared" si="275"/>
        <v>2022</v>
      </c>
      <c r="B455" s="222" t="str">
        <f t="shared" ref="B455:M455" si="294">IF(B322&gt;=65,B322-65," ")</f>
        <v xml:space="preserve"> </v>
      </c>
      <c r="C455" s="441">
        <f t="shared" si="294"/>
        <v>10.083333333333329</v>
      </c>
      <c r="D455" s="441">
        <f t="shared" si="294"/>
        <v>13.333333333333329</v>
      </c>
      <c r="E455" s="222">
        <f t="shared" si="294"/>
        <v>14.625</v>
      </c>
      <c r="F455" s="222">
        <f t="shared" si="294"/>
        <v>19.958333333333329</v>
      </c>
      <c r="G455" s="222">
        <f t="shared" si="294"/>
        <v>21.458333333333329</v>
      </c>
      <c r="H455" s="222">
        <f t="shared" si="294"/>
        <v>22</v>
      </c>
      <c r="I455" s="222">
        <f t="shared" si="294"/>
        <v>23</v>
      </c>
      <c r="J455" s="222">
        <f t="shared" si="294"/>
        <v>21.875</v>
      </c>
      <c r="K455" s="222">
        <f t="shared" si="294"/>
        <v>15.291666666666671</v>
      </c>
      <c r="L455" s="222">
        <f t="shared" si="294"/>
        <v>14.291666666666671</v>
      </c>
      <c r="M455" s="222" t="str">
        <f t="shared" si="294"/>
        <v xml:space="preserve"> </v>
      </c>
    </row>
    <row r="456" spans="1:20" customFormat="1">
      <c r="A456" s="254">
        <f t="shared" si="275"/>
        <v>2023</v>
      </c>
      <c r="B456" s="222" t="str">
        <f t="shared" ref="B456:M456" si="295">IF(B323&gt;=65,B323-65," ")</f>
        <v xml:space="preserve"> </v>
      </c>
      <c r="C456" s="441">
        <f t="shared" si="295"/>
        <v>10.541666666666671</v>
      </c>
      <c r="D456" s="441">
        <f t="shared" si="295"/>
        <v>11.916666666666671</v>
      </c>
      <c r="E456" s="222">
        <f t="shared" si="295"/>
        <v>13.291666666666671</v>
      </c>
      <c r="F456" s="222">
        <f t="shared" si="295"/>
        <v>17.375</v>
      </c>
      <c r="G456" s="222">
        <f t="shared" si="295"/>
        <v>22.25</v>
      </c>
      <c r="H456" s="222">
        <f t="shared" si="295"/>
        <v>21.041666666666671</v>
      </c>
      <c r="I456" s="222">
        <f t="shared" si="295"/>
        <v>24.299999999999997</v>
      </c>
      <c r="J456" s="222" t="str">
        <f t="shared" si="295"/>
        <v xml:space="preserve"> </v>
      </c>
      <c r="K456" s="222" t="str">
        <f t="shared" si="295"/>
        <v xml:space="preserve"> </v>
      </c>
      <c r="L456" s="222" t="str">
        <f t="shared" si="295"/>
        <v xml:space="preserve"> </v>
      </c>
      <c r="M456" s="222" t="str">
        <f t="shared" si="295"/>
        <v xml:space="preserve"> </v>
      </c>
    </row>
    <row r="457" spans="1:20" customFormat="1">
      <c r="A457" s="254">
        <f t="shared" si="275"/>
        <v>2024</v>
      </c>
      <c r="B457" s="222" t="str">
        <f t="shared" ref="B457:M457" si="296">IF(B324&gt;=65,B324-65," ")</f>
        <v xml:space="preserve"> </v>
      </c>
      <c r="C457" s="40" t="str">
        <f t="shared" si="296"/>
        <v xml:space="preserve"> </v>
      </c>
      <c r="D457" s="40" t="str">
        <f t="shared" si="296"/>
        <v xml:space="preserve"> </v>
      </c>
      <c r="E457" s="222" t="str">
        <f t="shared" si="296"/>
        <v xml:space="preserve"> </v>
      </c>
      <c r="F457" s="222" t="str">
        <f t="shared" si="296"/>
        <v xml:space="preserve"> </v>
      </c>
      <c r="G457" s="222" t="str">
        <f t="shared" si="296"/>
        <v xml:space="preserve"> </v>
      </c>
      <c r="H457" s="222" t="str">
        <f t="shared" si="296"/>
        <v xml:space="preserve"> </v>
      </c>
      <c r="I457" s="222" t="str">
        <f t="shared" si="296"/>
        <v xml:space="preserve"> </v>
      </c>
      <c r="J457" s="222" t="str">
        <f t="shared" si="296"/>
        <v xml:space="preserve"> </v>
      </c>
      <c r="K457" s="222" t="str">
        <f t="shared" si="296"/>
        <v xml:space="preserve"> </v>
      </c>
      <c r="L457" s="222" t="str">
        <f t="shared" si="296"/>
        <v xml:space="preserve"> </v>
      </c>
      <c r="M457" s="222" t="str">
        <f t="shared" si="296"/>
        <v xml:space="preserve"> </v>
      </c>
    </row>
    <row r="459" spans="1:20" ht="15.75">
      <c r="A459" s="1" t="s">
        <v>67</v>
      </c>
      <c r="B459" s="43">
        <f>AVERAGE(B421:B450)</f>
        <v>11</v>
      </c>
      <c r="C459" s="43">
        <f t="shared" ref="C459:M459" si="297">AVERAGE(C421:C450)</f>
        <v>11</v>
      </c>
      <c r="D459" s="43">
        <f t="shared" si="297"/>
        <v>9.90625</v>
      </c>
      <c r="E459" s="43">
        <f t="shared" si="297"/>
        <v>12.533333333333333</v>
      </c>
      <c r="F459" s="43">
        <f t="shared" si="297"/>
        <v>16.600000000000001</v>
      </c>
      <c r="G459" s="43">
        <f t="shared" si="297"/>
        <v>19.166666666666668</v>
      </c>
      <c r="H459" s="43">
        <f t="shared" si="297"/>
        <v>19.933333333333334</v>
      </c>
      <c r="I459" s="43">
        <f t="shared" si="297"/>
        <v>19.8</v>
      </c>
      <c r="J459" s="43">
        <f t="shared" si="297"/>
        <v>18</v>
      </c>
      <c r="K459" s="43">
        <f t="shared" si="297"/>
        <v>15.433333333333334</v>
      </c>
      <c r="L459" s="43">
        <f t="shared" si="297"/>
        <v>11.404320987654321</v>
      </c>
      <c r="M459" s="43">
        <f t="shared" si="297"/>
        <v>8.2222222222222214</v>
      </c>
      <c r="P459" s="302"/>
      <c r="Q459" s="302">
        <f>AVERAGE(Q421:Q450)</f>
        <v>11.381410256410257</v>
      </c>
      <c r="R459" s="225" t="s">
        <v>67</v>
      </c>
      <c r="S459" s="302" t="e">
        <f>AVERAGE(S421:S450)</f>
        <v>#DIV/0!</v>
      </c>
      <c r="T459" s="302">
        <f>AVERAGE(T421:T450)</f>
        <v>9.90625</v>
      </c>
    </row>
    <row r="460" spans="1:20" ht="15.75">
      <c r="A460" s="1" t="s">
        <v>69</v>
      </c>
      <c r="B460" s="43">
        <f>AVERAGE(B431:B450)</f>
        <v>11</v>
      </c>
      <c r="C460" s="43">
        <f t="shared" ref="C460:M460" si="298">AVERAGE(C431:C450)</f>
        <v>11</v>
      </c>
      <c r="D460" s="43">
        <f t="shared" si="298"/>
        <v>9.2692307692307701</v>
      </c>
      <c r="E460" s="43">
        <f t="shared" si="298"/>
        <v>12.9</v>
      </c>
      <c r="F460" s="43">
        <f t="shared" si="298"/>
        <v>16.850000000000001</v>
      </c>
      <c r="G460" s="43">
        <f t="shared" si="298"/>
        <v>19.350000000000001</v>
      </c>
      <c r="H460" s="234">
        <f t="shared" si="298"/>
        <v>20</v>
      </c>
      <c r="I460" s="234">
        <f t="shared" si="298"/>
        <v>20.149999999999999</v>
      </c>
      <c r="J460" s="43">
        <f t="shared" si="298"/>
        <v>18.05</v>
      </c>
      <c r="K460" s="43">
        <f t="shared" si="298"/>
        <v>15.75</v>
      </c>
      <c r="L460" s="43">
        <f t="shared" si="298"/>
        <v>11.495370370370372</v>
      </c>
      <c r="M460" s="43">
        <f t="shared" si="298"/>
        <v>8.375</v>
      </c>
      <c r="P460" s="302"/>
      <c r="Q460" s="302">
        <f>AVERAGE(Q431:Q450)</f>
        <v>11.495370370370372</v>
      </c>
      <c r="R460" s="225" t="s">
        <v>69</v>
      </c>
      <c r="S460" s="302" t="e">
        <f>AVERAGE(S431:S450)</f>
        <v>#DIV/0!</v>
      </c>
      <c r="T460" s="302">
        <f>AVERAGE(T431:T450)</f>
        <v>9.2692307692307701</v>
      </c>
    </row>
    <row r="461" spans="1:20" ht="15.75">
      <c r="A461" s="1" t="s">
        <v>68</v>
      </c>
      <c r="B461" s="43">
        <f>AVERAGE(B441:B450)</f>
        <v>11</v>
      </c>
      <c r="C461" s="43">
        <f t="shared" ref="C461:M461" si="299">AVERAGE(C441:C450)</f>
        <v>11</v>
      </c>
      <c r="D461" s="43">
        <f t="shared" si="299"/>
        <v>9.3571428571428577</v>
      </c>
      <c r="E461" s="43">
        <f t="shared" si="299"/>
        <v>13.8</v>
      </c>
      <c r="F461" s="43">
        <f t="shared" si="299"/>
        <v>17.399999999999999</v>
      </c>
      <c r="G461" s="43">
        <f t="shared" si="299"/>
        <v>20.3</v>
      </c>
      <c r="H461" s="234">
        <f t="shared" si="299"/>
        <v>19.7</v>
      </c>
      <c r="I461" s="234">
        <f t="shared" si="299"/>
        <v>20.5</v>
      </c>
      <c r="J461" s="43">
        <f t="shared" si="299"/>
        <v>18.600000000000001</v>
      </c>
      <c r="K461" s="43">
        <f t="shared" si="299"/>
        <v>15.8</v>
      </c>
      <c r="L461" s="43">
        <f t="shared" si="299"/>
        <v>11.435185185185185</v>
      </c>
      <c r="M461" s="43">
        <f t="shared" si="299"/>
        <v>8</v>
      </c>
      <c r="P461" s="302"/>
      <c r="Q461" s="302">
        <f>AVERAGE(Q441:Q450)</f>
        <v>11.435185185185185</v>
      </c>
      <c r="R461" s="225" t="s">
        <v>68</v>
      </c>
      <c r="S461" s="302" t="e">
        <f>AVERAGE(S441:S450)</f>
        <v>#DIV/0!</v>
      </c>
      <c r="T461" s="302">
        <f>AVERAGE(T441:T450)</f>
        <v>9.3571428571428577</v>
      </c>
    </row>
    <row r="462" spans="1:20"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</row>
    <row r="463" spans="1:20" ht="15.75">
      <c r="A463" s="235" t="s">
        <v>259</v>
      </c>
      <c r="B463" s="236">
        <v>0</v>
      </c>
      <c r="C463" s="236">
        <v>0</v>
      </c>
      <c r="D463" s="236">
        <v>0</v>
      </c>
      <c r="E463" s="236">
        <v>11</v>
      </c>
      <c r="F463" s="236">
        <v>16</v>
      </c>
      <c r="G463" s="236">
        <v>19</v>
      </c>
      <c r="H463" s="237">
        <v>20</v>
      </c>
      <c r="I463" s="237">
        <v>20</v>
      </c>
      <c r="J463" s="236">
        <v>18</v>
      </c>
      <c r="K463" s="236">
        <v>15</v>
      </c>
      <c r="L463" s="236">
        <v>0</v>
      </c>
      <c r="M463" s="236">
        <v>0</v>
      </c>
      <c r="N463" s="236"/>
      <c r="O463" s="236"/>
      <c r="P463" s="307"/>
      <c r="Q463" s="307"/>
      <c r="R463" s="307"/>
      <c r="S463" s="307"/>
      <c r="T463" s="308"/>
    </row>
    <row r="464" spans="1:20">
      <c r="A464" s="238" t="s">
        <v>260</v>
      </c>
      <c r="B464" s="239"/>
      <c r="C464" s="239"/>
      <c r="D464" s="239"/>
      <c r="E464" s="239">
        <f>+E463+65</f>
        <v>76</v>
      </c>
      <c r="F464" s="239">
        <f t="shared" ref="F464:K464" si="300">+F463+65</f>
        <v>81</v>
      </c>
      <c r="G464" s="239">
        <f t="shared" si="300"/>
        <v>84</v>
      </c>
      <c r="H464" s="239">
        <f t="shared" si="300"/>
        <v>85</v>
      </c>
      <c r="I464" s="239">
        <f t="shared" si="300"/>
        <v>85</v>
      </c>
      <c r="J464" s="239">
        <f t="shared" si="300"/>
        <v>83</v>
      </c>
      <c r="K464" s="239">
        <f t="shared" si="300"/>
        <v>80</v>
      </c>
      <c r="L464" s="239"/>
      <c r="M464" s="239"/>
      <c r="N464" s="239"/>
      <c r="O464" s="239"/>
      <c r="P464" s="313"/>
      <c r="Q464" s="346">
        <v>76</v>
      </c>
      <c r="R464" s="313"/>
      <c r="S464" s="313"/>
      <c r="T464" s="347">
        <v>77</v>
      </c>
    </row>
    <row r="466" spans="2:20">
      <c r="B466" s="68"/>
      <c r="C466" s="68"/>
      <c r="D466" s="68"/>
      <c r="E466" s="68">
        <f>+E460+65</f>
        <v>77.900000000000006</v>
      </c>
      <c r="F466" s="68">
        <f t="shared" ref="F466:K466" si="301">+F460+65</f>
        <v>81.849999999999994</v>
      </c>
      <c r="G466" s="68">
        <f t="shared" si="301"/>
        <v>84.35</v>
      </c>
      <c r="H466" s="68">
        <f t="shared" si="301"/>
        <v>85</v>
      </c>
      <c r="I466" s="68">
        <f t="shared" si="301"/>
        <v>85.15</v>
      </c>
      <c r="J466" s="68">
        <f t="shared" si="301"/>
        <v>83.05</v>
      </c>
      <c r="K466" s="68">
        <f t="shared" si="301"/>
        <v>80.75</v>
      </c>
      <c r="L466" s="68"/>
      <c r="M466" s="68"/>
      <c r="Q466" s="291">
        <f>+Q460+65</f>
        <v>76.495370370370367</v>
      </c>
      <c r="T466" s="291">
        <f>+T460+65</f>
        <v>74.269230769230774</v>
      </c>
    </row>
    <row r="467" spans="2:20">
      <c r="E467" s="68">
        <f>+E464-E466</f>
        <v>-1.9000000000000057</v>
      </c>
      <c r="F467" s="68">
        <f t="shared" ref="F467:K467" si="302">+F464-F466</f>
        <v>-0.84999999999999432</v>
      </c>
      <c r="G467" s="68">
        <f t="shared" si="302"/>
        <v>-0.34999999999999432</v>
      </c>
      <c r="H467" s="68">
        <f t="shared" si="302"/>
        <v>0</v>
      </c>
      <c r="I467" s="68">
        <f t="shared" si="302"/>
        <v>-0.15000000000000568</v>
      </c>
      <c r="J467" s="68">
        <f t="shared" si="302"/>
        <v>-4.9999999999997158E-2</v>
      </c>
      <c r="K467" s="68">
        <f t="shared" si="302"/>
        <v>-0.75</v>
      </c>
      <c r="Q467" s="291">
        <f>+Q464-Q466</f>
        <v>-0.49537037037036669</v>
      </c>
      <c r="T467" s="291">
        <f>+T464-T466</f>
        <v>2.7307692307692264</v>
      </c>
    </row>
    <row r="469" spans="2:20">
      <c r="I469" s="68"/>
    </row>
  </sheetData>
  <sortState xmlns:xlrd2="http://schemas.microsoft.com/office/spreadsheetml/2017/richdata2" ref="AJ197:AK246">
    <sortCondition ref="AK197:AK246"/>
  </sortState>
  <mergeCells count="1">
    <mergeCell ref="T5:U5"/>
  </mergeCells>
  <phoneticPr fontId="9" type="noConversion"/>
  <conditionalFormatting sqref="B229:M247">
    <cfRule type="expression" dxfId="5" priority="4">
      <formula>B155&gt;1100</formula>
    </cfRule>
    <cfRule type="cellIs" dxfId="4" priority="5" operator="lessThan">
      <formula>65</formula>
    </cfRule>
    <cfRule type="cellIs" dxfId="3" priority="6" operator="greaterThan">
      <formula>65</formula>
    </cfRule>
  </conditionalFormatting>
  <conditionalFormatting sqref="B273:M323">
    <cfRule type="expression" dxfId="2" priority="1">
      <formula>B123&gt;1000</formula>
    </cfRule>
    <cfRule type="cellIs" dxfId="1" priority="2" operator="greaterThan">
      <formula>65</formula>
    </cfRule>
    <cfRule type="cellIs" dxfId="0" priority="3" operator="lessThan">
      <formula>65</formula>
    </cfRule>
  </conditionalFormatting>
  <pageMargins left="0.25" right="0.25694444444444442" top="0.25" bottom="0.25" header="0" footer="0"/>
  <pageSetup scale="71" orientation="landscape" r:id="rId1"/>
  <headerFooter alignWithMargins="0"/>
  <customProperties>
    <customPr name="_pios_id" r:id="rId2"/>
    <customPr name="EpmWorksheetKeyString_GUID" r:id="rId3"/>
  </customProperties>
  <ignoredErrors>
    <ignoredError sqref="S7:S45" formulaRange="1"/>
  </ignoredErrors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C311-FAD3-485A-96F9-F192E7137522}">
  <dimension ref="A1"/>
  <sheetViews>
    <sheetView showGridLines="0" zoomScale="85" zoomScaleNormal="85" workbookViewId="0">
      <selection activeCell="T77" sqref="T77"/>
    </sheetView>
  </sheetViews>
  <sheetFormatPr defaultRowHeight="15"/>
  <sheetData/>
  <pageMargins left="0.7" right="0.7" top="0.75" bottom="0.75" header="0.3" footer="0.3"/>
  <customProperties>
    <customPr name="EpmWorksheetKeyString_GU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5371-08CE-4A7A-AC6D-AAC5466ECBE4}">
  <sheetPr>
    <tabColor rgb="FFFFFF00"/>
  </sheetPr>
  <dimension ref="A1:G19"/>
  <sheetViews>
    <sheetView showGridLines="0" workbookViewId="0">
      <selection activeCell="E2" sqref="E2"/>
    </sheetView>
  </sheetViews>
  <sheetFormatPr defaultRowHeight="15"/>
  <cols>
    <col min="5" max="5" width="39.33203125" bestFit="1" customWidth="1"/>
  </cols>
  <sheetData>
    <row r="1" spans="1:7">
      <c r="A1" s="350" t="s">
        <v>160</v>
      </c>
      <c r="B1" s="351" t="s">
        <v>310</v>
      </c>
      <c r="C1" s="350" t="s">
        <v>311</v>
      </c>
      <c r="D1" s="350" t="s">
        <v>312</v>
      </c>
      <c r="E1" s="350"/>
      <c r="F1" s="350" t="s">
        <v>313</v>
      </c>
      <c r="G1" s="350" t="s">
        <v>314</v>
      </c>
    </row>
    <row r="2" spans="1:7">
      <c r="A2" s="352">
        <v>1990</v>
      </c>
      <c r="B2" s="353">
        <v>1</v>
      </c>
      <c r="C2" s="359">
        <f>+ROUND('Total Retail'!AE255,0)</f>
        <v>31</v>
      </c>
      <c r="D2" s="359">
        <f>ROUND('Total Retail'!AE$330,0)</f>
        <v>42</v>
      </c>
      <c r="E2" s="361" t="s">
        <v>317</v>
      </c>
      <c r="F2" s="55"/>
      <c r="G2" s="55"/>
    </row>
    <row r="3" spans="1:7">
      <c r="A3" s="352">
        <v>1990</v>
      </c>
      <c r="B3" s="353">
        <v>2</v>
      </c>
      <c r="C3" s="360">
        <f>+ROUND('Total Retail'!Y253,0)</f>
        <v>43</v>
      </c>
      <c r="D3" s="360">
        <f>ROUND('Total Retail'!Y$328,0)</f>
        <v>52</v>
      </c>
      <c r="E3" s="362"/>
      <c r="F3" s="350"/>
      <c r="G3" s="55"/>
    </row>
    <row r="4" spans="1:7">
      <c r="A4" s="352">
        <v>1990</v>
      </c>
      <c r="B4" s="353">
        <v>3</v>
      </c>
      <c r="C4" s="360">
        <f>+ROUND('Total Retail'!S253,0)</f>
        <v>45</v>
      </c>
      <c r="D4" s="360">
        <f>ROUND('Total Retail'!S$328,0)</f>
        <v>52</v>
      </c>
      <c r="E4" s="362" t="s">
        <v>86</v>
      </c>
      <c r="F4" s="358">
        <f>+ROUND('Total Retail'!T253,0)</f>
        <v>80</v>
      </c>
      <c r="G4" s="358">
        <f>+ROUND('Total Retail'!T328,0)</f>
        <v>75</v>
      </c>
    </row>
    <row r="5" spans="1:7">
      <c r="A5" s="352">
        <v>1990</v>
      </c>
      <c r="B5" s="353">
        <v>4</v>
      </c>
      <c r="C5" s="360">
        <f>+ROUND('Total Retail'!E$253,0)</f>
        <v>86</v>
      </c>
      <c r="D5" s="360">
        <f>ROUND('Total Retail'!E$328,0)</f>
        <v>80</v>
      </c>
      <c r="E5" s="362"/>
      <c r="F5" s="350"/>
      <c r="G5" s="350"/>
    </row>
    <row r="6" spans="1:7">
      <c r="A6" s="352">
        <v>1990</v>
      </c>
      <c r="B6" s="353">
        <v>5</v>
      </c>
      <c r="C6" s="360">
        <f>+ROUND('Total Retail'!F$253,0)</f>
        <v>89</v>
      </c>
      <c r="D6" s="360">
        <f>ROUND('Total Retail'!F$328,0)</f>
        <v>83</v>
      </c>
      <c r="E6" s="362"/>
      <c r="F6" s="350"/>
      <c r="G6" s="350"/>
    </row>
    <row r="7" spans="1:7">
      <c r="A7" s="352">
        <v>1990</v>
      </c>
      <c r="B7" s="353">
        <v>6</v>
      </c>
      <c r="C7" s="360">
        <f>+ROUND('Total Retail'!G$253,0)</f>
        <v>91</v>
      </c>
      <c r="D7" s="360">
        <f>ROUND('Total Retail'!G$328,0)</f>
        <v>85</v>
      </c>
      <c r="E7" s="362"/>
      <c r="F7" s="350"/>
      <c r="G7" s="350"/>
    </row>
    <row r="8" spans="1:7">
      <c r="A8" s="352">
        <v>1990</v>
      </c>
      <c r="B8" s="353">
        <v>7</v>
      </c>
      <c r="C8" s="360">
        <f>+ROUND('Total Retail'!H$253,0)</f>
        <v>91</v>
      </c>
      <c r="D8" s="360">
        <f>ROUND('Total Retail'!H$328,0)</f>
        <v>85</v>
      </c>
      <c r="E8" s="362"/>
      <c r="F8" s="350"/>
      <c r="G8" s="350"/>
    </row>
    <row r="9" spans="1:7">
      <c r="A9" s="352">
        <v>1990</v>
      </c>
      <c r="B9" s="353">
        <v>8</v>
      </c>
      <c r="C9" s="359">
        <f>+ROUND('Total Retail'!AH$255,0)</f>
        <v>93</v>
      </c>
      <c r="D9" s="359">
        <f>ROUND('Total Retail'!AH$330,1)</f>
        <v>86</v>
      </c>
      <c r="E9" s="361" t="s">
        <v>317</v>
      </c>
      <c r="F9" s="350"/>
      <c r="G9" s="350"/>
    </row>
    <row r="10" spans="1:7">
      <c r="A10" s="352">
        <v>1990</v>
      </c>
      <c r="B10" s="353">
        <v>9</v>
      </c>
      <c r="C10" s="360">
        <f>+ROUND('Total Retail'!J$253,0)</f>
        <v>91</v>
      </c>
      <c r="D10" s="360">
        <f>ROUND('Total Retail'!J$328,0)</f>
        <v>85</v>
      </c>
      <c r="E10" s="362"/>
      <c r="F10" s="350"/>
      <c r="G10" s="350"/>
    </row>
    <row r="11" spans="1:7">
      <c r="A11" s="352">
        <v>1990</v>
      </c>
      <c r="B11" s="353">
        <v>10</v>
      </c>
      <c r="C11" s="360">
        <f>+ROUND('Total Retail'!K$253,0)</f>
        <v>89</v>
      </c>
      <c r="D11" s="360">
        <f>ROUND('Total Retail'!K$328,0)</f>
        <v>82</v>
      </c>
      <c r="E11" s="362"/>
      <c r="F11" s="350"/>
      <c r="G11" s="350"/>
    </row>
    <row r="12" spans="1:7">
      <c r="A12" s="352">
        <v>1990</v>
      </c>
      <c r="B12" s="353">
        <v>11</v>
      </c>
      <c r="C12" s="360">
        <f>+ROUND('Total Retail'!Q$253,0)</f>
        <v>84</v>
      </c>
      <c r="D12" s="360">
        <f>ROUND('Total Retail'!Q$328,0)</f>
        <v>78</v>
      </c>
      <c r="E12" s="362" t="s">
        <v>86</v>
      </c>
      <c r="F12" s="358">
        <f>+ROUND('Total Retail'!P$253,0)</f>
        <v>42</v>
      </c>
      <c r="G12" s="358">
        <f>+ROUND('Total Retail'!P$328,0)</f>
        <v>50</v>
      </c>
    </row>
    <row r="13" spans="1:7">
      <c r="A13" s="352">
        <v>1990</v>
      </c>
      <c r="B13" s="353">
        <v>12</v>
      </c>
      <c r="C13" s="359">
        <f>+ROUND('Total Retail'!V$253,0)</f>
        <v>46</v>
      </c>
      <c r="D13" s="359">
        <f>+ROUND('Total Retail'!V328,0)</f>
        <v>48</v>
      </c>
      <c r="E13" s="361" t="s">
        <v>318</v>
      </c>
      <c r="F13" s="358">
        <f>+ROUND('Total Retail'!W$253,0)</f>
        <v>78</v>
      </c>
      <c r="G13" s="358">
        <f>+ROUND('Total Retail'!W$328,0)</f>
        <v>75</v>
      </c>
    </row>
    <row r="14" spans="1:7">
      <c r="C14" s="1"/>
      <c r="D14" s="1"/>
      <c r="E14" s="361" t="s">
        <v>319</v>
      </c>
      <c r="F14" s="1"/>
      <c r="G14" s="1"/>
    </row>
    <row r="15" spans="1:7">
      <c r="C15" s="1"/>
      <c r="D15" s="1"/>
      <c r="E15" s="1"/>
      <c r="F15" s="1"/>
      <c r="G15" s="1"/>
    </row>
    <row r="17" spans="1:6" s="42" customFormat="1" ht="12.75" customHeight="1">
      <c r="A17" s="84" t="s">
        <v>324</v>
      </c>
      <c r="E17" s="394"/>
      <c r="F17" s="394"/>
    </row>
    <row r="18" spans="1:6" s="42" customFormat="1" ht="12.75" customHeight="1">
      <c r="B18" s="84" t="s">
        <v>325</v>
      </c>
    </row>
    <row r="19" spans="1:6" s="42" customFormat="1" ht="12.75" customHeight="1">
      <c r="B19" s="84" t="s">
        <v>326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32"/>
  <sheetViews>
    <sheetView showGridLines="0" zoomScale="70" zoomScaleNormal="70" workbookViewId="0">
      <pane xSplit="1" ySplit="4" topLeftCell="B22" activePane="bottomRight" state="frozen"/>
      <selection activeCell="A53" sqref="A53"/>
      <selection pane="topRight" activeCell="A53" sqref="A53"/>
      <selection pane="bottomLeft" activeCell="A53" sqref="A53"/>
      <selection pane="bottomRight" activeCell="B55" sqref="B55"/>
    </sheetView>
  </sheetViews>
  <sheetFormatPr defaultColWidth="9.6640625" defaultRowHeight="15"/>
  <cols>
    <col min="1" max="1" width="12.6640625" style="1" customWidth="1"/>
    <col min="2" max="13" width="6.6640625" style="200" customWidth="1"/>
    <col min="14" max="16" width="9.6640625" style="200" customWidth="1"/>
    <col min="17" max="28" width="5.5546875" style="1" bestFit="1" customWidth="1"/>
    <col min="29" max="38" width="6.6640625" style="1" customWidth="1"/>
    <col min="39" max="39" width="4.6640625" style="1" customWidth="1"/>
    <col min="40" max="40" width="5.6640625" style="1" customWidth="1"/>
    <col min="41" max="52" width="6.6640625" style="1" customWidth="1"/>
    <col min="53" max="56" width="9.6640625" style="1" customWidth="1"/>
    <col min="57" max="16384" width="9.6640625" style="1"/>
  </cols>
  <sheetData>
    <row r="1" spans="1:53" ht="18.75">
      <c r="A1" s="195"/>
      <c r="B1" s="29"/>
      <c r="C1" s="29"/>
      <c r="D1" s="29"/>
      <c r="E1" s="29"/>
      <c r="F1" s="29"/>
      <c r="G1" s="29"/>
      <c r="H1" s="22"/>
      <c r="I1" s="29"/>
      <c r="J1" s="29"/>
      <c r="K1" s="29"/>
      <c r="L1" s="29"/>
      <c r="M1" s="29"/>
      <c r="N1" s="29"/>
      <c r="O1" s="29"/>
      <c r="P1" s="29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8">
      <c r="A2" s="196"/>
      <c r="B2" s="199" t="s">
        <v>247</v>
      </c>
      <c r="Q2" s="3"/>
      <c r="R2" s="3"/>
      <c r="S2" s="3"/>
      <c r="T2" s="3"/>
      <c r="U2" s="3"/>
      <c r="V2" s="3"/>
      <c r="W2" s="3"/>
      <c r="X2" s="3"/>
      <c r="Y2" s="3"/>
      <c r="Z2" s="3"/>
      <c r="AA2" s="5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5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8">
      <c r="A3" s="196"/>
      <c r="B3" s="5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"/>
      <c r="R3" s="13"/>
      <c r="S3" s="13"/>
      <c r="T3" s="13"/>
      <c r="U3" s="13"/>
      <c r="V3" s="3"/>
      <c r="W3" s="3"/>
      <c r="X3" s="3"/>
      <c r="Y3" s="3"/>
      <c r="Z3" s="3"/>
      <c r="AA3" s="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5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ht="18">
      <c r="A4" s="197"/>
      <c r="B4" s="201" t="s">
        <v>4</v>
      </c>
      <c r="C4" s="201" t="s">
        <v>8</v>
      </c>
      <c r="D4" s="201" t="s">
        <v>9</v>
      </c>
      <c r="E4" s="201" t="s">
        <v>10</v>
      </c>
      <c r="F4" s="201" t="s">
        <v>11</v>
      </c>
      <c r="G4" s="201" t="s">
        <v>12</v>
      </c>
      <c r="H4" s="201" t="s">
        <v>13</v>
      </c>
      <c r="I4" s="201" t="s">
        <v>15</v>
      </c>
      <c r="J4" s="201" t="s">
        <v>16</v>
      </c>
      <c r="K4" s="201" t="s">
        <v>17</v>
      </c>
      <c r="L4" s="201" t="s">
        <v>18</v>
      </c>
      <c r="M4" s="201" t="s">
        <v>19</v>
      </c>
      <c r="N4" s="99"/>
      <c r="O4" s="99"/>
      <c r="P4" s="99"/>
      <c r="Q4" s="10"/>
      <c r="R4" s="13"/>
      <c r="S4" s="13"/>
      <c r="T4" s="13"/>
      <c r="U4" s="13"/>
      <c r="V4" s="3"/>
      <c r="W4" s="3"/>
      <c r="X4" s="3"/>
      <c r="Y4" s="3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.75">
      <c r="A5" s="13">
        <f>'Instant Old no Delete'!A7</f>
        <v>1973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Q5" s="3"/>
      <c r="R5" s="89"/>
      <c r="S5" s="89"/>
      <c r="T5" s="13"/>
      <c r="U5" s="1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5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>
      <c r="A6" s="13">
        <f>'Instant Old no Delete'!A8</f>
        <v>1974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Q6" s="3"/>
      <c r="R6" s="89"/>
      <c r="S6" s="89"/>
      <c r="T6" s="13"/>
      <c r="U6" s="13"/>
      <c r="V6" s="3"/>
      <c r="W6" s="3"/>
      <c r="X6" s="3"/>
      <c r="Y6" s="3"/>
      <c r="Z6" s="3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>
      <c r="A7" s="13">
        <f>'Instant Old no Delete'!A9</f>
        <v>1975</v>
      </c>
      <c r="B7" s="203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Q7" s="3"/>
      <c r="R7" s="89"/>
      <c r="S7" s="89"/>
      <c r="T7" s="13"/>
      <c r="U7" s="13"/>
      <c r="V7" s="3"/>
      <c r="W7" s="3"/>
      <c r="X7" s="3"/>
      <c r="Y7" s="3"/>
      <c r="Z7" s="3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>
      <c r="A8" s="13">
        <f>'Instant Old no Delete'!A10</f>
        <v>1976</v>
      </c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Q8" s="3"/>
      <c r="R8" s="89"/>
      <c r="S8" s="89"/>
      <c r="T8" s="13"/>
      <c r="U8" s="13"/>
      <c r="V8" s="3"/>
      <c r="W8" s="3"/>
      <c r="X8" s="3"/>
      <c r="Y8" s="3"/>
      <c r="Z8" s="3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>
      <c r="A9" s="13">
        <f>'Instant Old no Delete'!A11</f>
        <v>1977</v>
      </c>
      <c r="B9" s="203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Q9" s="3"/>
      <c r="R9" s="89"/>
      <c r="S9" s="89"/>
      <c r="T9" s="13"/>
      <c r="U9" s="13"/>
      <c r="V9" s="3"/>
      <c r="W9" s="3"/>
      <c r="X9" s="3"/>
      <c r="Y9" s="3"/>
      <c r="Z9" s="3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>
      <c r="A10" s="13">
        <f>'Instant Old no Delete'!A12</f>
        <v>1978</v>
      </c>
      <c r="B10" s="203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Q10" s="3"/>
      <c r="R10" s="89"/>
      <c r="S10" s="89"/>
      <c r="T10" s="13"/>
      <c r="U10" s="13"/>
      <c r="V10" s="3"/>
      <c r="W10" s="3"/>
      <c r="X10" s="3"/>
      <c r="Y10" s="3"/>
      <c r="Z10" s="3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>
      <c r="A11" s="13">
        <f>'Instant Old no Delete'!A13</f>
        <v>1979</v>
      </c>
      <c r="B11" s="203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Q11" s="3"/>
      <c r="R11" s="89"/>
      <c r="S11" s="89"/>
      <c r="T11" s="13"/>
      <c r="U11" s="13"/>
      <c r="V11" s="3"/>
      <c r="W11" s="3"/>
      <c r="X11" s="3"/>
      <c r="Y11" s="3"/>
      <c r="Z11" s="3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>
      <c r="A12" s="13">
        <f>'Instant Old no Delete'!A14</f>
        <v>1980</v>
      </c>
      <c r="B12" s="203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Q12" s="3"/>
      <c r="R12" s="89"/>
      <c r="S12" s="89"/>
      <c r="T12" s="13"/>
      <c r="U12" s="13"/>
      <c r="V12" s="3"/>
      <c r="W12" s="3"/>
      <c r="X12" s="3"/>
      <c r="Y12" s="3"/>
      <c r="Z12" s="3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>
      <c r="A13" s="13">
        <f>'Instant Old no Delete'!A15</f>
        <v>1981</v>
      </c>
      <c r="B13" s="203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Q13" s="3"/>
      <c r="R13" s="89"/>
      <c r="S13" s="89"/>
      <c r="T13" s="13"/>
      <c r="U13" s="13"/>
      <c r="V13" s="3"/>
      <c r="W13" s="3"/>
      <c r="X13" s="3"/>
      <c r="Y13" s="3"/>
      <c r="Z13" s="3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>
      <c r="A14" s="13">
        <f>'Instant Old no Delete'!A16</f>
        <v>1982</v>
      </c>
      <c r="B14" s="203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Q14" s="3"/>
      <c r="R14" s="89"/>
      <c r="S14" s="89"/>
      <c r="T14" s="13"/>
      <c r="U14" s="13"/>
      <c r="V14" s="3"/>
      <c r="W14" s="3"/>
      <c r="X14" s="3"/>
      <c r="Y14" s="3"/>
      <c r="Z14" s="3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>
      <c r="A15" s="13">
        <f>'Instant Old no Delete'!A17</f>
        <v>1983</v>
      </c>
      <c r="B15" s="203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Q15" s="3"/>
      <c r="R15" s="89"/>
      <c r="S15" s="89"/>
      <c r="T15" s="13"/>
      <c r="U15" s="13"/>
      <c r="V15" s="3"/>
      <c r="W15" s="3"/>
      <c r="X15" s="3"/>
      <c r="Y15" s="3"/>
      <c r="Z15" s="3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ht="15.75">
      <c r="A16" s="13">
        <f>'Instant Old no Delete'!A18</f>
        <v>1984</v>
      </c>
      <c r="B16" s="203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4"/>
      <c r="O16" s="205"/>
      <c r="Q16" s="3"/>
      <c r="R16" s="94"/>
      <c r="S16" s="89"/>
      <c r="T16" s="13"/>
      <c r="U16" s="13"/>
      <c r="V16" s="3"/>
      <c r="W16" s="3"/>
      <c r="X16" s="3"/>
      <c r="Y16" s="3"/>
      <c r="Z16" s="3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ht="15.75">
      <c r="A17" s="13">
        <f>'Instant Old no Delete'!A19</f>
        <v>1985</v>
      </c>
      <c r="B17" s="203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4"/>
      <c r="O17" s="205"/>
      <c r="Q17" s="3"/>
      <c r="R17" s="94"/>
      <c r="S17" s="89"/>
      <c r="T17" s="13"/>
      <c r="U17" s="13"/>
      <c r="V17" s="3"/>
      <c r="W17" s="3"/>
      <c r="X17" s="3"/>
      <c r="Y17" s="3"/>
      <c r="Z17" s="3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>
      <c r="A18" s="13">
        <f>'Instant Old no Delete'!A20</f>
        <v>1986</v>
      </c>
      <c r="B18" s="203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Q18" s="3"/>
      <c r="R18" s="89"/>
      <c r="S18" s="89"/>
      <c r="T18" s="13"/>
      <c r="U18" s="13"/>
      <c r="V18" s="3"/>
      <c r="W18" s="3"/>
      <c r="X18" s="3"/>
      <c r="Y18" s="3"/>
      <c r="Z18" s="3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>
      <c r="A19" s="13">
        <f>'Instant Old no Delete'!A21</f>
        <v>1987</v>
      </c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Q19" s="3"/>
      <c r="R19" s="89"/>
      <c r="S19" s="89"/>
      <c r="T19" s="13"/>
      <c r="U19" s="13"/>
      <c r="V19" s="3"/>
      <c r="W19" s="3"/>
      <c r="X19" s="3"/>
      <c r="Y19" s="3"/>
      <c r="Z19" s="3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ht="15.75">
      <c r="A20" s="13">
        <f>'Instant Old no Delete'!A22</f>
        <v>1988</v>
      </c>
      <c r="B20" s="203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 t="s">
        <v>239</v>
      </c>
      <c r="O20" s="21"/>
      <c r="P20" s="390"/>
      <c r="Q20" s="391" t="s">
        <v>4</v>
      </c>
      <c r="R20" s="391" t="s">
        <v>8</v>
      </c>
      <c r="S20" s="391" t="s">
        <v>9</v>
      </c>
      <c r="T20" s="391" t="s">
        <v>10</v>
      </c>
      <c r="U20" s="391" t="s">
        <v>11</v>
      </c>
      <c r="V20" s="391" t="s">
        <v>12</v>
      </c>
      <c r="W20" s="391" t="s">
        <v>13</v>
      </c>
      <c r="X20" s="391" t="s">
        <v>15</v>
      </c>
      <c r="Y20" s="391" t="s">
        <v>16</v>
      </c>
      <c r="Z20" s="391" t="s">
        <v>17</v>
      </c>
      <c r="AA20" s="392" t="s">
        <v>18</v>
      </c>
      <c r="AB20" s="392" t="s">
        <v>19</v>
      </c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5.75">
      <c r="A21" s="13">
        <f>'Instant Old no Delete'!A23</f>
        <v>1989</v>
      </c>
      <c r="B21" s="203">
        <v>1944</v>
      </c>
      <c r="C21" s="202">
        <v>2584</v>
      </c>
      <c r="D21" s="202">
        <v>2126</v>
      </c>
      <c r="E21" s="202">
        <v>2063</v>
      </c>
      <c r="F21" s="202">
        <v>2397</v>
      </c>
      <c r="G21" s="202">
        <v>2555</v>
      </c>
      <c r="H21" s="202">
        <v>2544</v>
      </c>
      <c r="I21" s="202">
        <v>2554</v>
      </c>
      <c r="J21" s="202">
        <v>2445</v>
      </c>
      <c r="K21" s="202">
        <v>2296</v>
      </c>
      <c r="L21" s="202">
        <v>1946</v>
      </c>
      <c r="M21" s="202">
        <v>2712</v>
      </c>
      <c r="N21" s="202" t="s">
        <v>238</v>
      </c>
      <c r="O21" s="21"/>
      <c r="P21" s="254">
        <f>+A21</f>
        <v>1989</v>
      </c>
      <c r="Q21" s="28">
        <f>+B21-'Total Retail'!B23</f>
        <v>0</v>
      </c>
      <c r="R21" s="28">
        <f>+C21-'Total Retail'!C23</f>
        <v>0</v>
      </c>
      <c r="S21" s="28">
        <f>+D21-'Total Retail'!D23</f>
        <v>0</v>
      </c>
      <c r="T21" s="28">
        <f>+E21-'Total Retail'!E23</f>
        <v>0</v>
      </c>
      <c r="U21" s="28">
        <f>+F21-'Total Retail'!F23</f>
        <v>0</v>
      </c>
      <c r="V21" s="28">
        <f>+G21-'Total Retail'!G23</f>
        <v>0</v>
      </c>
      <c r="W21" s="28">
        <f>+H21-'Total Retail'!H23</f>
        <v>0</v>
      </c>
      <c r="X21" s="28">
        <f>+I21-'Total Retail'!I23</f>
        <v>0</v>
      </c>
      <c r="Y21" s="28">
        <f>+J21-'Total Retail'!J23</f>
        <v>0</v>
      </c>
      <c r="Z21" s="28">
        <f>+K21-'Total Retail'!K23</f>
        <v>0</v>
      </c>
      <c r="AA21" s="28">
        <f>+L21-'Total Retail'!L23</f>
        <v>0</v>
      </c>
      <c r="AB21" s="28">
        <f>+M21-'Total Retail'!M23</f>
        <v>0</v>
      </c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ht="15.75">
      <c r="A22" s="13">
        <f>'Instant Old no Delete'!A24</f>
        <v>1990</v>
      </c>
      <c r="B22" s="203">
        <v>2052</v>
      </c>
      <c r="C22" s="202">
        <v>1911</v>
      </c>
      <c r="D22" s="202">
        <v>1922</v>
      </c>
      <c r="E22" s="202">
        <v>2264</v>
      </c>
      <c r="F22" s="202">
        <v>2516</v>
      </c>
      <c r="G22" s="202">
        <v>2630</v>
      </c>
      <c r="H22" s="202">
        <v>2562</v>
      </c>
      <c r="I22" s="202">
        <v>2608</v>
      </c>
      <c r="J22" s="202">
        <v>2587</v>
      </c>
      <c r="K22" s="202">
        <v>2538</v>
      </c>
      <c r="L22" s="202">
        <v>2080</v>
      </c>
      <c r="M22" s="202">
        <v>2153</v>
      </c>
      <c r="N22" s="202"/>
      <c r="O22" s="21"/>
      <c r="P22" s="254">
        <f t="shared" ref="P22:P54" si="0">+A22</f>
        <v>1990</v>
      </c>
      <c r="Q22" s="28">
        <f>+B22-'Total Retail'!B24</f>
        <v>0</v>
      </c>
      <c r="R22" s="28">
        <f>+C22-'Total Retail'!C24</f>
        <v>0</v>
      </c>
      <c r="S22" s="28">
        <f>+D22-'Total Retail'!D24</f>
        <v>0</v>
      </c>
      <c r="T22" s="28">
        <f>+E22-'Total Retail'!E24</f>
        <v>0</v>
      </c>
      <c r="U22" s="28">
        <f>+F22-'Total Retail'!F24</f>
        <v>0</v>
      </c>
      <c r="V22" s="28">
        <f>+G22-'Total Retail'!G24</f>
        <v>0</v>
      </c>
      <c r="W22" s="28">
        <f>+H22-'Total Retail'!H24</f>
        <v>0</v>
      </c>
      <c r="X22" s="28">
        <f>+I22-'Total Retail'!I24</f>
        <v>0</v>
      </c>
      <c r="Y22" s="28">
        <f>+J22-'Total Retail'!J24</f>
        <v>0</v>
      </c>
      <c r="Z22" s="28">
        <f>+K22-'Total Retail'!K24</f>
        <v>0</v>
      </c>
      <c r="AA22" s="28">
        <f>+L22-'Total Retail'!L24</f>
        <v>0</v>
      </c>
      <c r="AB22" s="28">
        <f>+M22-'Total Retail'!M24</f>
        <v>0</v>
      </c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>
      <c r="A23" s="13">
        <f>'Instant Old no Delete'!A25</f>
        <v>1991</v>
      </c>
      <c r="B23" s="203">
        <v>2263</v>
      </c>
      <c r="C23" s="202">
        <v>2422</v>
      </c>
      <c r="D23" s="202">
        <f>2240-73</f>
        <v>2167</v>
      </c>
      <c r="E23" s="202">
        <v>2463</v>
      </c>
      <c r="F23" s="202">
        <v>2478</v>
      </c>
      <c r="G23" s="202">
        <v>2494</v>
      </c>
      <c r="H23" s="202">
        <v>2577</v>
      </c>
      <c r="I23" s="202">
        <f>2678-72</f>
        <v>2606</v>
      </c>
      <c r="J23" s="202">
        <v>2644</v>
      </c>
      <c r="K23" s="202">
        <v>2374</v>
      </c>
      <c r="L23" s="202">
        <v>2364</v>
      </c>
      <c r="M23" s="202">
        <v>2321</v>
      </c>
      <c r="N23" s="202"/>
      <c r="P23" s="254">
        <f t="shared" si="0"/>
        <v>1991</v>
      </c>
      <c r="Q23" s="28">
        <f>+B23-'Total Retail'!B25</f>
        <v>0</v>
      </c>
      <c r="R23" s="28">
        <f>+C23-'Total Retail'!C25</f>
        <v>0</v>
      </c>
      <c r="S23" s="28">
        <f>+D23-'Total Retail'!D25</f>
        <v>-73</v>
      </c>
      <c r="T23" s="28">
        <f>+E23-'Total Retail'!E25</f>
        <v>0</v>
      </c>
      <c r="U23" s="28">
        <f>+F23-'Total Retail'!F25</f>
        <v>0</v>
      </c>
      <c r="V23" s="28">
        <f>+G23-'Total Retail'!G25</f>
        <v>0</v>
      </c>
      <c r="W23" s="28">
        <f>+H23-'Total Retail'!H25</f>
        <v>0</v>
      </c>
      <c r="X23" s="28">
        <f>+I23-'Total Retail'!I25</f>
        <v>-72</v>
      </c>
      <c r="Y23" s="28">
        <f>+J23-'Total Retail'!J25</f>
        <v>0</v>
      </c>
      <c r="Z23" s="28">
        <f>+K23-'Total Retail'!K25</f>
        <v>0</v>
      </c>
      <c r="AA23" s="28">
        <f>+L23-'Total Retail'!L25</f>
        <v>0</v>
      </c>
      <c r="AB23" s="28">
        <f>+M23-'Total Retail'!M25</f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>
      <c r="A24" s="13">
        <f>'Instant Old no Delete'!A26</f>
        <v>1992</v>
      </c>
      <c r="B24" s="203">
        <v>2762</v>
      </c>
      <c r="C24" s="202">
        <v>2149</v>
      </c>
      <c r="D24" s="202">
        <v>2122</v>
      </c>
      <c r="E24" s="202">
        <v>2199</v>
      </c>
      <c r="F24" s="202">
        <v>2392</v>
      </c>
      <c r="G24" s="202">
        <v>2627</v>
      </c>
      <c r="H24" s="202">
        <f>2771-9</f>
        <v>2762</v>
      </c>
      <c r="I24" s="202">
        <f>2710-83</f>
        <v>2627</v>
      </c>
      <c r="J24" s="202">
        <v>2618</v>
      </c>
      <c r="K24" s="202">
        <v>2262</v>
      </c>
      <c r="L24" s="202">
        <v>2208</v>
      </c>
      <c r="M24" s="202">
        <v>2172</v>
      </c>
      <c r="N24" s="202"/>
      <c r="P24" s="254">
        <f t="shared" si="0"/>
        <v>1992</v>
      </c>
      <c r="Q24" s="28">
        <f>+B24-'Total Retail'!B26</f>
        <v>0</v>
      </c>
      <c r="R24" s="28">
        <f>+C24-'Total Retail'!C26</f>
        <v>0</v>
      </c>
      <c r="S24" s="28">
        <f>+D24-'Total Retail'!D26</f>
        <v>0</v>
      </c>
      <c r="T24" s="28">
        <f>+E24-'Total Retail'!E26</f>
        <v>0</v>
      </c>
      <c r="U24" s="28">
        <f>+F24-'Total Retail'!F26</f>
        <v>0</v>
      </c>
      <c r="V24" s="28">
        <f>+G24-'Total Retail'!G26</f>
        <v>0</v>
      </c>
      <c r="W24" s="28">
        <f>+H24-'Total Retail'!H26</f>
        <v>-9</v>
      </c>
      <c r="X24" s="28">
        <f>+I24-'Total Retail'!I26</f>
        <v>-83</v>
      </c>
      <c r="Y24" s="28">
        <f>+J24-'Total Retail'!J26</f>
        <v>0</v>
      </c>
      <c r="Z24" s="28">
        <f>+K24-'Total Retail'!K26</f>
        <v>0</v>
      </c>
      <c r="AA24" s="28">
        <f>+L24-'Total Retail'!L26</f>
        <v>0</v>
      </c>
      <c r="AB24" s="28">
        <f>+M24-'Total Retail'!M26</f>
        <v>0</v>
      </c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>
      <c r="A25" s="13">
        <f>'Instant Old no Delete'!A27</f>
        <v>1993</v>
      </c>
      <c r="B25" s="203">
        <v>2302</v>
      </c>
      <c r="C25" s="202">
        <f>2437-53</f>
        <v>2384</v>
      </c>
      <c r="D25" s="202">
        <f>2823-4-168-129</f>
        <v>2522</v>
      </c>
      <c r="E25" s="202">
        <v>1969</v>
      </c>
      <c r="F25" s="202">
        <v>2298</v>
      </c>
      <c r="G25" s="202">
        <f>2661-68</f>
        <v>2593</v>
      </c>
      <c r="H25" s="202">
        <v>2777</v>
      </c>
      <c r="I25" s="202">
        <v>2852</v>
      </c>
      <c r="J25" s="202">
        <f>2643-4-67</f>
        <v>2572</v>
      </c>
      <c r="K25" s="202">
        <v>2430</v>
      </c>
      <c r="L25" s="202">
        <v>2216</v>
      </c>
      <c r="M25" s="202">
        <v>2495</v>
      </c>
      <c r="N25" s="202"/>
      <c r="P25" s="254">
        <f t="shared" si="0"/>
        <v>1993</v>
      </c>
      <c r="Q25" s="28">
        <f>+B25-'Total Retail'!B27</f>
        <v>0</v>
      </c>
      <c r="R25" s="28">
        <f>+C25-'Total Retail'!C27</f>
        <v>-53</v>
      </c>
      <c r="S25" s="28">
        <f>+D25-'Total Retail'!D27</f>
        <v>-301</v>
      </c>
      <c r="T25" s="28">
        <f>+E25-'Total Retail'!E27</f>
        <v>0</v>
      </c>
      <c r="U25" s="28">
        <f>+F25-'Total Retail'!F27</f>
        <v>0</v>
      </c>
      <c r="V25" s="28">
        <f>+G25-'Total Retail'!G27</f>
        <v>-68</v>
      </c>
      <c r="W25" s="28">
        <f>+H25-'Total Retail'!H27</f>
        <v>0</v>
      </c>
      <c r="X25" s="28">
        <f>+I25-'Total Retail'!I27</f>
        <v>0</v>
      </c>
      <c r="Y25" s="28">
        <f>+J25-'Total Retail'!J27</f>
        <v>-71</v>
      </c>
      <c r="Z25" s="28">
        <f>+K25-'Total Retail'!K27</f>
        <v>0</v>
      </c>
      <c r="AA25" s="28">
        <f>+L25-'Total Retail'!L27</f>
        <v>0</v>
      </c>
      <c r="AB25" s="28">
        <f>+M25-'Total Retail'!M27</f>
        <v>0</v>
      </c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>
      <c r="A26" s="13">
        <f>'Instant Old no Delete'!A28</f>
        <v>1994</v>
      </c>
      <c r="B26" s="203">
        <v>2536</v>
      </c>
      <c r="C26" s="202">
        <f>2668-74</f>
        <v>2594</v>
      </c>
      <c r="D26" s="202">
        <v>2360</v>
      </c>
      <c r="E26" s="202">
        <v>2378</v>
      </c>
      <c r="F26" s="202">
        <v>2565</v>
      </c>
      <c r="G26" s="202">
        <v>2754</v>
      </c>
      <c r="H26" s="202">
        <v>2657</v>
      </c>
      <c r="I26" s="202">
        <v>2619</v>
      </c>
      <c r="J26" s="202">
        <f>2633-66</f>
        <v>2567</v>
      </c>
      <c r="K26" s="202">
        <v>2414</v>
      </c>
      <c r="L26" s="202">
        <v>2230</v>
      </c>
      <c r="M26" s="202">
        <v>2056</v>
      </c>
      <c r="N26" s="202"/>
      <c r="P26" s="254">
        <f t="shared" si="0"/>
        <v>1994</v>
      </c>
      <c r="Q26" s="28">
        <f>+B26-'Total Retail'!B28</f>
        <v>0</v>
      </c>
      <c r="R26" s="28">
        <f>+C26-'Total Retail'!C28</f>
        <v>-74</v>
      </c>
      <c r="S26" s="28">
        <f>+D26-'Total Retail'!D28</f>
        <v>0</v>
      </c>
      <c r="T26" s="28">
        <f>+E26-'Total Retail'!E28</f>
        <v>0</v>
      </c>
      <c r="U26" s="28">
        <f>+F26-'Total Retail'!F28</f>
        <v>0</v>
      </c>
      <c r="V26" s="28">
        <f>+G26-'Total Retail'!G28</f>
        <v>0</v>
      </c>
      <c r="W26" s="28">
        <f>+H26-'Total Retail'!H28</f>
        <v>0</v>
      </c>
      <c r="X26" s="28">
        <f>+I26-'Total Retail'!I28</f>
        <v>0</v>
      </c>
      <c r="Y26" s="28">
        <f>+J26-'Total Retail'!J28</f>
        <v>-66</v>
      </c>
      <c r="Z26" s="28">
        <f>+K26-'Total Retail'!K28</f>
        <v>0</v>
      </c>
      <c r="AA26" s="28">
        <f>+L26-'Total Retail'!L28</f>
        <v>0</v>
      </c>
      <c r="AB26" s="28">
        <f>+M26-'Total Retail'!M28</f>
        <v>0</v>
      </c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>
      <c r="A27" s="13">
        <f>'Instant Old no Delete'!A29</f>
        <v>1995</v>
      </c>
      <c r="B27" s="203">
        <f>2760-85</f>
        <v>2675</v>
      </c>
      <c r="C27" s="202">
        <v>3170</v>
      </c>
      <c r="D27" s="202">
        <v>2113</v>
      </c>
      <c r="E27" s="202">
        <f>2502-75</f>
        <v>2427</v>
      </c>
      <c r="F27" s="202">
        <v>2899</v>
      </c>
      <c r="G27" s="202">
        <f>2817-14</f>
        <v>2803</v>
      </c>
      <c r="H27" s="202">
        <v>2888</v>
      </c>
      <c r="I27" s="202">
        <v>2900</v>
      </c>
      <c r="J27" s="202">
        <v>2805</v>
      </c>
      <c r="K27" s="202">
        <v>2678</v>
      </c>
      <c r="L27" s="202">
        <v>2401</v>
      </c>
      <c r="M27" s="202">
        <v>2691</v>
      </c>
      <c r="N27" s="202"/>
      <c r="P27" s="254">
        <f t="shared" si="0"/>
        <v>1995</v>
      </c>
      <c r="Q27" s="28">
        <f>+B27-'Total Retail'!B29</f>
        <v>-85</v>
      </c>
      <c r="R27" s="28">
        <f>+C27-'Total Retail'!C29</f>
        <v>0</v>
      </c>
      <c r="S27" s="28">
        <f>+D27-'Total Retail'!D29</f>
        <v>0</v>
      </c>
      <c r="T27" s="28">
        <f>+E27-'Total Retail'!E29</f>
        <v>-75</v>
      </c>
      <c r="U27" s="28">
        <f>+F27-'Total Retail'!F29</f>
        <v>0</v>
      </c>
      <c r="V27" s="28">
        <f>+G27-'Total Retail'!G29</f>
        <v>-14</v>
      </c>
      <c r="W27" s="28">
        <f>+H27-'Total Retail'!H29</f>
        <v>0</v>
      </c>
      <c r="X27" s="28">
        <f>+I27-'Total Retail'!I29</f>
        <v>0</v>
      </c>
      <c r="Y27" s="28">
        <f>+J27-'Total Retail'!J29</f>
        <v>0</v>
      </c>
      <c r="Z27" s="28">
        <f>+K27-'Total Retail'!K29</f>
        <v>0</v>
      </c>
      <c r="AA27" s="28">
        <f>+L27-'Total Retail'!L29</f>
        <v>0</v>
      </c>
      <c r="AB27" s="28">
        <f>+M27-'Total Retail'!M29</f>
        <v>0</v>
      </c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>
      <c r="A28" s="13">
        <f>'Instant Old no Delete'!A30</f>
        <v>1996</v>
      </c>
      <c r="B28" s="203">
        <v>3257</v>
      </c>
      <c r="C28" s="202">
        <f>3351-42</f>
        <v>3309</v>
      </c>
      <c r="D28" s="202">
        <v>2681</v>
      </c>
      <c r="E28" s="202">
        <v>2568</v>
      </c>
      <c r="F28" s="202">
        <v>2709</v>
      </c>
      <c r="G28" s="202">
        <v>2810</v>
      </c>
      <c r="H28" s="202">
        <v>2997</v>
      </c>
      <c r="I28" s="202">
        <v>2940</v>
      </c>
      <c r="J28" s="202">
        <v>2979</v>
      </c>
      <c r="K28" s="202">
        <v>2699</v>
      </c>
      <c r="L28" s="202">
        <v>2575</v>
      </c>
      <c r="M28" s="202">
        <v>2977</v>
      </c>
      <c r="N28" s="202"/>
      <c r="P28" s="254">
        <f t="shared" si="0"/>
        <v>1996</v>
      </c>
      <c r="Q28" s="28">
        <f>+B28-'Total Retail'!B30</f>
        <v>0</v>
      </c>
      <c r="R28" s="28">
        <f>+C28-'Total Retail'!C30</f>
        <v>-42</v>
      </c>
      <c r="S28" s="28">
        <f>+D28-'Total Retail'!D30</f>
        <v>0</v>
      </c>
      <c r="T28" s="28">
        <f>+E28-'Total Retail'!E30</f>
        <v>0</v>
      </c>
      <c r="U28" s="28">
        <f>+F28-'Total Retail'!F30</f>
        <v>0</v>
      </c>
      <c r="V28" s="28">
        <f>+G28-'Total Retail'!G30</f>
        <v>0</v>
      </c>
      <c r="W28" s="28">
        <f>+H28-'Total Retail'!H30</f>
        <v>0</v>
      </c>
      <c r="X28" s="28">
        <f>+I28-'Total Retail'!I30</f>
        <v>0</v>
      </c>
      <c r="Y28" s="28">
        <f>+J28-'Total Retail'!J30</f>
        <v>0</v>
      </c>
      <c r="Z28" s="28">
        <f>+K28-'Total Retail'!K30</f>
        <v>0</v>
      </c>
      <c r="AA28" s="28">
        <f>+L28-'Total Retail'!L30</f>
        <v>0</v>
      </c>
      <c r="AB28" s="28">
        <f>+M28-'Total Retail'!M30</f>
        <v>0</v>
      </c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>
      <c r="A29" s="13">
        <f>'Instant Old no Delete'!A31</f>
        <v>1997</v>
      </c>
      <c r="B29" s="203">
        <v>3118</v>
      </c>
      <c r="C29" s="202">
        <v>2343</v>
      </c>
      <c r="D29" s="202">
        <v>2340</v>
      </c>
      <c r="E29" s="202">
        <f>2410-67</f>
        <v>2343</v>
      </c>
      <c r="F29" s="202">
        <f>3001-59</f>
        <v>2942</v>
      </c>
      <c r="G29" s="202">
        <f>2984-72</f>
        <v>2912</v>
      </c>
      <c r="H29" s="202">
        <v>2973</v>
      </c>
      <c r="I29" s="202">
        <v>2971</v>
      </c>
      <c r="J29" s="202">
        <v>2920</v>
      </c>
      <c r="K29" s="202">
        <v>2677</v>
      </c>
      <c r="L29" s="202">
        <v>2094</v>
      </c>
      <c r="M29" s="202">
        <v>2481</v>
      </c>
      <c r="N29" s="202"/>
      <c r="P29" s="254">
        <f t="shared" si="0"/>
        <v>1997</v>
      </c>
      <c r="Q29" s="28">
        <f>+B29-'Total Retail'!B31</f>
        <v>0</v>
      </c>
      <c r="R29" s="28">
        <f>+C29-'Total Retail'!C31</f>
        <v>0</v>
      </c>
      <c r="S29" s="28">
        <f>+D29-'Total Retail'!D31</f>
        <v>0</v>
      </c>
      <c r="T29" s="28">
        <f>+E29-'Total Retail'!E31</f>
        <v>-67</v>
      </c>
      <c r="U29" s="28">
        <f>+F29-'Total Retail'!F31</f>
        <v>-59</v>
      </c>
      <c r="V29" s="28">
        <f>+G29-'Total Retail'!G31</f>
        <v>-72</v>
      </c>
      <c r="W29" s="28">
        <f>+H29-'Total Retail'!H31</f>
        <v>0</v>
      </c>
      <c r="X29" s="28">
        <f>+I29-'Total Retail'!I31</f>
        <v>0</v>
      </c>
      <c r="Y29" s="28">
        <f>+J29-'Total Retail'!J31</f>
        <v>0</v>
      </c>
      <c r="Z29" s="28">
        <f>+K29-'Total Retail'!K31</f>
        <v>0</v>
      </c>
      <c r="AA29" s="28">
        <f>+L29-'Total Retail'!L31</f>
        <v>0</v>
      </c>
      <c r="AB29" s="28">
        <f>+M29-'Total Retail'!M31</f>
        <v>0</v>
      </c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>
      <c r="A30" s="13">
        <f>'Instant Old no Delete'!A32</f>
        <v>1998</v>
      </c>
      <c r="B30" s="203">
        <v>2352</v>
      </c>
      <c r="C30" s="202">
        <f>2524-46</f>
        <v>2478</v>
      </c>
      <c r="D30" s="202">
        <f>2710-50</f>
        <v>2660</v>
      </c>
      <c r="E30" s="202">
        <v>2527</v>
      </c>
      <c r="F30" s="202">
        <f>2920-16-97</f>
        <v>2807</v>
      </c>
      <c r="G30" s="202">
        <v>3216</v>
      </c>
      <c r="H30" s="202">
        <v>3180</v>
      </c>
      <c r="I30" s="202">
        <f>3266-96</f>
        <v>3170</v>
      </c>
      <c r="J30" s="202">
        <v>3003</v>
      </c>
      <c r="K30" s="202">
        <f>3012-12-82</f>
        <v>2918</v>
      </c>
      <c r="L30" s="202">
        <v>2476</v>
      </c>
      <c r="M30" s="202">
        <f>2355-44</f>
        <v>2311</v>
      </c>
      <c r="N30" s="202"/>
      <c r="P30" s="254">
        <f t="shared" si="0"/>
        <v>1998</v>
      </c>
      <c r="Q30" s="28">
        <f>+B30-'Total Retail'!B32</f>
        <v>0</v>
      </c>
      <c r="R30" s="28">
        <f>+C30-'Total Retail'!C32</f>
        <v>-46</v>
      </c>
      <c r="S30" s="28">
        <f>+D30-'Total Retail'!D32</f>
        <v>-50</v>
      </c>
      <c r="T30" s="28">
        <f>+E30-'Total Retail'!E32</f>
        <v>0</v>
      </c>
      <c r="U30" s="28">
        <f>+F30-'Total Retail'!F32</f>
        <v>-113</v>
      </c>
      <c r="V30" s="28">
        <f>+G30-'Total Retail'!G32</f>
        <v>0</v>
      </c>
      <c r="W30" s="28">
        <f>+H30-'Total Retail'!H32</f>
        <v>0</v>
      </c>
      <c r="X30" s="28">
        <f>+I30-'Total Retail'!I32</f>
        <v>-96</v>
      </c>
      <c r="Y30" s="28">
        <f>+J30-'Total Retail'!J32</f>
        <v>0</v>
      </c>
      <c r="Z30" s="28">
        <f>+K30-'Total Retail'!K32</f>
        <v>-94</v>
      </c>
      <c r="AA30" s="28">
        <f>+L30-'Total Retail'!L32</f>
        <v>0</v>
      </c>
      <c r="AB30" s="28">
        <f>+M30-'Total Retail'!M32</f>
        <v>-44</v>
      </c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>
      <c r="A31" s="13">
        <f>'Instant Old no Delete'!A33</f>
        <v>1999</v>
      </c>
      <c r="B31" s="203">
        <f>3409-16-23-181</f>
        <v>3189</v>
      </c>
      <c r="C31" s="202">
        <v>2727</v>
      </c>
      <c r="D31" s="202">
        <v>2411</v>
      </c>
      <c r="E31" s="202">
        <f>2949-17-88-235</f>
        <v>2609</v>
      </c>
      <c r="F31" s="202">
        <f>2893-47</f>
        <v>2846</v>
      </c>
      <c r="G31" s="202">
        <f>3026-67</f>
        <v>2959</v>
      </c>
      <c r="H31" s="202">
        <f>3320-18-95-60</f>
        <v>3147</v>
      </c>
      <c r="I31" s="202">
        <f>3372-18-44-165</f>
        <v>3145</v>
      </c>
      <c r="J31" s="202">
        <f>3057-17-86-148</f>
        <v>2806</v>
      </c>
      <c r="K31" s="202">
        <f>2832-18-79-50</f>
        <v>2685</v>
      </c>
      <c r="L31" s="202">
        <v>2318</v>
      </c>
      <c r="M31" s="202">
        <v>2610</v>
      </c>
      <c r="N31" s="202"/>
      <c r="P31" s="254">
        <f t="shared" si="0"/>
        <v>1999</v>
      </c>
      <c r="Q31" s="28">
        <f>+B31-'Total Retail'!B33</f>
        <v>-220</v>
      </c>
      <c r="R31" s="28">
        <f>+C31-'Total Retail'!C33</f>
        <v>0</v>
      </c>
      <c r="S31" s="28">
        <f>+D31-'Total Retail'!D33</f>
        <v>0</v>
      </c>
      <c r="T31" s="28">
        <f>+E31-'Total Retail'!E33</f>
        <v>-340</v>
      </c>
      <c r="U31" s="28">
        <f>+F31-'Total Retail'!F33</f>
        <v>-47</v>
      </c>
      <c r="V31" s="28">
        <f>+G31-'Total Retail'!G33</f>
        <v>-67</v>
      </c>
      <c r="W31" s="28">
        <f>+H31-'Total Retail'!H33</f>
        <v>-173</v>
      </c>
      <c r="X31" s="28">
        <f>+I31-'Total Retail'!I33</f>
        <v>-227</v>
      </c>
      <c r="Y31" s="28">
        <f>+J31-'Total Retail'!J33</f>
        <v>-251</v>
      </c>
      <c r="Z31" s="28">
        <f>+K31-'Total Retail'!K33</f>
        <v>-147</v>
      </c>
      <c r="AA31" s="28">
        <f>+L31-'Total Retail'!L33</f>
        <v>0</v>
      </c>
      <c r="AB31" s="28">
        <f>+M31-'Total Retail'!M33</f>
        <v>0</v>
      </c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>
      <c r="A32" s="13">
        <f>'Instant Old no Delete'!A34</f>
        <v>2000</v>
      </c>
      <c r="B32" s="203">
        <f>3435-26</f>
        <v>3409</v>
      </c>
      <c r="C32" s="202">
        <v>2859</v>
      </c>
      <c r="D32" s="202">
        <v>2628</v>
      </c>
      <c r="E32" s="202">
        <v>2552</v>
      </c>
      <c r="F32" s="202">
        <v>3175</v>
      </c>
      <c r="G32" s="202">
        <v>3245</v>
      </c>
      <c r="H32" s="202">
        <v>3236</v>
      </c>
      <c r="I32" s="202">
        <v>3303</v>
      </c>
      <c r="J32" s="202">
        <f>3229-74</f>
        <v>3155</v>
      </c>
      <c r="K32" s="202">
        <v>2935</v>
      </c>
      <c r="L32" s="202">
        <v>2619</v>
      </c>
      <c r="M32" s="202">
        <v>3326</v>
      </c>
      <c r="N32" s="202"/>
      <c r="P32" s="254">
        <f t="shared" si="0"/>
        <v>2000</v>
      </c>
      <c r="Q32" s="28">
        <f>+B32-'Total Retail'!B34</f>
        <v>-26</v>
      </c>
      <c r="R32" s="28">
        <f>+C32-'Total Retail'!C34</f>
        <v>0</v>
      </c>
      <c r="S32" s="28">
        <f>+D32-'Total Retail'!D34</f>
        <v>0</v>
      </c>
      <c r="T32" s="28">
        <f>+E32-'Total Retail'!E34</f>
        <v>0</v>
      </c>
      <c r="U32" s="28">
        <f>+F32-'Total Retail'!F34</f>
        <v>0</v>
      </c>
      <c r="V32" s="28">
        <f>+G32-'Total Retail'!G34</f>
        <v>0</v>
      </c>
      <c r="W32" s="28">
        <f>+H32-'Total Retail'!H34</f>
        <v>0</v>
      </c>
      <c r="X32" s="28">
        <f>+I32-'Total Retail'!I34</f>
        <v>0</v>
      </c>
      <c r="Y32" s="28">
        <f>+J32-'Total Retail'!J34</f>
        <v>-74</v>
      </c>
      <c r="Z32" s="28">
        <f>+K32-'Total Retail'!K34</f>
        <v>0</v>
      </c>
      <c r="AA32" s="28">
        <f>+L32-'Total Retail'!L34</f>
        <v>0</v>
      </c>
      <c r="AB32" s="28">
        <f>+M32-'Total Retail'!M34</f>
        <v>0</v>
      </c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>
      <c r="A33" s="13">
        <f>'Instant Old no Delete'!A35</f>
        <v>2001</v>
      </c>
      <c r="B33" s="203">
        <f>3801-101-31-57</f>
        <v>3612</v>
      </c>
      <c r="C33" s="202">
        <f>2881-55</f>
        <v>2826</v>
      </c>
      <c r="D33" s="202">
        <v>2511</v>
      </c>
      <c r="E33" s="202">
        <v>2903</v>
      </c>
      <c r="F33" s="202">
        <v>3257</v>
      </c>
      <c r="G33" s="202">
        <v>3427</v>
      </c>
      <c r="H33" s="202">
        <f>3305-17-82-80</f>
        <v>3126</v>
      </c>
      <c r="I33" s="202">
        <v>3448</v>
      </c>
      <c r="J33" s="202">
        <f>3274-7-73-39</f>
        <v>3155</v>
      </c>
      <c r="K33" s="202">
        <f>3023-63-80</f>
        <v>2880</v>
      </c>
      <c r="L33" s="202">
        <v>2456</v>
      </c>
      <c r="M33" s="202">
        <v>2530</v>
      </c>
      <c r="N33" s="202"/>
      <c r="P33" s="254">
        <f t="shared" si="0"/>
        <v>2001</v>
      </c>
      <c r="Q33" s="28">
        <f>+B33-'Total Retail'!B35</f>
        <v>-189</v>
      </c>
      <c r="R33" s="28">
        <f>+C33-'Total Retail'!C35</f>
        <v>-55</v>
      </c>
      <c r="S33" s="28">
        <f>+D33-'Total Retail'!D35</f>
        <v>0</v>
      </c>
      <c r="T33" s="28">
        <f>+E33-'Total Retail'!E35</f>
        <v>0</v>
      </c>
      <c r="U33" s="28">
        <f>+F33-'Total Retail'!F35</f>
        <v>0</v>
      </c>
      <c r="V33" s="28">
        <f>+G33-'Total Retail'!G35</f>
        <v>0</v>
      </c>
      <c r="W33" s="28">
        <f>+H33-'Total Retail'!H35</f>
        <v>-179</v>
      </c>
      <c r="X33" s="28">
        <f>+I33-'Total Retail'!I35</f>
        <v>0</v>
      </c>
      <c r="Y33" s="28">
        <f>+J33-'Total Retail'!J35</f>
        <v>-119</v>
      </c>
      <c r="Z33" s="28">
        <f>+K33-'Total Retail'!K35</f>
        <v>-143</v>
      </c>
      <c r="AA33" s="28">
        <f>+L33-'Total Retail'!L35</f>
        <v>0</v>
      </c>
      <c r="AB33" s="28">
        <f>+M33-'Total Retail'!M35</f>
        <v>-4</v>
      </c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3">
      <c r="A34" s="13">
        <f>'Instant Old no Delete'!A36</f>
        <v>2002</v>
      </c>
      <c r="B34" s="203">
        <v>3612</v>
      </c>
      <c r="C34" s="202">
        <v>3236</v>
      </c>
      <c r="D34" s="202">
        <v>3068</v>
      </c>
      <c r="E34" s="202">
        <f>3302-54</f>
        <v>3248</v>
      </c>
      <c r="F34" s="202">
        <f>3500-19-66-80</f>
        <v>3335</v>
      </c>
      <c r="G34" s="202">
        <v>3459</v>
      </c>
      <c r="H34" s="202">
        <v>3634</v>
      </c>
      <c r="I34" s="202">
        <v>3442</v>
      </c>
      <c r="J34" s="202">
        <v>3474</v>
      </c>
      <c r="K34" s="202">
        <v>3304</v>
      </c>
      <c r="L34" s="202">
        <f>3012-80</f>
        <v>2932</v>
      </c>
      <c r="M34" s="202">
        <v>2992</v>
      </c>
      <c r="N34" s="202"/>
      <c r="P34" s="254">
        <f t="shared" si="0"/>
        <v>2002</v>
      </c>
      <c r="Q34" s="28">
        <f>+B34-'Total Retail'!B36</f>
        <v>0</v>
      </c>
      <c r="R34" s="28">
        <f>+C34-'Total Retail'!C36</f>
        <v>0</v>
      </c>
      <c r="S34" s="28">
        <f>+D34-'Total Retail'!D36</f>
        <v>0</v>
      </c>
      <c r="T34" s="28">
        <f>+E34-'Total Retail'!E36</f>
        <v>-54</v>
      </c>
      <c r="U34" s="28">
        <f>+F34-'Total Retail'!F36</f>
        <v>-165</v>
      </c>
      <c r="V34" s="28">
        <f>+G34-'Total Retail'!G36</f>
        <v>0</v>
      </c>
      <c r="W34" s="28">
        <f>+H34-'Total Retail'!H36</f>
        <v>0</v>
      </c>
      <c r="X34" s="28">
        <f>+I34-'Total Retail'!I36</f>
        <v>0</v>
      </c>
      <c r="Y34" s="28">
        <f>+J34-'Total Retail'!J36</f>
        <v>0</v>
      </c>
      <c r="Z34" s="28">
        <f>+K34-'Total Retail'!K36</f>
        <v>0</v>
      </c>
      <c r="AA34" s="28">
        <f>+L34-'Total Retail'!L36</f>
        <v>-80</v>
      </c>
      <c r="AB34" s="28">
        <f>+M34-'Total Retail'!M36</f>
        <v>0</v>
      </c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3">
      <c r="A35" s="13">
        <f>'Instant Old no Delete'!A37</f>
        <v>2003</v>
      </c>
      <c r="B35" s="203">
        <f>3881-108</f>
        <v>3773</v>
      </c>
      <c r="C35" s="202">
        <v>2645</v>
      </c>
      <c r="D35" s="202">
        <v>3006</v>
      </c>
      <c r="E35" s="202">
        <v>3094</v>
      </c>
      <c r="F35" s="202">
        <f>3476-32-26</f>
        <v>3418</v>
      </c>
      <c r="G35" s="202">
        <v>3472</v>
      </c>
      <c r="H35" s="202">
        <v>3623</v>
      </c>
      <c r="I35" s="202">
        <v>3479</v>
      </c>
      <c r="J35" s="202">
        <v>3429</v>
      </c>
      <c r="K35" s="202">
        <v>3294</v>
      </c>
      <c r="L35" s="202">
        <v>3109</v>
      </c>
      <c r="M35" s="202">
        <v>3113</v>
      </c>
      <c r="N35" s="202"/>
      <c r="P35" s="254">
        <f t="shared" si="0"/>
        <v>2003</v>
      </c>
      <c r="Q35" s="28">
        <f>+B35-'Total Retail'!B37</f>
        <v>-108</v>
      </c>
      <c r="R35" s="28">
        <f>+C35-'Total Retail'!C37</f>
        <v>0</v>
      </c>
      <c r="S35" s="28">
        <f>+D35-'Total Retail'!D37</f>
        <v>0</v>
      </c>
      <c r="T35" s="28">
        <f>+E35-'Total Retail'!E37</f>
        <v>0</v>
      </c>
      <c r="U35" s="28">
        <f>+F35-'Total Retail'!F37</f>
        <v>-58</v>
      </c>
      <c r="V35" s="28">
        <f>+G35-'Total Retail'!G37</f>
        <v>0</v>
      </c>
      <c r="W35" s="28">
        <f>+H35-'Total Retail'!H37</f>
        <v>0</v>
      </c>
      <c r="X35" s="28">
        <f>+I35-'Total Retail'!I37</f>
        <v>0</v>
      </c>
      <c r="Y35" s="28">
        <f>+J35-'Total Retail'!J37</f>
        <v>0</v>
      </c>
      <c r="Z35" s="28">
        <f>+K35-'Total Retail'!K37</f>
        <v>0</v>
      </c>
      <c r="AA35" s="28">
        <f>+L35-'Total Retail'!L37</f>
        <v>0</v>
      </c>
      <c r="AB35" s="28">
        <f>+M35-'Total Retail'!M37</f>
        <v>0</v>
      </c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3">
      <c r="A36" s="13">
        <f>'Instant Old no Delete'!A38</f>
        <v>2004</v>
      </c>
      <c r="B36" s="203">
        <v>3344</v>
      </c>
      <c r="C36" s="202">
        <v>3053</v>
      </c>
      <c r="D36" s="202">
        <v>2561</v>
      </c>
      <c r="E36" s="202">
        <v>3168</v>
      </c>
      <c r="F36" s="202">
        <v>3504</v>
      </c>
      <c r="G36" s="202">
        <v>3737</v>
      </c>
      <c r="H36" s="202">
        <v>3617</v>
      </c>
      <c r="I36" s="202">
        <v>3668</v>
      </c>
      <c r="J36" s="202">
        <v>3553</v>
      </c>
      <c r="K36" s="202">
        <v>3390</v>
      </c>
      <c r="L36" s="202">
        <v>3044</v>
      </c>
      <c r="M36" s="202">
        <v>3287</v>
      </c>
      <c r="N36" s="202"/>
      <c r="P36" s="254">
        <f t="shared" si="0"/>
        <v>2004</v>
      </c>
      <c r="Q36" s="28">
        <f>+B36-'Total Retail'!B38</f>
        <v>0</v>
      </c>
      <c r="R36" s="28">
        <f>+C36-'Total Retail'!C38</f>
        <v>0</v>
      </c>
      <c r="S36" s="28">
        <f>+D36-'Total Retail'!D38</f>
        <v>0</v>
      </c>
      <c r="T36" s="28">
        <f>+E36-'Total Retail'!E38</f>
        <v>0</v>
      </c>
      <c r="U36" s="28">
        <f>+F36-'Total Retail'!F38</f>
        <v>0</v>
      </c>
      <c r="V36" s="28">
        <f>+G36-'Total Retail'!G38</f>
        <v>0</v>
      </c>
      <c r="W36" s="28">
        <f>+H36-'Total Retail'!H38</f>
        <v>0</v>
      </c>
      <c r="X36" s="28">
        <f>+I36-'Total Retail'!I38</f>
        <v>0</v>
      </c>
      <c r="Y36" s="28">
        <f>+J36-'Total Retail'!J38</f>
        <v>0</v>
      </c>
      <c r="Z36" s="28">
        <f>+K36-'Total Retail'!K38</f>
        <v>0</v>
      </c>
      <c r="AA36" s="28">
        <f>+L36-'Total Retail'!L38</f>
        <v>0</v>
      </c>
      <c r="AB36" s="28">
        <f>+M36-'Total Retail'!M38</f>
        <v>0</v>
      </c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3">
      <c r="A37" s="13">
        <f>'Instant Old no Delete'!A39</f>
        <v>2005</v>
      </c>
      <c r="B37" s="203">
        <v>3686</v>
      </c>
      <c r="C37" s="202">
        <v>2816</v>
      </c>
      <c r="D37" s="202">
        <v>2955</v>
      </c>
      <c r="E37" s="202">
        <v>2942</v>
      </c>
      <c r="F37" s="202">
        <v>3453</v>
      </c>
      <c r="G37" s="202">
        <v>3756</v>
      </c>
      <c r="H37" s="202">
        <v>3901</v>
      </c>
      <c r="I37" s="202">
        <v>3885</v>
      </c>
      <c r="J37" s="202">
        <v>3691</v>
      </c>
      <c r="K37" s="202">
        <v>3482</v>
      </c>
      <c r="L37" s="202">
        <v>2842</v>
      </c>
      <c r="M37" s="202">
        <v>3027</v>
      </c>
      <c r="N37" s="202"/>
      <c r="P37" s="254">
        <f t="shared" si="0"/>
        <v>2005</v>
      </c>
      <c r="Q37" s="28">
        <f>+B37-'Total Retail'!B39</f>
        <v>0</v>
      </c>
      <c r="R37" s="28">
        <f>+C37-'Total Retail'!C39</f>
        <v>0</v>
      </c>
      <c r="S37" s="28">
        <f>+D37-'Total Retail'!D39</f>
        <v>0</v>
      </c>
      <c r="T37" s="28">
        <f>+E37-'Total Retail'!E39</f>
        <v>0</v>
      </c>
      <c r="U37" s="28">
        <f>+F37-'Total Retail'!F39</f>
        <v>-32</v>
      </c>
      <c r="V37" s="28">
        <f>+G37-'Total Retail'!G39</f>
        <v>0</v>
      </c>
      <c r="W37" s="28">
        <f>+H37-'Total Retail'!H39</f>
        <v>-29</v>
      </c>
      <c r="X37" s="28">
        <f>+I37-'Total Retail'!I39</f>
        <v>-83</v>
      </c>
      <c r="Y37" s="28">
        <f>+J37-'Total Retail'!J39</f>
        <v>0</v>
      </c>
      <c r="Z37" s="28">
        <f>+K37-'Total Retail'!K39</f>
        <v>0</v>
      </c>
      <c r="AA37" s="28">
        <f>+L37-'Total Retail'!L39</f>
        <v>0</v>
      </c>
      <c r="AB37" s="28">
        <f>+M37-'Total Retail'!M39</f>
        <v>0</v>
      </c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3">
      <c r="A38" s="13">
        <f>'Instant Old no Delete'!A40</f>
        <v>2006</v>
      </c>
      <c r="B38" s="203">
        <v>3041</v>
      </c>
      <c r="C38" s="202">
        <v>3736</v>
      </c>
      <c r="D38" s="202">
        <v>2787</v>
      </c>
      <c r="E38" s="202">
        <v>3433</v>
      </c>
      <c r="F38" s="202">
        <v>3628</v>
      </c>
      <c r="G38" s="202">
        <v>3824</v>
      </c>
      <c r="H38" s="202">
        <v>3919</v>
      </c>
      <c r="I38" s="202">
        <v>4010</v>
      </c>
      <c r="J38" s="202">
        <v>3714</v>
      </c>
      <c r="K38" s="202">
        <v>3540</v>
      </c>
      <c r="L38" s="202">
        <v>2978</v>
      </c>
      <c r="M38" s="202">
        <v>2679</v>
      </c>
      <c r="N38" s="202"/>
      <c r="P38" s="254">
        <f t="shared" si="0"/>
        <v>2006</v>
      </c>
      <c r="Q38" s="28">
        <f>+B38-'Total Retail'!B40</f>
        <v>0</v>
      </c>
      <c r="R38" s="28">
        <f>+C38-'Total Retail'!C40</f>
        <v>0</v>
      </c>
      <c r="S38" s="28">
        <f>+D38-'Total Retail'!D40</f>
        <v>0</v>
      </c>
      <c r="T38" s="28">
        <f>+E38-'Total Retail'!E40</f>
        <v>0</v>
      </c>
      <c r="U38" s="28">
        <f>+F38-'Total Retail'!F40</f>
        <v>0</v>
      </c>
      <c r="V38" s="28">
        <f>+G38-'Total Retail'!G40</f>
        <v>0</v>
      </c>
      <c r="W38" s="28">
        <f>+H38-'Total Retail'!H40</f>
        <v>0</v>
      </c>
      <c r="X38" s="28">
        <f>+I38-'Total Retail'!I40</f>
        <v>0</v>
      </c>
      <c r="Y38" s="28">
        <f>+J38-'Total Retail'!J40</f>
        <v>0</v>
      </c>
      <c r="Z38" s="28">
        <f>+K38-'Total Retail'!K40</f>
        <v>0</v>
      </c>
      <c r="AA38" s="28">
        <f>+L38-'Total Retail'!L40</f>
        <v>0</v>
      </c>
      <c r="AB38" s="28">
        <f>+M38-'Total Retail'!M40</f>
        <v>0</v>
      </c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N38" s="68"/>
      <c r="AO38" s="3"/>
      <c r="AP38" s="3"/>
      <c r="AQ38" s="3"/>
      <c r="AR38" s="3"/>
      <c r="AS38" s="3"/>
      <c r="AT38" s="3"/>
    </row>
    <row r="39" spans="1:53">
      <c r="A39" s="13">
        <f>'Instant Old no Delete'!A41</f>
        <v>2007</v>
      </c>
      <c r="B39" s="202">
        <v>3262.6658364188684</v>
      </c>
      <c r="C39" s="202">
        <v>3397.6318480246068</v>
      </c>
      <c r="D39" s="202">
        <v>2975.3826337947949</v>
      </c>
      <c r="E39" s="202">
        <v>3248.9967657471825</v>
      </c>
      <c r="F39" s="202">
        <v>3486.1413082725194</v>
      </c>
      <c r="G39" s="202">
        <v>3807.665552806352</v>
      </c>
      <c r="H39" s="202">
        <v>3985.1114190034973</v>
      </c>
      <c r="I39" s="202">
        <v>4101.5669031326161</v>
      </c>
      <c r="J39" s="202">
        <v>3839.2350058867069</v>
      </c>
      <c r="K39" s="202">
        <v>3773.0643178142755</v>
      </c>
      <c r="L39" s="202">
        <v>2956.1576482011528</v>
      </c>
      <c r="M39" s="202">
        <v>2870.9401307799817</v>
      </c>
      <c r="N39" s="202"/>
      <c r="P39" s="254">
        <f t="shared" si="0"/>
        <v>2007</v>
      </c>
      <c r="Q39" s="28">
        <f>+B39-'Total Retail'!B41</f>
        <v>0</v>
      </c>
      <c r="R39" s="28">
        <f>+C39-'Total Retail'!C41</f>
        <v>0</v>
      </c>
      <c r="S39" s="28">
        <f>+D39-'Total Retail'!D41</f>
        <v>0</v>
      </c>
      <c r="T39" s="28">
        <f>+E39-'Total Retail'!E41</f>
        <v>0</v>
      </c>
      <c r="U39" s="28">
        <f>+F39-'Total Retail'!F41</f>
        <v>0</v>
      </c>
      <c r="V39" s="28">
        <f>+G39-'Total Retail'!G41</f>
        <v>0</v>
      </c>
      <c r="W39" s="28">
        <f>+H39-'Total Retail'!H41</f>
        <v>0</v>
      </c>
      <c r="X39" s="28">
        <f>+I39-'Total Retail'!I41</f>
        <v>-21</v>
      </c>
      <c r="Y39" s="28">
        <f>+J39-'Total Retail'!J41</f>
        <v>0</v>
      </c>
      <c r="Z39" s="28">
        <f>+K39-'Total Retail'!K41</f>
        <v>0</v>
      </c>
      <c r="AA39" s="28">
        <f>+L39-'Total Retail'!L41</f>
        <v>0</v>
      </c>
      <c r="AB39" s="28">
        <f>+M39-'Total Retail'!M41</f>
        <v>0</v>
      </c>
      <c r="AM39" s="3"/>
      <c r="BA39" s="3"/>
    </row>
    <row r="40" spans="1:53">
      <c r="A40" s="13">
        <f>'Instant Old no Delete'!A42</f>
        <v>2008</v>
      </c>
      <c r="B40" s="202">
        <v>3709.3210366761082</v>
      </c>
      <c r="C40" s="202">
        <v>2971.7372144866781</v>
      </c>
      <c r="D40" s="202">
        <v>2828.7203276982491</v>
      </c>
      <c r="E40" s="202">
        <v>3154.2265747708666</v>
      </c>
      <c r="F40" s="202">
        <v>3648.8737830120253</v>
      </c>
      <c r="G40" s="202">
        <v>3952.2974134773162</v>
      </c>
      <c r="H40" s="202">
        <v>3895.1308520058774</v>
      </c>
      <c r="I40" s="202">
        <v>3905.0977248671566</v>
      </c>
      <c r="J40" s="202">
        <v>3794.3752662087836</v>
      </c>
      <c r="K40" s="202">
        <v>3421.1480622652321</v>
      </c>
      <c r="L40" s="202">
        <v>2975.4377902353781</v>
      </c>
      <c r="M40" s="202">
        <v>3168.1064023405338</v>
      </c>
      <c r="N40" s="202"/>
      <c r="P40" s="254">
        <f t="shared" si="0"/>
        <v>2008</v>
      </c>
      <c r="Q40" s="28">
        <f>+B40-'Total Retail'!B42</f>
        <v>0</v>
      </c>
      <c r="R40" s="28">
        <f>+C40-'Total Retail'!C42</f>
        <v>0</v>
      </c>
      <c r="S40" s="28">
        <f>+D40-'Total Retail'!D42</f>
        <v>0</v>
      </c>
      <c r="T40" s="28">
        <f>+E40-'Total Retail'!E42</f>
        <v>0</v>
      </c>
      <c r="U40" s="28">
        <f>+F40-'Total Retail'!F42</f>
        <v>0</v>
      </c>
      <c r="V40" s="28">
        <f>+G40-'Total Retail'!G42</f>
        <v>0</v>
      </c>
      <c r="W40" s="28">
        <f>+H40-'Total Retail'!H42</f>
        <v>0</v>
      </c>
      <c r="X40" s="28">
        <f>+I40-'Total Retail'!I42</f>
        <v>0</v>
      </c>
      <c r="Y40" s="28">
        <f>+J40-'Total Retail'!J42</f>
        <v>0</v>
      </c>
      <c r="Z40" s="28">
        <f>+K40-'Total Retail'!K42</f>
        <v>0</v>
      </c>
      <c r="AA40" s="28">
        <f>+L40-'Total Retail'!L42</f>
        <v>0</v>
      </c>
      <c r="AB40" s="28">
        <f>+M40-'Total Retail'!M42</f>
        <v>0</v>
      </c>
      <c r="AM40" s="3"/>
      <c r="BA40" s="3"/>
    </row>
    <row r="41" spans="1:53">
      <c r="A41" s="13">
        <f>'Instant Old no Delete'!A43</f>
        <v>2009</v>
      </c>
      <c r="B41" s="202">
        <v>4079.6897423428659</v>
      </c>
      <c r="C41" s="202">
        <v>3973.4863759652044</v>
      </c>
      <c r="D41" s="202">
        <v>3058.3970037223899</v>
      </c>
      <c r="E41" s="202">
        <v>3132.8901955356869</v>
      </c>
      <c r="F41" s="202">
        <v>3544.7276279205939</v>
      </c>
      <c r="G41" s="202">
        <v>3937.4843508985241</v>
      </c>
      <c r="H41" s="202">
        <v>3796.1046721053099</v>
      </c>
      <c r="I41" s="202">
        <v>3809.6574566411264</v>
      </c>
      <c r="J41" s="202">
        <v>3708.1155124202373</v>
      </c>
      <c r="K41" s="202">
        <v>3740.8517971637793</v>
      </c>
      <c r="L41" s="202">
        <v>2920.1812049530909</v>
      </c>
      <c r="M41" s="202">
        <v>2794.5774245145426</v>
      </c>
      <c r="N41" s="202"/>
      <c r="P41" s="254">
        <f t="shared" si="0"/>
        <v>2009</v>
      </c>
      <c r="Q41" s="28">
        <f>+B41-'Total Retail'!B43</f>
        <v>0</v>
      </c>
      <c r="R41" s="28">
        <f>+C41-'Total Retail'!C43</f>
        <v>0</v>
      </c>
      <c r="S41" s="28">
        <f>+D41-'Total Retail'!D43</f>
        <v>0</v>
      </c>
      <c r="T41" s="28">
        <f>+E41-'Total Retail'!E43</f>
        <v>0</v>
      </c>
      <c r="U41" s="28">
        <f>+F41-'Total Retail'!F43</f>
        <v>0</v>
      </c>
      <c r="V41" s="28">
        <f>+G41-'Total Retail'!G43</f>
        <v>-77.515649101475901</v>
      </c>
      <c r="W41" s="28">
        <f>+H41-'Total Retail'!H43</f>
        <v>0.10467210530987359</v>
      </c>
      <c r="X41" s="28">
        <f>+I41-'Total Retail'!I43</f>
        <v>-0.34254335887362686</v>
      </c>
      <c r="Y41" s="28">
        <f>+J41-'Total Retail'!J43</f>
        <v>0</v>
      </c>
      <c r="Z41" s="28">
        <f>+K41-'Total Retail'!K43</f>
        <v>0</v>
      </c>
      <c r="AA41" s="28">
        <f>+L41-'Total Retail'!L43</f>
        <v>0</v>
      </c>
      <c r="AB41" s="28">
        <f>+M41-'Total Retail'!M43</f>
        <v>0</v>
      </c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3"/>
      <c r="AN41" s="10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>
      <c r="A42" s="13">
        <f>'Instant Old no Delete'!A44</f>
        <v>2010</v>
      </c>
      <c r="B42" s="202">
        <v>4511.5733449373292</v>
      </c>
      <c r="C42" s="202">
        <v>3446.9567787946576</v>
      </c>
      <c r="D42" s="202">
        <v>3304.5829419826873</v>
      </c>
      <c r="E42" s="202">
        <v>2909.2478843996569</v>
      </c>
      <c r="F42" s="202">
        <v>3649.4604212766476</v>
      </c>
      <c r="G42" s="202">
        <v>3917.3073213553184</v>
      </c>
      <c r="H42" s="202">
        <v>3912.3781921401342</v>
      </c>
      <c r="I42" s="202">
        <v>3907.9970231564048</v>
      </c>
      <c r="J42" s="202">
        <v>3702.0736333139571</v>
      </c>
      <c r="K42" s="202">
        <v>3365.720309161663</v>
      </c>
      <c r="L42" s="202">
        <v>2868.5881132041072</v>
      </c>
      <c r="M42" s="202">
        <v>4036.6574484194452</v>
      </c>
      <c r="N42" s="202"/>
      <c r="P42" s="254">
        <f t="shared" si="0"/>
        <v>2010</v>
      </c>
      <c r="Q42" s="28">
        <f>+B42-'Total Retail'!B44</f>
        <v>-0.56999999999970896</v>
      </c>
      <c r="R42" s="28">
        <f>+C42-'Total Retail'!C44</f>
        <v>0</v>
      </c>
      <c r="S42" s="28">
        <f>+D42-'Total Retail'!D44</f>
        <v>-0.41705801731268366</v>
      </c>
      <c r="T42" s="28">
        <f>+E42-'Total Retail'!E44</f>
        <v>0</v>
      </c>
      <c r="U42" s="28">
        <f>+F42-'Total Retail'!F44</f>
        <v>0</v>
      </c>
      <c r="V42" s="28">
        <f>+G42-'Total Retail'!G44</f>
        <v>0</v>
      </c>
      <c r="W42" s="28">
        <f>+H42-'Total Retail'!H44</f>
        <v>0</v>
      </c>
      <c r="X42" s="28">
        <f>+I42-'Total Retail'!I44</f>
        <v>0</v>
      </c>
      <c r="Y42" s="28">
        <f>+J42-'Total Retail'!J44</f>
        <v>0</v>
      </c>
      <c r="Z42" s="28">
        <f>+K42-'Total Retail'!K44</f>
        <v>-7.0432398294542509E-2</v>
      </c>
      <c r="AA42" s="28">
        <f>+L42-'Total Retail'!L44</f>
        <v>-87</v>
      </c>
      <c r="AB42" s="28">
        <f>+M42-'Total Retail'!M44</f>
        <v>27</v>
      </c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N42" s="10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3">
      <c r="A43" s="13">
        <f>'Instant Old no Delete'!A45</f>
        <v>2011</v>
      </c>
      <c r="B43" s="202">
        <v>3811.9723925726394</v>
      </c>
      <c r="C43" s="202">
        <v>2939.8602575525056</v>
      </c>
      <c r="D43" s="202">
        <v>2696.6887531557081</v>
      </c>
      <c r="E43" s="202">
        <v>3419.6014846558933</v>
      </c>
      <c r="F43" s="202">
        <v>3572.3086153971872</v>
      </c>
      <c r="G43" s="202">
        <v>3888.7959445727106</v>
      </c>
      <c r="H43" s="202">
        <v>3768.3462431219737</v>
      </c>
      <c r="I43" s="202">
        <v>3931.0615628757678</v>
      </c>
      <c r="J43" s="202">
        <v>3617.6011075894135</v>
      </c>
      <c r="K43" s="202">
        <v>3066.854047350645</v>
      </c>
      <c r="L43" s="202">
        <v>2817.3179433615815</v>
      </c>
      <c r="M43" s="202">
        <v>2454.644010675192</v>
      </c>
      <c r="N43" s="202"/>
      <c r="P43" s="254">
        <f t="shared" si="0"/>
        <v>2011</v>
      </c>
      <c r="Q43" s="28">
        <f>+B43-'Total Retail'!B45</f>
        <v>0</v>
      </c>
      <c r="R43" s="28">
        <f>+C43-'Total Retail'!C45</f>
        <v>0</v>
      </c>
      <c r="S43" s="28">
        <f>+D43-'Total Retail'!D45</f>
        <v>0</v>
      </c>
      <c r="T43" s="28">
        <f>+E43-'Total Retail'!E45</f>
        <v>0</v>
      </c>
      <c r="U43" s="28">
        <f>+F43-'Total Retail'!F45</f>
        <v>0</v>
      </c>
      <c r="V43" s="28">
        <f>+G43-'Total Retail'!G45</f>
        <v>0</v>
      </c>
      <c r="W43" s="28">
        <f>+H43-'Total Retail'!H45</f>
        <v>0</v>
      </c>
      <c r="X43" s="28">
        <f>+I43-'Total Retail'!I45</f>
        <v>0</v>
      </c>
      <c r="Y43" s="28">
        <f>+J43-'Total Retail'!J45</f>
        <v>0</v>
      </c>
      <c r="Z43" s="28">
        <f>+K43-'Total Retail'!K45</f>
        <v>0</v>
      </c>
      <c r="AA43" s="28">
        <f>+L43-'Total Retail'!L45</f>
        <v>0</v>
      </c>
      <c r="AB43" s="28">
        <f>+M43-'Total Retail'!M45</f>
        <v>0</v>
      </c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N43" s="3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3">
      <c r="A44" s="13">
        <f>'Instant Old no Delete'!A46</f>
        <v>2012</v>
      </c>
      <c r="B44" s="202">
        <v>3516.7561054876123</v>
      </c>
      <c r="C44" s="202">
        <v>3378.197402312504</v>
      </c>
      <c r="D44" s="202">
        <v>2931.7662406566142</v>
      </c>
      <c r="E44" s="202">
        <v>3151.9778325326442</v>
      </c>
      <c r="F44" s="202">
        <v>3645.4377182731337</v>
      </c>
      <c r="G44" s="202">
        <v>3758.2203094162846</v>
      </c>
      <c r="H44" s="202">
        <v>3773.9361838957884</v>
      </c>
      <c r="I44" s="202">
        <v>3891.5748580194663</v>
      </c>
      <c r="J44" s="202">
        <v>3669.9639987574483</v>
      </c>
      <c r="K44" s="202">
        <v>3479.9971104249953</v>
      </c>
      <c r="L44" s="202">
        <v>2500.3472932508089</v>
      </c>
      <c r="M44" s="202">
        <v>2606.3978680815699</v>
      </c>
      <c r="N44" s="202"/>
      <c r="P44" s="254">
        <f t="shared" si="0"/>
        <v>2012</v>
      </c>
      <c r="Q44" s="28">
        <f>+B44-'Total Retail'!B46</f>
        <v>0</v>
      </c>
      <c r="R44" s="28">
        <f>+C44-'Total Retail'!C46</f>
        <v>0</v>
      </c>
      <c r="S44" s="28">
        <f>+D44-'Total Retail'!D46</f>
        <v>0</v>
      </c>
      <c r="T44" s="28">
        <f>+E44-'Total Retail'!E46</f>
        <v>0</v>
      </c>
      <c r="U44" s="28">
        <f>+F44-'Total Retail'!F46</f>
        <v>0</v>
      </c>
      <c r="V44" s="28">
        <f>+G44-'Total Retail'!G46</f>
        <v>0</v>
      </c>
      <c r="W44" s="28">
        <f>+H44-'Total Retail'!H46</f>
        <v>0</v>
      </c>
      <c r="X44" s="28">
        <f>+I44-'Total Retail'!I46</f>
        <v>0</v>
      </c>
      <c r="Y44" s="28">
        <f>+J44-'Total Retail'!J46</f>
        <v>0</v>
      </c>
      <c r="Z44" s="28">
        <f>+K44-'Total Retail'!K46</f>
        <v>0</v>
      </c>
      <c r="AA44" s="28">
        <f>+L44-'Total Retail'!L46</f>
        <v>0</v>
      </c>
      <c r="AB44" s="28">
        <f>+M44-'Total Retail'!M46</f>
        <v>0</v>
      </c>
    </row>
    <row r="45" spans="1:53">
      <c r="A45" s="13">
        <f>'Instant Old no Delete'!A47</f>
        <v>2013</v>
      </c>
      <c r="B45" s="202">
        <v>2563.2860569345185</v>
      </c>
      <c r="C45" s="202">
        <v>3202.8755861738641</v>
      </c>
      <c r="D45" s="202">
        <v>3055.6874635603426</v>
      </c>
      <c r="E45" s="202">
        <v>3439.5825156402584</v>
      </c>
      <c r="F45" s="202">
        <v>3493.5567011845969</v>
      </c>
      <c r="G45" s="202">
        <v>3619.2761659425828</v>
      </c>
      <c r="H45" s="202">
        <v>3782.6862062891291</v>
      </c>
      <c r="I45" s="202">
        <v>3872.9466019981292</v>
      </c>
      <c r="J45" s="202">
        <v>3739.2398221806907</v>
      </c>
      <c r="K45" s="202">
        <v>3476.0899269812298</v>
      </c>
      <c r="L45" s="202">
        <v>2993.2341931100941</v>
      </c>
      <c r="M45" s="202">
        <v>2739.1721276481057</v>
      </c>
      <c r="N45" s="202"/>
      <c r="P45" s="254">
        <f t="shared" si="0"/>
        <v>2013</v>
      </c>
      <c r="Q45" s="28">
        <f>+B45-'Total Retail'!B47</f>
        <v>0</v>
      </c>
      <c r="R45" s="28">
        <f>+C45-'Total Retail'!C47</f>
        <v>0</v>
      </c>
      <c r="S45" s="28">
        <f>+D45-'Total Retail'!D47</f>
        <v>0</v>
      </c>
      <c r="T45" s="28">
        <f>+E45-'Total Retail'!E47</f>
        <v>0</v>
      </c>
      <c r="U45" s="28">
        <f>+F45-'Total Retail'!F47</f>
        <v>0</v>
      </c>
      <c r="V45" s="28">
        <f>+G45-'Total Retail'!G47</f>
        <v>-218.74913958333354</v>
      </c>
      <c r="W45" s="28">
        <f>+H45-'Total Retail'!H47</f>
        <v>0</v>
      </c>
      <c r="X45" s="28">
        <f>+I45-'Total Retail'!I47</f>
        <v>0</v>
      </c>
      <c r="Y45" s="28">
        <f>+J45-'Total Retail'!J47</f>
        <v>0</v>
      </c>
      <c r="Z45" s="28">
        <f>+K45-'Total Retail'!K47</f>
        <v>0</v>
      </c>
      <c r="AA45" s="28">
        <f>+L45-'Total Retail'!L47</f>
        <v>0</v>
      </c>
      <c r="AB45" s="28">
        <f>+M45-'Total Retail'!M47</f>
        <v>0</v>
      </c>
    </row>
    <row r="46" spans="1:53">
      <c r="A46" s="13">
        <f>'Instant Old no Delete'!A48</f>
        <v>2014</v>
      </c>
      <c r="B46" s="209">
        <v>3299.9624935030938</v>
      </c>
      <c r="C46" s="209">
        <v>2719.2163913989066</v>
      </c>
      <c r="D46" s="209">
        <v>2525.6963803422454</v>
      </c>
      <c r="E46" s="209">
        <v>3459.8237013696576</v>
      </c>
      <c r="F46" s="209">
        <v>3512.2163494484421</v>
      </c>
      <c r="G46" s="209">
        <v>3916.6589999999997</v>
      </c>
      <c r="H46" s="209">
        <v>3817.175220480442</v>
      </c>
      <c r="I46" s="209">
        <v>4054.1820000000002</v>
      </c>
      <c r="J46" s="209">
        <v>3734.6329999999998</v>
      </c>
      <c r="K46" s="209">
        <v>3534.1790000000001</v>
      </c>
      <c r="L46" s="209">
        <v>2784.913</v>
      </c>
      <c r="M46" s="209">
        <v>2883.7919999999999</v>
      </c>
      <c r="N46" s="202"/>
      <c r="P46" s="254">
        <f t="shared" si="0"/>
        <v>2014</v>
      </c>
      <c r="Q46" s="28">
        <f>+B46-'Total Retail'!B48</f>
        <v>0</v>
      </c>
      <c r="R46" s="28">
        <f>+C46-'Total Retail'!C48</f>
        <v>0</v>
      </c>
      <c r="S46" s="28">
        <f>+D46-'Total Retail'!D48</f>
        <v>0</v>
      </c>
      <c r="T46" s="28">
        <f>+E46-'Total Retail'!E48</f>
        <v>0</v>
      </c>
      <c r="U46" s="28">
        <f>+F46-'Total Retail'!F48</f>
        <v>0</v>
      </c>
      <c r="V46" s="28">
        <f>+G46-'Total Retail'!G48</f>
        <v>0</v>
      </c>
      <c r="W46" s="28">
        <f>+H46-'Total Retail'!H48</f>
        <v>0</v>
      </c>
      <c r="X46" s="28">
        <f>+I46-'Total Retail'!I48</f>
        <v>0</v>
      </c>
      <c r="Y46" s="28">
        <f>+J46-'Total Retail'!J48</f>
        <v>0</v>
      </c>
      <c r="Z46" s="28">
        <f>+K46-'Total Retail'!K48</f>
        <v>0</v>
      </c>
      <c r="AA46" s="28">
        <f>+L46-'Total Retail'!L48</f>
        <v>0</v>
      </c>
      <c r="AB46" s="28">
        <f>+M46-'Total Retail'!M48</f>
        <v>0</v>
      </c>
    </row>
    <row r="47" spans="1:53">
      <c r="A47" s="13">
        <f>'Instant Old no Delete'!A49</f>
        <v>2015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P47" s="254">
        <f t="shared" si="0"/>
        <v>2015</v>
      </c>
      <c r="Q47" s="28">
        <f>+B47-'Total Retail'!B49</f>
        <v>-2759.591772408724</v>
      </c>
      <c r="R47" s="28">
        <f>+C47-'Total Retail'!C49</f>
        <v>-3609.2117164034844</v>
      </c>
      <c r="S47" s="28">
        <f>+D47-'Total Retail'!D49</f>
        <v>-2997.3640749722895</v>
      </c>
      <c r="T47" s="28">
        <f>+E47-'Total Retail'!E49</f>
        <v>-3352.3941902602801</v>
      </c>
      <c r="U47" s="28">
        <f>+F47-'Total Retail'!F49</f>
        <v>-3758.2221977729341</v>
      </c>
      <c r="V47" s="28">
        <f>+G47-'Total Retail'!G49</f>
        <v>-3892.1385082180655</v>
      </c>
      <c r="W47" s="28">
        <f>+H47-'Total Retail'!H49</f>
        <v>-3867.5452390337232</v>
      </c>
      <c r="X47" s="28">
        <f>+I47-'Total Retail'!I49</f>
        <v>-4013.1278465791215</v>
      </c>
      <c r="Y47" s="28">
        <f>+J47-'Total Retail'!J49</f>
        <v>-3880.2453166056839</v>
      </c>
      <c r="Z47" s="28">
        <f>+K47-'Total Retail'!K49</f>
        <v>-3337.4108363472119</v>
      </c>
      <c r="AA47" s="28">
        <f>+L47-'Total Retail'!L49</f>
        <v>-3424.4040903561117</v>
      </c>
      <c r="AB47" s="28">
        <f>+M47-'Total Retail'!M49</f>
        <v>-3002.9136643179777</v>
      </c>
    </row>
    <row r="48" spans="1:53">
      <c r="A48" s="13">
        <f>'Instant Old no Delete'!A50</f>
        <v>2016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P48" s="254">
        <f t="shared" si="0"/>
        <v>2016</v>
      </c>
      <c r="Q48" s="28">
        <f>+B48-'Total Retail'!B50</f>
        <v>-3339.3093953093176</v>
      </c>
      <c r="R48" s="28">
        <f>+C48-'Total Retail'!C50</f>
        <v>-3105.4053636918607</v>
      </c>
      <c r="S48" s="28">
        <f>+D48-'Total Retail'!D50</f>
        <v>-3169.3527920264742</v>
      </c>
      <c r="T48" s="28">
        <f>+E48-'Total Retail'!E50</f>
        <v>-3604.9242119587793</v>
      </c>
      <c r="U48" s="28">
        <f>+F48-'Total Retail'!F50</f>
        <v>-3624.1644288860639</v>
      </c>
      <c r="V48" s="28">
        <f>+G48-'Total Retail'!G50</f>
        <v>-3955.659255220387</v>
      </c>
      <c r="W48" s="28">
        <f>+H48-'Total Retail'!H50</f>
        <v>-4130.8831221788769</v>
      </c>
      <c r="X48" s="28">
        <f>+I48-'Total Retail'!I50</f>
        <v>-4101.3132194944128</v>
      </c>
      <c r="Y48" s="28">
        <f>+J48-'Total Retail'!J50</f>
        <v>-3812.3363586753503</v>
      </c>
      <c r="Z48" s="28">
        <f>+K48-'Total Retail'!K50</f>
        <v>-3557.1945229328212</v>
      </c>
      <c r="AA48" s="28">
        <f>+L48-'Total Retail'!L50</f>
        <v>-2887.20287407554</v>
      </c>
      <c r="AB48" s="28">
        <f>+M48-'Total Retail'!M50</f>
        <v>-2996.4363390875142</v>
      </c>
    </row>
    <row r="49" spans="1:53">
      <c r="A49" s="13">
        <f>'Instant Old no Delete'!A51</f>
        <v>2017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P49" s="254">
        <f t="shared" si="0"/>
        <v>2017</v>
      </c>
      <c r="Q49" s="28">
        <f>+B49-'Total Retail'!B51</f>
        <v>-3137.8193837766398</v>
      </c>
      <c r="R49" s="28">
        <f>+C49-'Total Retail'!C51</f>
        <v>-2994.1223439435253</v>
      </c>
      <c r="S49" s="28">
        <f>+D49-'Total Retail'!D51</f>
        <v>-3072.4709559752182</v>
      </c>
      <c r="T49" s="28">
        <f>+E49-'Total Retail'!E51</f>
        <v>-3821.5167304983916</v>
      </c>
      <c r="U49" s="28">
        <f>+F49-'Total Retail'!F51</f>
        <v>-3881.8296946285664</v>
      </c>
      <c r="V49" s="28">
        <f>+G49-'Total Retail'!G51</f>
        <v>-3996.2978656948471</v>
      </c>
      <c r="W49" s="28">
        <f>+H49-'Total Retail'!H51</f>
        <v>-4114.5309672043495</v>
      </c>
      <c r="X49" s="28">
        <f>+I49-'Total Retail'!I51</f>
        <v>-4074.2191796869502</v>
      </c>
      <c r="Y49" s="28">
        <f>+J49-'Total Retail'!J51</f>
        <v>-3952.8750994488992</v>
      </c>
      <c r="Z49" s="28">
        <f>+K49-'Total Retail'!K51</f>
        <v>-3818.0823763992712</v>
      </c>
      <c r="AA49" s="28">
        <f>+L49-'Total Retail'!L51</f>
        <v>-2973.9611922410809</v>
      </c>
      <c r="AB49" s="28">
        <f>+M49-'Total Retail'!M51</f>
        <v>-2939.7683396577299</v>
      </c>
    </row>
    <row r="50" spans="1:53">
      <c r="A50" s="13">
        <f>'Instant Old no Delete'!A52</f>
        <v>2018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P50" s="254">
        <f t="shared" si="0"/>
        <v>2018</v>
      </c>
      <c r="Q50" s="28">
        <f>+B50-'Total Retail'!B52</f>
        <v>-4044.1059232197913</v>
      </c>
      <c r="R50" s="28">
        <f>+C50-'Total Retail'!C52</f>
        <v>-3120.329540742875</v>
      </c>
      <c r="S50" s="28">
        <f>+D50-'Total Retail'!D52</f>
        <v>-2881.2768298181095</v>
      </c>
      <c r="T50" s="28">
        <f>+E50-'Total Retail'!E52</f>
        <v>-3267.4009685346005</v>
      </c>
      <c r="U50" s="28">
        <f>+F50-'Total Retail'!F52</f>
        <v>-3606.5392897531469</v>
      </c>
      <c r="V50" s="28">
        <f>+G50-'Total Retail'!G52</f>
        <v>-3955.661973784006</v>
      </c>
      <c r="W50" s="28">
        <f>+H50-'Total Retail'!H52</f>
        <v>-3955.4844540917875</v>
      </c>
      <c r="X50" s="28">
        <f>+I50-'Total Retail'!I52</f>
        <v>-4036.6235217311269</v>
      </c>
      <c r="Y50" s="28">
        <f>+J50-'Total Retail'!J52</f>
        <v>-4020.7185612612907</v>
      </c>
      <c r="Z50" s="28">
        <f>+K50-'Total Retail'!K52</f>
        <v>-3876.8176864583879</v>
      </c>
      <c r="AA50" s="28">
        <f>+L50-'Total Retail'!L52</f>
        <v>-3272.2360678174382</v>
      </c>
      <c r="AB50" s="28">
        <f>+M50-'Total Retail'!M52</f>
        <v>-2890.388144010195</v>
      </c>
    </row>
    <row r="51" spans="1:53">
      <c r="A51" s="13">
        <f>'Instant Old no Delete'!A53</f>
        <v>2019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P51" s="254">
        <f t="shared" si="0"/>
        <v>2019</v>
      </c>
      <c r="Q51" s="28">
        <f>+B51-'Total Retail'!B53</f>
        <v>-3091.0792847788834</v>
      </c>
      <c r="R51" s="28">
        <f>+C51-'Total Retail'!C53</f>
        <v>-3094.289272364359</v>
      </c>
      <c r="S51" s="28">
        <f>+D51-'Total Retail'!D53</f>
        <v>-3128.5432423298507</v>
      </c>
      <c r="T51" s="28">
        <f>+E51-'Total Retail'!E53</f>
        <v>-3504.7003791594316</v>
      </c>
      <c r="U51" s="28">
        <f>+F51-'Total Retail'!F53</f>
        <v>-4152.7434235575183</v>
      </c>
      <c r="V51" s="28">
        <f>+G51-'Total Retail'!G53</f>
        <v>-4298.266042423721</v>
      </c>
      <c r="W51" s="28">
        <f>+H51-'Total Retail'!H53</f>
        <v>-4073.1594642884675</v>
      </c>
      <c r="X51" s="28">
        <f>+I51-'Total Retail'!I53</f>
        <v>-4111.3159319554825</v>
      </c>
      <c r="Y51" s="28">
        <f>+J51-'Total Retail'!J53</f>
        <v>-4101.2321333380642</v>
      </c>
      <c r="Z51" s="28">
        <f>+K51-'Total Retail'!K53</f>
        <v>-3671.9640558161395</v>
      </c>
      <c r="AA51" s="28">
        <f>+L51-'Total Retail'!L53</f>
        <v>-3309.1858580752782</v>
      </c>
      <c r="AB51" s="28">
        <f>+M51-'Total Retail'!M53</f>
        <v>-2764.8902606070042</v>
      </c>
    </row>
    <row r="52" spans="1:53">
      <c r="A52" s="13">
        <f>'Instant Old no Delete'!A54</f>
        <v>2020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P52" s="254">
        <f t="shared" si="0"/>
        <v>2020</v>
      </c>
      <c r="Q52" s="28">
        <f>+B52-'Total Retail'!B54</f>
        <v>-3538.0184087995299</v>
      </c>
      <c r="R52" s="28">
        <f>+C52-'Total Retail'!C54</f>
        <v>-3012.7755155672548</v>
      </c>
      <c r="S52" s="28">
        <f>+D52-'Total Retail'!D54</f>
        <v>-3574.1286325658348</v>
      </c>
      <c r="T52" s="28">
        <f>+E52-'Total Retail'!E54</f>
        <v>-3590.9296067156533</v>
      </c>
      <c r="U52" s="28">
        <f>+F52-'Total Retail'!F54</f>
        <v>-3902.7085589393323</v>
      </c>
      <c r="V52" s="28">
        <f>+G52-'Total Retail'!G54</f>
        <v>-4254.1136826465599</v>
      </c>
      <c r="W52" s="28">
        <f>+H52-'Total Retail'!H54</f>
        <v>-4142.6258612332085</v>
      </c>
      <c r="X52" s="28">
        <f>+I52-'Total Retail'!I54</f>
        <v>-4239.0126832233136</v>
      </c>
      <c r="Y52" s="28">
        <f>+J52-'Total Retail'!J54</f>
        <v>-4254.7406243046662</v>
      </c>
      <c r="Z52" s="28">
        <f>+K52-'Total Retail'!K54</f>
        <v>-3871.6084211084626</v>
      </c>
      <c r="AA52" s="28">
        <f>+L52-'Total Retail'!L54</f>
        <v>-3273.5241214207017</v>
      </c>
      <c r="AB52" s="28">
        <f>+M52-'Total Retail'!M54</f>
        <v>-3024.0386962181074</v>
      </c>
    </row>
    <row r="53" spans="1:53">
      <c r="A53" s="13">
        <f>'Instant Old no Delete'!A55</f>
        <v>2021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P53" s="254">
        <f t="shared" si="0"/>
        <v>2021</v>
      </c>
      <c r="Q53" s="28">
        <f>+B53-'Total Retail'!B55</f>
        <v>-2904.8538121877332</v>
      </c>
      <c r="R53" s="28">
        <f>+C53-'Total Retail'!C55</f>
        <v>-3415.1890153510153</v>
      </c>
      <c r="S53" s="28">
        <f>+D53-'Total Retail'!D55</f>
        <v>-3466.5357216664092</v>
      </c>
      <c r="T53" s="28">
        <f>+E53-'Total Retail'!E55</f>
        <v>-3635.6010791250001</v>
      </c>
      <c r="U53" s="28">
        <f>+F53-'Total Retail'!F55</f>
        <v>-4069.0894343320524</v>
      </c>
      <c r="V53" s="28">
        <f>+G53-'Total Retail'!G55</f>
        <v>-4057.0154358448362</v>
      </c>
      <c r="W53" s="28">
        <f>+H53-'Total Retail'!H55</f>
        <v>-4210.585566003957</v>
      </c>
      <c r="X53" s="28">
        <f>+I53-'Total Retail'!I55</f>
        <v>-4393.4364634362446</v>
      </c>
      <c r="Y53" s="28">
        <f>+J53-'Total Retail'!J55</f>
        <v>-3967.7984173092996</v>
      </c>
      <c r="Z53" s="28">
        <f>+K53-'Total Retail'!K55</f>
        <v>-3961.375726206034</v>
      </c>
      <c r="AA53" s="28">
        <f>+L53-'Total Retail'!L55</f>
        <v>-2924.3120710439798</v>
      </c>
      <c r="AB53" s="28">
        <f>+M53-'Total Retail'!M55</f>
        <v>-2940.7055255787918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>
      <c r="A54" s="13">
        <f>'Instant Old no Delete'!A56</f>
        <v>2022</v>
      </c>
      <c r="B54" s="202">
        <v>3735</v>
      </c>
      <c r="C54" s="202">
        <v>3042</v>
      </c>
      <c r="D54" s="202">
        <v>3242</v>
      </c>
      <c r="E54" s="202">
        <v>3571</v>
      </c>
      <c r="F54" s="202">
        <v>4006</v>
      </c>
      <c r="G54" s="202">
        <v>4385</v>
      </c>
      <c r="H54" s="202">
        <v>4355</v>
      </c>
      <c r="I54" s="202">
        <v>4378</v>
      </c>
      <c r="J54" s="202">
        <v>4225</v>
      </c>
      <c r="K54" s="202">
        <v>3624</v>
      </c>
      <c r="L54" s="202">
        <v>3666</v>
      </c>
      <c r="M54" s="202">
        <v>3526</v>
      </c>
      <c r="N54" s="202"/>
      <c r="P54" s="254">
        <f t="shared" si="0"/>
        <v>2022</v>
      </c>
      <c r="Q54" s="28">
        <f>+B54-'Total Retail'!B56</f>
        <v>0</v>
      </c>
      <c r="R54" s="28">
        <f>+C54-'Total Retail'!C56</f>
        <v>0</v>
      </c>
      <c r="S54" s="28">
        <f>+D54-'Total Retail'!D56</f>
        <v>0</v>
      </c>
      <c r="T54" s="28">
        <f>+E54-'Total Retail'!E56</f>
        <v>0</v>
      </c>
      <c r="U54" s="28">
        <f>+F54-'Total Retail'!F56</f>
        <v>0</v>
      </c>
      <c r="V54" s="28">
        <f>+G54-'Total Retail'!G56</f>
        <v>0</v>
      </c>
      <c r="W54" s="28">
        <f>+H54-'Total Retail'!H56</f>
        <v>0</v>
      </c>
      <c r="X54" s="28">
        <f>+I54-'Total Retail'!I56</f>
        <v>0</v>
      </c>
      <c r="Y54" s="28">
        <f>+J54-'Total Retail'!J56</f>
        <v>0</v>
      </c>
      <c r="Z54" s="28">
        <f>+K54-'Total Retail'!K56</f>
        <v>0</v>
      </c>
      <c r="AA54" s="28">
        <f>+L54-'Total Retail'!L56</f>
        <v>0</v>
      </c>
      <c r="AB54" s="28">
        <f>+M54-'Total Retail'!M56</f>
        <v>0</v>
      </c>
    </row>
    <row r="55" spans="1:53">
      <c r="A55" s="13">
        <f>'Instant Old no Delete'!A57</f>
        <v>2023</v>
      </c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7"/>
      <c r="P55" s="207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>
      <c r="A56" s="13"/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>
      <c r="A57" s="3"/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>
      <c r="A58" s="3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>
      <c r="A59" s="3"/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>
      <c r="A60" s="3"/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>
      <c r="A61" s="3"/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>
      <c r="A62" s="3"/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>
      <c r="A63" s="3"/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>
      <c r="A64" s="3"/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>
      <c r="A65" s="3"/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>
      <c r="A66" s="3"/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>
      <c r="A67" s="3"/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>
      <c r="A68" s="3"/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>
      <c r="A69" s="3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>
      <c r="A70" s="3"/>
      <c r="B70" s="202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>
      <c r="A71" s="3"/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>
      <c r="A72" s="3"/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199"/>
      <c r="P72" s="199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>
      <c r="A73" s="3"/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5"/>
      <c r="P73" s="5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>
      <c r="A74" s="3"/>
      <c r="B74" s="202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>
      <c r="A75" s="3"/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>
      <c r="A76" s="3"/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>
      <c r="A77" s="3"/>
      <c r="B77" s="202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>
      <c r="A78" s="3"/>
      <c r="B78" s="202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>
      <c r="A79" s="3"/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>
      <c r="A80" s="3"/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>
      <c r="A81" s="3"/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>
      <c r="A82" s="3"/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>
      <c r="A83" s="10"/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>
      <c r="A84" s="10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>
      <c r="A85" s="10"/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>
      <c r="A86" s="10"/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</row>
    <row r="87" spans="1:53">
      <c r="A87" s="10"/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</row>
    <row r="88" spans="1:53">
      <c r="A88" s="10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</row>
    <row r="89" spans="1:53">
      <c r="A89" s="10"/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</row>
    <row r="90" spans="1:53">
      <c r="A90" s="3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</row>
    <row r="91" spans="1:53"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</row>
    <row r="92" spans="1:53"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</row>
    <row r="93" spans="1:53"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</row>
    <row r="94" spans="1:53"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</row>
    <row r="95" spans="1:53"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</row>
    <row r="96" spans="1:53"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</row>
    <row r="97" spans="1:53"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</row>
    <row r="98" spans="1:53"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</row>
    <row r="99" spans="1:53"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</row>
    <row r="100" spans="1:53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</row>
    <row r="101" spans="1:53"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</row>
    <row r="102" spans="1:53"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</row>
    <row r="103" spans="1:53">
      <c r="A103" s="3"/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>
      <c r="B104" s="20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</row>
    <row r="105" spans="1:53">
      <c r="A105" s="3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7"/>
      <c r="P105" s="207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</row>
    <row r="107" spans="1:53"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</row>
    <row r="108" spans="1:53"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</row>
    <row r="109" spans="1:53"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</row>
    <row r="110" spans="1:53"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</row>
    <row r="111" spans="1:53"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</row>
    <row r="112" spans="1:53">
      <c r="B112" s="202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</row>
    <row r="113" spans="2:14"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</row>
    <row r="114" spans="2:14">
      <c r="B114" s="202"/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</row>
    <row r="115" spans="2:14"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</row>
    <row r="116" spans="2:14">
      <c r="B116" s="202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</row>
    <row r="117" spans="2:14"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</row>
    <row r="118" spans="2:14"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</row>
    <row r="119" spans="2:14">
      <c r="B119" s="202"/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</row>
    <row r="120" spans="2:14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</row>
    <row r="121" spans="2:14"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</row>
    <row r="122" spans="2:14"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</row>
    <row r="123" spans="2:14"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</row>
    <row r="124" spans="2:14">
      <c r="B124" s="202"/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</row>
    <row r="125" spans="2:14"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</row>
    <row r="126" spans="2:14">
      <c r="B126" s="20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</row>
    <row r="127" spans="2:14">
      <c r="B127" s="202"/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</row>
    <row r="128" spans="2:14">
      <c r="B128" s="202"/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</row>
    <row r="129" spans="1:53">
      <c r="B129" s="202"/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</row>
    <row r="130" spans="1:53">
      <c r="B130" s="202"/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</row>
    <row r="131" spans="1:53">
      <c r="B131" s="20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</row>
    <row r="132" spans="1:53">
      <c r="B132" s="202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</row>
    <row r="133" spans="1:53">
      <c r="A133" s="165"/>
      <c r="B133" s="202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>
      <c r="A134" s="165"/>
      <c r="B134" s="202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>
      <c r="A135" s="165"/>
      <c r="B135" s="202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>
      <c r="A136" s="165"/>
      <c r="B136" s="202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>
      <c r="A137" s="165"/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53">
      <c r="A138" s="165"/>
      <c r="B138" s="202"/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53">
      <c r="A139" s="165"/>
      <c r="B139" s="202"/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Q139" s="3"/>
      <c r="R139" s="3"/>
      <c r="S139" s="3"/>
      <c r="T139" s="3"/>
      <c r="U139" s="3"/>
    </row>
    <row r="140" spans="1:53">
      <c r="A140" s="165"/>
      <c r="B140" s="202"/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</row>
    <row r="141" spans="1:53">
      <c r="A141" s="165"/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</row>
    <row r="142" spans="1:53">
      <c r="A142" s="165"/>
      <c r="B142" s="202"/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</row>
    <row r="143" spans="1:53">
      <c r="A143" s="165"/>
      <c r="B143" s="202"/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</row>
    <row r="144" spans="1:53">
      <c r="A144" s="29"/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</row>
    <row r="145" spans="1:53">
      <c r="A145" s="3"/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2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>
      <c r="A146" s="3"/>
      <c r="B146" s="210"/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02"/>
      <c r="P146" s="211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>
      <c r="A147" s="3"/>
      <c r="B147" s="210"/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02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>
      <c r="B148" s="202"/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</row>
    <row r="149" spans="1:53">
      <c r="A149" s="3"/>
      <c r="B149" s="202"/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>
      <c r="B150" s="202"/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</row>
    <row r="151" spans="1:53">
      <c r="B151" s="202"/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</row>
    <row r="152" spans="1:53">
      <c r="B152" s="202"/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</row>
    <row r="153" spans="1:53">
      <c r="B153" s="202"/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</row>
    <row r="154" spans="1:53">
      <c r="B154" s="202"/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</row>
    <row r="155" spans="1:53">
      <c r="B155" s="202"/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</row>
    <row r="156" spans="1:53">
      <c r="B156" s="212"/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</row>
    <row r="157" spans="1:53">
      <c r="B157" s="212"/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</row>
    <row r="158" spans="1:53">
      <c r="B158" s="202"/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</row>
    <row r="159" spans="1:53">
      <c r="B159" s="212"/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</row>
    <row r="160" spans="1:53">
      <c r="B160" s="202"/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</row>
    <row r="161" spans="1:53">
      <c r="A161" s="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Q161" s="3"/>
      <c r="R161" s="3"/>
      <c r="S161" s="3"/>
      <c r="T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</row>
    <row r="163" spans="1:53">
      <c r="A163" s="3"/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2"/>
      <c r="Q163" s="3"/>
      <c r="R163" s="3"/>
      <c r="S163" s="3"/>
      <c r="T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>
      <c r="A164" s="3"/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02"/>
      <c r="Q164" s="41"/>
      <c r="R164" s="3"/>
      <c r="S164" s="3"/>
      <c r="T164" s="41"/>
      <c r="V164" s="3"/>
      <c r="W164" s="36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>
      <c r="A165" s="3"/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02"/>
      <c r="Q165" s="41"/>
      <c r="R165" s="3"/>
      <c r="S165" s="3"/>
      <c r="T165" s="41"/>
      <c r="V165" s="3"/>
      <c r="W165" s="36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>
      <c r="A166" s="3"/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02"/>
      <c r="Q166" s="36"/>
      <c r="R166" s="3"/>
      <c r="S166" s="3"/>
      <c r="T166" s="36"/>
      <c r="V166" s="3"/>
      <c r="W166" s="36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>
      <c r="A167" s="3"/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02"/>
      <c r="Q167" s="36"/>
      <c r="R167" s="3"/>
      <c r="S167" s="3"/>
      <c r="T167" s="41"/>
      <c r="V167" s="3"/>
      <c r="W167" s="36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>
      <c r="A168" s="3"/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02"/>
      <c r="Q168" s="41"/>
      <c r="R168" s="3"/>
      <c r="S168" s="3"/>
      <c r="T168" s="41"/>
      <c r="V168" s="3"/>
      <c r="W168" s="36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>
      <c r="A169" s="3"/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02"/>
      <c r="Q169" s="41"/>
      <c r="R169" s="3"/>
      <c r="S169" s="3"/>
      <c r="T169" s="36"/>
      <c r="V169" s="3"/>
      <c r="W169" s="36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>
      <c r="A170" s="3"/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02"/>
      <c r="Q170" s="36"/>
      <c r="R170" s="3"/>
      <c r="S170" s="3"/>
      <c r="T170" s="36"/>
      <c r="V170" s="3"/>
      <c r="W170" s="36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>
      <c r="A171" s="3"/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02"/>
      <c r="Q171" s="41"/>
      <c r="R171" s="3"/>
      <c r="S171" s="3"/>
      <c r="T171" s="36"/>
      <c r="V171" s="3"/>
      <c r="W171" s="36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>
      <c r="A172" s="3"/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02"/>
      <c r="Q172" s="36"/>
      <c r="R172" s="3"/>
      <c r="S172" s="3"/>
      <c r="T172" s="36"/>
      <c r="V172" s="3"/>
      <c r="W172" s="36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>
      <c r="A173" s="3"/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02"/>
      <c r="Q173" s="41"/>
      <c r="R173" s="3"/>
      <c r="S173" s="3"/>
      <c r="T173" s="36"/>
      <c r="V173" s="3"/>
      <c r="W173" s="36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>
      <c r="A174" s="3"/>
      <c r="B174" s="213"/>
      <c r="C174" s="213"/>
      <c r="D174" s="213"/>
      <c r="E174" s="213"/>
      <c r="F174" s="213"/>
      <c r="G174" s="213"/>
      <c r="H174" s="213"/>
      <c r="I174" s="213"/>
      <c r="J174" s="213"/>
      <c r="K174" s="213"/>
      <c r="L174" s="213"/>
      <c r="M174" s="213"/>
      <c r="N174" s="202"/>
      <c r="Q174" s="36"/>
      <c r="R174" s="3"/>
      <c r="S174" s="3"/>
      <c r="T174" s="36"/>
      <c r="V174" s="3"/>
      <c r="W174" s="36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>
      <c r="A175" s="3"/>
      <c r="B175" s="213"/>
      <c r="C175" s="213"/>
      <c r="D175" s="213"/>
      <c r="E175" s="213"/>
      <c r="F175" s="213"/>
      <c r="G175" s="213"/>
      <c r="H175" s="213"/>
      <c r="I175" s="213"/>
      <c r="J175" s="213"/>
      <c r="K175" s="213"/>
      <c r="L175" s="213"/>
      <c r="M175" s="213"/>
      <c r="N175" s="202"/>
      <c r="Q175" s="36"/>
      <c r="R175" s="3"/>
      <c r="S175" s="3"/>
      <c r="T175" s="36"/>
      <c r="V175" s="3"/>
      <c r="W175" s="36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>
      <c r="A176" s="3"/>
      <c r="B176" s="213"/>
      <c r="C176" s="213"/>
      <c r="D176" s="213"/>
      <c r="E176" s="213"/>
      <c r="F176" s="213"/>
      <c r="G176" s="213"/>
      <c r="H176" s="213"/>
      <c r="I176" s="213"/>
      <c r="J176" s="213"/>
      <c r="K176" s="213"/>
      <c r="L176" s="213"/>
      <c r="M176" s="213"/>
      <c r="N176" s="202"/>
      <c r="Q176" s="41"/>
      <c r="R176" s="3"/>
      <c r="S176" s="3"/>
      <c r="T176" s="36"/>
      <c r="V176" s="3"/>
      <c r="W176" s="36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>
      <c r="A177" s="3"/>
      <c r="B177" s="213"/>
      <c r="C177" s="213"/>
      <c r="D177" s="213"/>
      <c r="E177" s="213"/>
      <c r="F177" s="213"/>
      <c r="G177" s="213"/>
      <c r="H177" s="213"/>
      <c r="I177" s="213"/>
      <c r="J177" s="213"/>
      <c r="K177" s="213"/>
      <c r="L177" s="213"/>
      <c r="M177" s="213"/>
      <c r="N177" s="202"/>
      <c r="Q177" s="41"/>
      <c r="R177" s="3"/>
      <c r="S177" s="3"/>
      <c r="T177" s="36"/>
      <c r="V177" s="3"/>
      <c r="W177" s="41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>
      <c r="A178" s="3"/>
      <c r="B178" s="213"/>
      <c r="C178" s="213"/>
      <c r="D178" s="213"/>
      <c r="E178" s="213"/>
      <c r="F178" s="213"/>
      <c r="G178" s="213"/>
      <c r="H178" s="213"/>
      <c r="I178" s="213"/>
      <c r="J178" s="213"/>
      <c r="K178" s="213"/>
      <c r="L178" s="213"/>
      <c r="M178" s="213"/>
      <c r="N178" s="202"/>
      <c r="Q178" s="41"/>
      <c r="R178" s="3"/>
      <c r="S178" s="3"/>
      <c r="T178" s="36"/>
      <c r="V178" s="3"/>
      <c r="W178" s="36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>
      <c r="A179" s="3"/>
      <c r="B179" s="213"/>
      <c r="C179" s="213"/>
      <c r="D179" s="213"/>
      <c r="E179" s="213"/>
      <c r="F179" s="213"/>
      <c r="G179" s="213"/>
      <c r="H179" s="213"/>
      <c r="I179" s="213"/>
      <c r="J179" s="213"/>
      <c r="K179" s="213"/>
      <c r="L179" s="213"/>
      <c r="M179" s="213"/>
      <c r="N179" s="202"/>
      <c r="Q179" s="41"/>
      <c r="R179" s="3"/>
      <c r="S179" s="3"/>
      <c r="T179" s="36"/>
      <c r="V179" s="3"/>
      <c r="W179" s="36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>
      <c r="A180" s="3"/>
      <c r="B180" s="213"/>
      <c r="C180" s="213"/>
      <c r="D180" s="213"/>
      <c r="E180" s="213"/>
      <c r="F180" s="213"/>
      <c r="G180" s="213"/>
      <c r="H180" s="213"/>
      <c r="I180" s="213"/>
      <c r="J180" s="213"/>
      <c r="K180" s="213"/>
      <c r="L180" s="213"/>
      <c r="M180" s="213"/>
      <c r="N180" s="202"/>
      <c r="Q180" s="41"/>
      <c r="R180" s="3"/>
      <c r="S180" s="3"/>
      <c r="T180" s="36"/>
      <c r="V180" s="3"/>
      <c r="W180" s="36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>
      <c r="A181" s="3"/>
      <c r="B181" s="213"/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  <c r="M181" s="213"/>
      <c r="N181" s="202"/>
      <c r="Q181" s="41"/>
      <c r="R181" s="3"/>
      <c r="S181" s="3"/>
      <c r="T181" s="41"/>
      <c r="V181" s="3"/>
      <c r="W181" s="36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>
      <c r="A182" s="3"/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  <c r="M182" s="213"/>
      <c r="N182" s="202"/>
      <c r="Q182" s="36"/>
      <c r="R182" s="3"/>
      <c r="S182" s="3"/>
      <c r="T182" s="36"/>
      <c r="V182" s="3"/>
      <c r="W182" s="36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>
      <c r="A183" s="3"/>
      <c r="B183" s="213"/>
      <c r="C183" s="213"/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02"/>
      <c r="Q183" s="41"/>
      <c r="R183" s="3"/>
      <c r="S183" s="3"/>
      <c r="T183" s="36"/>
      <c r="V183" s="3"/>
      <c r="W183" s="36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>
      <c r="A184" s="3"/>
      <c r="B184" s="213"/>
      <c r="C184" s="213"/>
      <c r="D184" s="213"/>
      <c r="E184" s="213"/>
      <c r="F184" s="213"/>
      <c r="G184" s="213"/>
      <c r="H184" s="213"/>
      <c r="I184" s="213"/>
      <c r="J184" s="213"/>
      <c r="K184" s="213"/>
      <c r="L184" s="213"/>
      <c r="M184" s="213"/>
      <c r="N184" s="202"/>
      <c r="Q184" s="41"/>
      <c r="R184" s="3"/>
      <c r="S184" s="3"/>
      <c r="T184" s="36"/>
      <c r="V184" s="3"/>
      <c r="W184" s="36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>
      <c r="A185" s="3"/>
      <c r="B185" s="213"/>
      <c r="C185" s="213"/>
      <c r="D185" s="213"/>
      <c r="E185" s="213"/>
      <c r="F185" s="213"/>
      <c r="G185" s="213"/>
      <c r="H185" s="213"/>
      <c r="I185" s="213"/>
      <c r="J185" s="213"/>
      <c r="K185" s="213"/>
      <c r="L185" s="213"/>
      <c r="M185" s="213"/>
      <c r="N185" s="202"/>
      <c r="Q185" s="41"/>
      <c r="R185" s="3"/>
      <c r="S185" s="3"/>
      <c r="T185" s="41"/>
      <c r="V185" s="3"/>
      <c r="W185" s="41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>
      <c r="A186" s="3"/>
      <c r="B186" s="213"/>
      <c r="C186" s="213"/>
      <c r="D186" s="213"/>
      <c r="E186" s="213"/>
      <c r="F186" s="213"/>
      <c r="G186" s="213"/>
      <c r="H186" s="213"/>
      <c r="I186" s="213"/>
      <c r="J186" s="213"/>
      <c r="K186" s="213"/>
      <c r="L186" s="213"/>
      <c r="M186" s="213"/>
      <c r="N186" s="202"/>
      <c r="Q186" s="41"/>
      <c r="R186" s="3"/>
      <c r="S186" s="3"/>
      <c r="T186" s="36"/>
      <c r="V186" s="3"/>
      <c r="W186" s="36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>
      <c r="A187" s="3"/>
      <c r="B187" s="213"/>
      <c r="C187" s="213"/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02"/>
      <c r="Q187" s="41"/>
      <c r="R187" s="3"/>
      <c r="S187" s="3"/>
      <c r="T187" s="36"/>
      <c r="V187" s="3"/>
      <c r="W187" s="36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L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>
      <c r="A188" s="3"/>
      <c r="B188" s="213"/>
      <c r="C188" s="213"/>
      <c r="D188" s="213"/>
      <c r="E188" s="213"/>
      <c r="F188" s="213"/>
      <c r="G188" s="213"/>
      <c r="H188" s="213"/>
      <c r="I188" s="213"/>
      <c r="J188" s="213"/>
      <c r="K188" s="213"/>
      <c r="L188" s="213"/>
      <c r="M188" s="213"/>
      <c r="N188" s="202"/>
      <c r="Q188" s="38"/>
      <c r="R188" s="3"/>
      <c r="S188" s="3"/>
      <c r="T188" s="41"/>
      <c r="V188" s="3"/>
      <c r="W188" s="36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L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>
      <c r="A189" s="3"/>
      <c r="B189" s="213"/>
      <c r="C189" s="213"/>
      <c r="D189" s="213"/>
      <c r="E189" s="213"/>
      <c r="F189" s="213"/>
      <c r="G189" s="213"/>
      <c r="H189" s="213"/>
      <c r="I189" s="213"/>
      <c r="J189" s="213"/>
      <c r="K189" s="213"/>
      <c r="L189" s="213"/>
      <c r="M189" s="213"/>
      <c r="N189" s="202"/>
      <c r="Q189" s="41"/>
      <c r="R189" s="3"/>
      <c r="S189" s="3"/>
      <c r="T189" s="36"/>
      <c r="V189" s="3"/>
      <c r="W189" s="36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L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>
      <c r="A190" s="3"/>
      <c r="B190" s="213"/>
      <c r="C190" s="213"/>
      <c r="D190" s="213"/>
      <c r="E190" s="213"/>
      <c r="F190" s="213"/>
      <c r="G190" s="213"/>
      <c r="H190" s="213"/>
      <c r="I190" s="213"/>
      <c r="J190" s="213"/>
      <c r="K190" s="213"/>
      <c r="L190" s="213"/>
      <c r="M190" s="213"/>
      <c r="N190" s="202"/>
      <c r="Q190" s="41"/>
      <c r="R190" s="3"/>
      <c r="S190" s="3"/>
      <c r="T190" s="36"/>
      <c r="V190" s="3"/>
      <c r="W190" s="38"/>
      <c r="X190" s="3"/>
      <c r="Y190" s="3"/>
      <c r="Z190" s="3"/>
      <c r="AA190" s="3"/>
      <c r="AB190" s="3"/>
      <c r="AC190" s="3"/>
      <c r="AD190" s="3"/>
      <c r="AE190" s="3"/>
      <c r="AF190" s="36"/>
      <c r="AG190" s="3"/>
      <c r="AH190" s="3"/>
      <c r="AI190" s="3"/>
      <c r="AJ190" s="3"/>
      <c r="AL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>
      <c r="A191" s="10"/>
      <c r="B191" s="213"/>
      <c r="C191" s="213"/>
      <c r="D191" s="213"/>
      <c r="E191" s="213"/>
      <c r="F191" s="213"/>
      <c r="G191" s="213"/>
      <c r="H191" s="213"/>
      <c r="I191" s="213"/>
      <c r="J191" s="213"/>
      <c r="K191" s="213"/>
      <c r="L191" s="213"/>
      <c r="M191" s="213"/>
      <c r="N191" s="202"/>
      <c r="Q191" s="36"/>
      <c r="R191" s="3"/>
      <c r="S191" s="3"/>
      <c r="T191" s="41"/>
      <c r="V191" s="3"/>
      <c r="W191" s="36"/>
      <c r="X191" s="3"/>
      <c r="Y191" s="3"/>
      <c r="Z191" s="3"/>
      <c r="AA191" s="3"/>
      <c r="AB191" s="3"/>
      <c r="AC191" s="3"/>
      <c r="AD191" s="3"/>
      <c r="AE191" s="3"/>
      <c r="AF191" s="36"/>
      <c r="AG191" s="3"/>
      <c r="AH191" s="3"/>
      <c r="AI191" s="3"/>
      <c r="AJ191" s="3"/>
      <c r="AL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>
      <c r="A192" s="10"/>
      <c r="B192" s="213"/>
      <c r="C192" s="213"/>
      <c r="D192" s="213"/>
      <c r="E192" s="213"/>
      <c r="F192" s="213"/>
      <c r="G192" s="213"/>
      <c r="H192" s="213"/>
      <c r="I192" s="213"/>
      <c r="J192" s="213"/>
      <c r="K192" s="213"/>
      <c r="L192" s="213"/>
      <c r="M192" s="213"/>
      <c r="N192" s="202"/>
      <c r="Q192" s="41"/>
      <c r="R192" s="3"/>
      <c r="S192" s="3"/>
      <c r="T192" s="41"/>
      <c r="V192" s="3"/>
      <c r="W192" s="41"/>
      <c r="X192" s="3"/>
      <c r="Y192" s="3"/>
      <c r="Z192" s="3"/>
      <c r="AA192" s="3"/>
      <c r="AB192" s="3"/>
      <c r="AC192" s="3"/>
      <c r="AD192" s="3"/>
      <c r="AE192" s="3"/>
      <c r="AF192" s="36"/>
      <c r="AG192" s="3"/>
      <c r="AH192" s="3"/>
      <c r="AI192" s="3"/>
      <c r="AJ192" s="3"/>
      <c r="AL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>
      <c r="A193" s="10"/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13"/>
      <c r="N193" s="202"/>
      <c r="Q193" s="41"/>
      <c r="R193" s="3"/>
      <c r="S193" s="3"/>
      <c r="T193" s="3"/>
      <c r="V193" s="3"/>
      <c r="W193" s="36"/>
      <c r="X193" s="3"/>
      <c r="Y193" s="3"/>
      <c r="Z193" s="3"/>
      <c r="AA193" s="3"/>
      <c r="AB193" s="3"/>
      <c r="AC193" s="3"/>
      <c r="AD193" s="3"/>
      <c r="AE193" s="3"/>
      <c r="AF193" s="36"/>
      <c r="AG193" s="3"/>
      <c r="AH193" s="3"/>
      <c r="AI193" s="3"/>
      <c r="AJ193" s="3"/>
      <c r="AK193" s="3"/>
      <c r="AL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>
      <c r="A194" s="10"/>
      <c r="B194" s="214"/>
      <c r="C194" s="214"/>
      <c r="D194" s="213"/>
      <c r="E194" s="213"/>
      <c r="F194" s="213"/>
      <c r="G194" s="213"/>
      <c r="H194" s="213"/>
      <c r="I194" s="213"/>
      <c r="J194" s="213"/>
      <c r="K194" s="213"/>
      <c r="L194" s="213"/>
      <c r="M194" s="213"/>
      <c r="N194" s="202"/>
      <c r="Q194" s="3"/>
      <c r="R194" s="3"/>
      <c r="S194" s="3"/>
      <c r="T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>
      <c r="A195" s="10"/>
      <c r="B195" s="214"/>
      <c r="C195" s="214"/>
      <c r="D195" s="213"/>
      <c r="E195" s="213"/>
      <c r="F195" s="213"/>
      <c r="G195" s="213"/>
      <c r="H195" s="213"/>
      <c r="I195" s="213"/>
      <c r="J195" s="213"/>
      <c r="K195" s="213"/>
      <c r="L195" s="213"/>
      <c r="M195" s="213"/>
      <c r="N195" s="202"/>
      <c r="Q195" s="3"/>
      <c r="R195" s="3"/>
      <c r="S195" s="3"/>
      <c r="T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>
      <c r="A196" s="10"/>
      <c r="B196" s="214"/>
      <c r="C196" s="214"/>
      <c r="D196" s="214"/>
      <c r="E196" s="213"/>
      <c r="F196" s="213"/>
      <c r="G196" s="213"/>
      <c r="H196" s="213"/>
      <c r="I196" s="213"/>
      <c r="J196" s="213"/>
      <c r="K196" s="213"/>
      <c r="L196" s="213"/>
      <c r="M196" s="213"/>
      <c r="N196" s="202"/>
      <c r="AA196" s="3"/>
      <c r="AB196" s="3"/>
    </row>
    <row r="197" spans="1:53">
      <c r="A197" s="10"/>
      <c r="B197" s="214"/>
      <c r="C197" s="214"/>
      <c r="D197" s="213"/>
      <c r="E197" s="213"/>
      <c r="F197" s="213"/>
      <c r="G197" s="213"/>
      <c r="H197" s="215"/>
      <c r="I197" s="215"/>
      <c r="J197" s="215"/>
      <c r="K197" s="215"/>
      <c r="L197" s="215"/>
      <c r="M197" s="215"/>
      <c r="N197" s="202"/>
      <c r="AA197" s="3"/>
      <c r="AB197" s="3"/>
    </row>
    <row r="198" spans="1:53">
      <c r="A198" s="10"/>
      <c r="B198" s="214"/>
      <c r="C198" s="214"/>
      <c r="D198" s="214"/>
      <c r="E198" s="213"/>
      <c r="F198" s="215"/>
      <c r="G198" s="215"/>
      <c r="H198" s="215"/>
      <c r="I198" s="215"/>
      <c r="J198" s="215"/>
      <c r="K198" s="215"/>
      <c r="L198" s="215"/>
      <c r="M198" s="215"/>
      <c r="N198" s="202"/>
      <c r="AA198" s="3"/>
      <c r="AB198" s="3"/>
    </row>
    <row r="199" spans="1:53">
      <c r="A199" s="10"/>
      <c r="B199" s="202"/>
      <c r="C199" s="202"/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02"/>
      <c r="AA199" s="3"/>
      <c r="AB199" s="3"/>
    </row>
    <row r="200" spans="1:53" ht="15.75">
      <c r="A200" s="42"/>
      <c r="B200" s="209"/>
      <c r="C200" s="209"/>
      <c r="D200" s="209"/>
      <c r="E200" s="209"/>
      <c r="F200" s="209"/>
      <c r="G200" s="209"/>
      <c r="H200" s="209"/>
      <c r="I200" s="209"/>
      <c r="J200" s="209"/>
      <c r="K200" s="209"/>
      <c r="L200" s="209"/>
      <c r="M200" s="209"/>
      <c r="N200" s="202"/>
      <c r="P200" s="43"/>
      <c r="Q200" s="43"/>
      <c r="R200" s="3"/>
      <c r="S200" s="43"/>
      <c r="T200" s="43"/>
      <c r="U200" s="3"/>
      <c r="V200" s="43"/>
      <c r="W200" s="4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>
      <c r="A201" s="42"/>
      <c r="B201" s="209"/>
      <c r="C201" s="209"/>
      <c r="D201" s="209"/>
      <c r="E201" s="209"/>
      <c r="F201" s="209"/>
      <c r="G201" s="209"/>
      <c r="H201" s="209"/>
      <c r="I201" s="209"/>
      <c r="J201" s="209"/>
      <c r="K201" s="209"/>
      <c r="L201" s="209"/>
      <c r="M201" s="209"/>
      <c r="N201" s="202"/>
      <c r="P201" s="191"/>
      <c r="Q201" s="191"/>
      <c r="R201" s="3"/>
      <c r="S201" s="191"/>
      <c r="T201" s="191"/>
      <c r="U201" s="191"/>
      <c r="V201" s="191"/>
      <c r="W201" s="191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>
      <c r="A202" s="42"/>
      <c r="B202" s="209"/>
      <c r="C202" s="209"/>
      <c r="D202" s="209"/>
      <c r="E202" s="209"/>
      <c r="F202" s="209"/>
      <c r="G202" s="209"/>
      <c r="H202" s="209"/>
      <c r="I202" s="209"/>
      <c r="J202" s="209"/>
      <c r="K202" s="209"/>
      <c r="L202" s="209"/>
      <c r="M202" s="209"/>
      <c r="N202" s="202"/>
      <c r="P202" s="43"/>
      <c r="Q202" s="43"/>
      <c r="R202" s="3"/>
      <c r="S202" s="43"/>
      <c r="T202" s="192"/>
      <c r="U202" s="3"/>
      <c r="V202" s="43"/>
      <c r="W202" s="192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>
      <c r="A203" s="3"/>
      <c r="B203" s="209"/>
      <c r="C203" s="209"/>
      <c r="D203" s="209"/>
      <c r="E203" s="209"/>
      <c r="F203" s="209"/>
      <c r="G203" s="209"/>
      <c r="H203" s="209"/>
      <c r="I203" s="209"/>
      <c r="J203" s="209"/>
      <c r="K203" s="209"/>
      <c r="L203" s="209"/>
      <c r="M203" s="209"/>
      <c r="N203" s="202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>
      <c r="A204" s="3"/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02"/>
      <c r="P204" s="217"/>
      <c r="Q204" s="193"/>
      <c r="R204" s="193"/>
      <c r="S204" s="193"/>
      <c r="T204" s="19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>
      <c r="A205" s="3"/>
      <c r="B205" s="216"/>
      <c r="C205" s="216"/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02"/>
      <c r="P205" s="217"/>
      <c r="Q205" s="193"/>
      <c r="R205" s="193"/>
      <c r="S205" s="193"/>
      <c r="T205" s="19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>
      <c r="B206" s="202"/>
      <c r="C206" s="202"/>
      <c r="D206" s="20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</row>
    <row r="207" spans="1:53">
      <c r="B207" s="202"/>
      <c r="C207" s="202"/>
      <c r="D207" s="20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</row>
    <row r="208" spans="1:53">
      <c r="B208" s="202"/>
      <c r="C208" s="202"/>
      <c r="D208" s="20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</row>
    <row r="209" spans="1:53">
      <c r="B209" s="202"/>
      <c r="C209" s="202"/>
      <c r="D209" s="20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</row>
    <row r="210" spans="1:53">
      <c r="B210" s="202"/>
      <c r="C210" s="202"/>
      <c r="D210" s="20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</row>
    <row r="211" spans="1:53">
      <c r="B211" s="202"/>
      <c r="C211" s="202"/>
      <c r="D211" s="20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</row>
    <row r="212" spans="1:53">
      <c r="B212" s="202"/>
      <c r="C212" s="202"/>
      <c r="D212" s="202"/>
      <c r="E212" s="202"/>
      <c r="F212" s="202"/>
      <c r="G212" s="202"/>
      <c r="H212" s="202"/>
      <c r="I212" s="202"/>
      <c r="J212" s="202"/>
      <c r="K212" s="202"/>
      <c r="L212" s="202"/>
      <c r="M212" s="202"/>
      <c r="N212" s="202"/>
    </row>
    <row r="213" spans="1:53">
      <c r="B213" s="202"/>
      <c r="C213" s="202"/>
      <c r="D213" s="202"/>
      <c r="E213" s="202"/>
      <c r="F213" s="202"/>
      <c r="G213" s="202"/>
      <c r="H213" s="202"/>
      <c r="I213" s="202"/>
      <c r="J213" s="202"/>
      <c r="K213" s="202"/>
      <c r="L213" s="202"/>
      <c r="M213" s="202"/>
      <c r="N213" s="202"/>
    </row>
    <row r="214" spans="1:53">
      <c r="B214" s="202"/>
      <c r="C214" s="202"/>
      <c r="D214" s="202"/>
      <c r="E214" s="202"/>
      <c r="F214" s="202"/>
      <c r="G214" s="202"/>
      <c r="H214" s="202"/>
      <c r="I214" s="202"/>
      <c r="J214" s="202"/>
      <c r="K214" s="202"/>
      <c r="L214" s="202"/>
      <c r="M214" s="202"/>
      <c r="N214" s="202"/>
    </row>
    <row r="215" spans="1:53">
      <c r="B215" s="202"/>
      <c r="C215" s="202"/>
      <c r="D215" s="202"/>
      <c r="E215" s="202"/>
      <c r="F215" s="202"/>
      <c r="G215" s="202"/>
      <c r="H215" s="202"/>
      <c r="I215" s="202"/>
      <c r="J215" s="202"/>
      <c r="K215" s="202"/>
      <c r="L215" s="202"/>
      <c r="M215" s="202"/>
      <c r="N215" s="202"/>
    </row>
    <row r="216" spans="1:53">
      <c r="B216" s="202"/>
      <c r="C216" s="202"/>
      <c r="D216" s="202"/>
      <c r="E216" s="202"/>
      <c r="F216" s="202"/>
      <c r="G216" s="202"/>
      <c r="H216" s="202"/>
      <c r="I216" s="202"/>
      <c r="J216" s="202"/>
      <c r="K216" s="202"/>
      <c r="L216" s="202"/>
      <c r="M216" s="202"/>
      <c r="N216" s="202"/>
    </row>
    <row r="217" spans="1:53">
      <c r="B217" s="202"/>
      <c r="C217" s="202"/>
      <c r="D217" s="202"/>
      <c r="E217" s="202"/>
      <c r="F217" s="202"/>
      <c r="G217" s="202"/>
      <c r="H217" s="202"/>
      <c r="I217" s="202"/>
      <c r="J217" s="202"/>
      <c r="K217" s="202"/>
      <c r="L217" s="202"/>
      <c r="M217" s="202"/>
      <c r="N217" s="202"/>
    </row>
    <row r="218" spans="1:53">
      <c r="A218" s="3"/>
      <c r="B218" s="202"/>
      <c r="C218" s="202"/>
      <c r="D218" s="202"/>
      <c r="E218" s="202"/>
      <c r="F218" s="202"/>
      <c r="G218" s="202"/>
      <c r="H218" s="202"/>
      <c r="I218" s="202"/>
      <c r="J218" s="202"/>
      <c r="K218" s="202"/>
      <c r="L218" s="202"/>
      <c r="M218" s="202"/>
      <c r="N218" s="202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>
      <c r="B219" s="202"/>
      <c r="C219" s="202"/>
      <c r="D219" s="202"/>
      <c r="E219" s="202"/>
      <c r="F219" s="202"/>
      <c r="G219" s="202"/>
      <c r="H219" s="202"/>
      <c r="I219" s="202"/>
      <c r="J219" s="202"/>
      <c r="K219" s="202"/>
      <c r="L219" s="202"/>
      <c r="M219" s="202"/>
      <c r="N219" s="202"/>
    </row>
    <row r="220" spans="1:53">
      <c r="A220" s="3"/>
      <c r="B220" s="206"/>
      <c r="C220" s="206"/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2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>
      <c r="A221" s="3"/>
      <c r="B221" s="213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02"/>
      <c r="Q221" s="41"/>
      <c r="R221" s="3"/>
      <c r="S221" s="3"/>
      <c r="T221" s="41"/>
      <c r="V221" s="3"/>
      <c r="W221" s="36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>
      <c r="A222" s="3"/>
      <c r="B222" s="213"/>
      <c r="C222" s="213"/>
      <c r="D222" s="213"/>
      <c r="E222" s="213"/>
      <c r="F222" s="213"/>
      <c r="G222" s="213"/>
      <c r="H222" s="213"/>
      <c r="I222" s="213"/>
      <c r="J222" s="213"/>
      <c r="K222" s="213"/>
      <c r="L222" s="213"/>
      <c r="M222" s="213"/>
      <c r="N222" s="202"/>
      <c r="Q222" s="41"/>
      <c r="R222" s="3"/>
      <c r="S222" s="3"/>
      <c r="T222" s="41"/>
      <c r="V222" s="3"/>
      <c r="W222" s="36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>
      <c r="A223" s="3"/>
      <c r="B223" s="213"/>
      <c r="C223" s="213"/>
      <c r="D223" s="213"/>
      <c r="E223" s="213"/>
      <c r="F223" s="213"/>
      <c r="G223" s="213"/>
      <c r="H223" s="213"/>
      <c r="I223" s="213"/>
      <c r="J223" s="213"/>
      <c r="K223" s="213"/>
      <c r="L223" s="213"/>
      <c r="M223" s="213"/>
      <c r="N223" s="202"/>
      <c r="Q223" s="36"/>
      <c r="R223" s="3"/>
      <c r="S223" s="3"/>
      <c r="T223" s="36"/>
      <c r="V223" s="3"/>
      <c r="W223" s="36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>
      <c r="A224" s="3"/>
      <c r="B224" s="213"/>
      <c r="C224" s="213"/>
      <c r="D224" s="213"/>
      <c r="E224" s="213"/>
      <c r="F224" s="213"/>
      <c r="G224" s="213"/>
      <c r="H224" s="213"/>
      <c r="I224" s="213"/>
      <c r="J224" s="213"/>
      <c r="K224" s="213"/>
      <c r="L224" s="213"/>
      <c r="M224" s="213"/>
      <c r="N224" s="202"/>
      <c r="Q224" s="36"/>
      <c r="R224" s="3"/>
      <c r="S224" s="3"/>
      <c r="T224" s="41"/>
      <c r="V224" s="3"/>
      <c r="W224" s="36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>
      <c r="A225" s="3"/>
      <c r="B225" s="213"/>
      <c r="C225" s="213"/>
      <c r="D225" s="213"/>
      <c r="E225" s="213"/>
      <c r="F225" s="213"/>
      <c r="G225" s="213"/>
      <c r="H225" s="213"/>
      <c r="I225" s="213"/>
      <c r="J225" s="213"/>
      <c r="K225" s="213"/>
      <c r="L225" s="213"/>
      <c r="M225" s="213"/>
      <c r="N225" s="202"/>
      <c r="Q225" s="41"/>
      <c r="R225" s="3"/>
      <c r="S225" s="3"/>
      <c r="T225" s="41"/>
      <c r="V225" s="3"/>
      <c r="W225" s="36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>
      <c r="A226" s="3"/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3"/>
      <c r="M226" s="213"/>
      <c r="N226" s="202"/>
      <c r="Q226" s="41"/>
      <c r="R226" s="3"/>
      <c r="S226" s="3"/>
      <c r="T226" s="36"/>
      <c r="V226" s="3"/>
      <c r="W226" s="36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>
      <c r="A227" s="3"/>
      <c r="B227" s="213"/>
      <c r="C227" s="213"/>
      <c r="D227" s="213"/>
      <c r="E227" s="213"/>
      <c r="F227" s="213"/>
      <c r="G227" s="213"/>
      <c r="H227" s="213"/>
      <c r="I227" s="213"/>
      <c r="J227" s="213"/>
      <c r="K227" s="213"/>
      <c r="L227" s="213"/>
      <c r="M227" s="213"/>
      <c r="N227" s="202"/>
      <c r="Q227" s="36"/>
      <c r="R227" s="3"/>
      <c r="S227" s="3"/>
      <c r="T227" s="36"/>
      <c r="V227" s="3"/>
      <c r="W227" s="36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>
      <c r="A228" s="3"/>
      <c r="B228" s="213"/>
      <c r="C228" s="213"/>
      <c r="D228" s="213"/>
      <c r="E228" s="213"/>
      <c r="F228" s="213"/>
      <c r="G228" s="213"/>
      <c r="H228" s="213"/>
      <c r="I228" s="213"/>
      <c r="J228" s="213"/>
      <c r="K228" s="213"/>
      <c r="L228" s="213"/>
      <c r="M228" s="213"/>
      <c r="N228" s="202"/>
      <c r="Q228" s="41"/>
      <c r="R228" s="3"/>
      <c r="S228" s="3"/>
      <c r="T228" s="36"/>
      <c r="V228" s="3"/>
      <c r="W228" s="36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>
      <c r="A229" s="3"/>
      <c r="B229" s="213"/>
      <c r="C229" s="213"/>
      <c r="D229" s="213"/>
      <c r="E229" s="213"/>
      <c r="F229" s="213"/>
      <c r="G229" s="213"/>
      <c r="H229" s="213"/>
      <c r="I229" s="213"/>
      <c r="J229" s="213"/>
      <c r="K229" s="213"/>
      <c r="L229" s="213"/>
      <c r="M229" s="213"/>
      <c r="N229" s="202"/>
      <c r="Q229" s="36"/>
      <c r="R229" s="3"/>
      <c r="S229" s="3"/>
      <c r="T229" s="36"/>
      <c r="V229" s="3"/>
      <c r="W229" s="36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>
      <c r="A230" s="3"/>
      <c r="B230" s="213"/>
      <c r="C230" s="213"/>
      <c r="D230" s="213"/>
      <c r="E230" s="213"/>
      <c r="F230" s="213"/>
      <c r="G230" s="213"/>
      <c r="H230" s="213"/>
      <c r="I230" s="213"/>
      <c r="J230" s="213"/>
      <c r="K230" s="213"/>
      <c r="L230" s="213"/>
      <c r="M230" s="213"/>
      <c r="N230" s="202"/>
      <c r="Q230" s="41"/>
      <c r="R230" s="3"/>
      <c r="S230" s="3"/>
      <c r="T230" s="36"/>
      <c r="V230" s="3"/>
      <c r="W230" s="36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>
      <c r="A231" s="3"/>
      <c r="B231" s="213"/>
      <c r="C231" s="213"/>
      <c r="D231" s="213"/>
      <c r="E231" s="213"/>
      <c r="F231" s="213"/>
      <c r="G231" s="213"/>
      <c r="H231" s="213"/>
      <c r="I231" s="213"/>
      <c r="J231" s="213"/>
      <c r="K231" s="213"/>
      <c r="L231" s="213"/>
      <c r="M231" s="213"/>
      <c r="N231" s="202"/>
      <c r="Q231" s="36"/>
      <c r="R231" s="3"/>
      <c r="S231" s="3"/>
      <c r="T231" s="36"/>
      <c r="V231" s="3"/>
      <c r="W231" s="36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>
      <c r="A232" s="3"/>
      <c r="B232" s="213"/>
      <c r="C232" s="213"/>
      <c r="D232" s="213"/>
      <c r="E232" s="213"/>
      <c r="F232" s="213"/>
      <c r="G232" s="213"/>
      <c r="H232" s="213"/>
      <c r="I232" s="213"/>
      <c r="J232" s="213"/>
      <c r="K232" s="213"/>
      <c r="L232" s="213"/>
      <c r="M232" s="213"/>
      <c r="N232" s="202"/>
      <c r="Q232" s="36"/>
      <c r="R232" s="3"/>
      <c r="S232" s="3"/>
      <c r="T232" s="36"/>
      <c r="V232" s="3"/>
      <c r="W232" s="36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>
      <c r="A233" s="3"/>
      <c r="B233" s="213"/>
      <c r="C233" s="213"/>
      <c r="D233" s="213"/>
      <c r="E233" s="213"/>
      <c r="F233" s="213"/>
      <c r="G233" s="213"/>
      <c r="H233" s="213"/>
      <c r="I233" s="213"/>
      <c r="J233" s="213"/>
      <c r="K233" s="213"/>
      <c r="L233" s="213"/>
      <c r="M233" s="213"/>
      <c r="N233" s="202"/>
      <c r="Q233" s="41"/>
      <c r="R233" s="3"/>
      <c r="S233" s="3"/>
      <c r="T233" s="36"/>
      <c r="V233" s="3"/>
      <c r="W233" s="36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>
      <c r="A234" s="3"/>
      <c r="B234" s="213"/>
      <c r="C234" s="213"/>
      <c r="D234" s="213"/>
      <c r="E234" s="213"/>
      <c r="F234" s="213"/>
      <c r="G234" s="213"/>
      <c r="H234" s="213"/>
      <c r="I234" s="213"/>
      <c r="J234" s="213"/>
      <c r="K234" s="213"/>
      <c r="L234" s="213"/>
      <c r="M234" s="213"/>
      <c r="N234" s="202"/>
      <c r="Q234" s="41"/>
      <c r="R234" s="3"/>
      <c r="S234" s="3"/>
      <c r="T234" s="36"/>
      <c r="V234" s="3"/>
      <c r="W234" s="41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>
      <c r="A235" s="3"/>
      <c r="B235" s="213"/>
      <c r="C235" s="213"/>
      <c r="D235" s="213"/>
      <c r="E235" s="213"/>
      <c r="F235" s="213"/>
      <c r="G235" s="213"/>
      <c r="H235" s="213"/>
      <c r="I235" s="213"/>
      <c r="J235" s="213"/>
      <c r="K235" s="213"/>
      <c r="L235" s="213"/>
      <c r="M235" s="213"/>
      <c r="N235" s="202"/>
      <c r="Q235" s="41"/>
      <c r="R235" s="3"/>
      <c r="S235" s="3"/>
      <c r="T235" s="36"/>
      <c r="V235" s="3"/>
      <c r="W235" s="36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>
      <c r="A236" s="3"/>
      <c r="B236" s="213"/>
      <c r="C236" s="213"/>
      <c r="D236" s="213"/>
      <c r="E236" s="213"/>
      <c r="F236" s="213"/>
      <c r="G236" s="213"/>
      <c r="H236" s="213"/>
      <c r="I236" s="213"/>
      <c r="J236" s="213"/>
      <c r="K236" s="213"/>
      <c r="L236" s="213"/>
      <c r="M236" s="213"/>
      <c r="N236" s="202"/>
      <c r="Q236" s="41"/>
      <c r="R236" s="3"/>
      <c r="S236" s="3"/>
      <c r="T236" s="36"/>
      <c r="V236" s="3"/>
      <c r="W236" s="36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>
      <c r="A237" s="3"/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3"/>
      <c r="M237" s="213"/>
      <c r="N237" s="202"/>
      <c r="Q237" s="41"/>
      <c r="R237" s="3"/>
      <c r="S237" s="3"/>
      <c r="T237" s="36"/>
      <c r="V237" s="3"/>
      <c r="W237" s="36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>
      <c r="A238" s="3"/>
      <c r="B238" s="213"/>
      <c r="C238" s="213"/>
      <c r="D238" s="213"/>
      <c r="E238" s="213"/>
      <c r="F238" s="213"/>
      <c r="G238" s="213"/>
      <c r="H238" s="213"/>
      <c r="I238" s="213"/>
      <c r="J238" s="213"/>
      <c r="K238" s="213"/>
      <c r="L238" s="213"/>
      <c r="M238" s="213"/>
      <c r="N238" s="202"/>
      <c r="Q238" s="41"/>
      <c r="R238" s="3"/>
      <c r="S238" s="3"/>
      <c r="T238" s="41"/>
      <c r="V238" s="3"/>
      <c r="W238" s="36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>
      <c r="A239" s="3"/>
      <c r="B239" s="213"/>
      <c r="C239" s="213"/>
      <c r="D239" s="213"/>
      <c r="E239" s="213"/>
      <c r="F239" s="213"/>
      <c r="G239" s="213"/>
      <c r="H239" s="213"/>
      <c r="I239" s="213"/>
      <c r="J239" s="213"/>
      <c r="K239" s="213"/>
      <c r="L239" s="213"/>
      <c r="M239" s="213"/>
      <c r="N239" s="202"/>
      <c r="Q239" s="36"/>
      <c r="R239" s="3"/>
      <c r="S239" s="3"/>
      <c r="T239" s="36"/>
      <c r="V239" s="3"/>
      <c r="W239" s="36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>
      <c r="A240" s="3"/>
      <c r="B240" s="213"/>
      <c r="C240" s="213"/>
      <c r="D240" s="213"/>
      <c r="E240" s="213"/>
      <c r="F240" s="213"/>
      <c r="G240" s="213"/>
      <c r="H240" s="213"/>
      <c r="I240" s="213"/>
      <c r="J240" s="213"/>
      <c r="K240" s="213"/>
      <c r="L240" s="213"/>
      <c r="M240" s="213"/>
      <c r="N240" s="202"/>
      <c r="Q240" s="41"/>
      <c r="R240" s="3"/>
      <c r="S240" s="3"/>
      <c r="T240" s="36"/>
      <c r="V240" s="3"/>
      <c r="W240" s="36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>
      <c r="A241" s="3"/>
      <c r="B241" s="213"/>
      <c r="C241" s="213"/>
      <c r="D241" s="213"/>
      <c r="E241" s="213"/>
      <c r="F241" s="213"/>
      <c r="G241" s="213"/>
      <c r="H241" s="213"/>
      <c r="I241" s="213"/>
      <c r="J241" s="213"/>
      <c r="K241" s="213"/>
      <c r="L241" s="213"/>
      <c r="M241" s="213"/>
      <c r="N241" s="202"/>
      <c r="Q241" s="41"/>
      <c r="R241" s="3"/>
      <c r="S241" s="3"/>
      <c r="T241" s="36"/>
      <c r="V241" s="3"/>
      <c r="W241" s="36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>
      <c r="A242" s="3"/>
      <c r="B242" s="213"/>
      <c r="C242" s="213"/>
      <c r="D242" s="213"/>
      <c r="E242" s="213"/>
      <c r="F242" s="213"/>
      <c r="G242" s="213"/>
      <c r="H242" s="213"/>
      <c r="I242" s="213"/>
      <c r="J242" s="213"/>
      <c r="K242" s="213"/>
      <c r="L242" s="213"/>
      <c r="M242" s="213"/>
      <c r="N242" s="202"/>
      <c r="Q242" s="41"/>
      <c r="R242" s="3"/>
      <c r="S242" s="3"/>
      <c r="T242" s="41"/>
      <c r="V242" s="3"/>
      <c r="W242" s="41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>
      <c r="A243" s="3"/>
      <c r="B243" s="213"/>
      <c r="C243" s="213"/>
      <c r="D243" s="213"/>
      <c r="E243" s="213"/>
      <c r="F243" s="213"/>
      <c r="G243" s="213"/>
      <c r="H243" s="213"/>
      <c r="I243" s="213"/>
      <c r="J243" s="213"/>
      <c r="K243" s="213"/>
      <c r="L243" s="213"/>
      <c r="M243" s="213"/>
      <c r="N243" s="202"/>
      <c r="Q243" s="41"/>
      <c r="R243" s="3"/>
      <c r="S243" s="3"/>
      <c r="T243" s="36"/>
      <c r="V243" s="3"/>
      <c r="W243" s="36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>
      <c r="A244" s="3"/>
      <c r="B244" s="213"/>
      <c r="C244" s="213"/>
      <c r="D244" s="213"/>
      <c r="E244" s="213"/>
      <c r="F244" s="213"/>
      <c r="G244" s="213"/>
      <c r="H244" s="213"/>
      <c r="I244" s="213"/>
      <c r="J244" s="213"/>
      <c r="K244" s="213"/>
      <c r="L244" s="213"/>
      <c r="M244" s="213"/>
      <c r="N244" s="202"/>
      <c r="Q244" s="41"/>
      <c r="R244" s="3"/>
      <c r="S244" s="3"/>
      <c r="T244" s="36"/>
      <c r="V244" s="3"/>
      <c r="W244" s="36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>
      <c r="A245" s="3"/>
      <c r="B245" s="213"/>
      <c r="C245" s="213"/>
      <c r="D245" s="213"/>
      <c r="E245" s="213"/>
      <c r="F245" s="213"/>
      <c r="G245" s="213"/>
      <c r="H245" s="213"/>
      <c r="I245" s="213"/>
      <c r="J245" s="213"/>
      <c r="K245" s="213"/>
      <c r="L245" s="213"/>
      <c r="M245" s="213"/>
      <c r="N245" s="202"/>
      <c r="Q245" s="38"/>
      <c r="R245" s="3"/>
      <c r="S245" s="3"/>
      <c r="T245" s="41"/>
      <c r="V245" s="3"/>
      <c r="W245" s="36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>
      <c r="A246" s="3"/>
      <c r="B246" s="213"/>
      <c r="C246" s="213"/>
      <c r="D246" s="213"/>
      <c r="E246" s="213"/>
      <c r="F246" s="213"/>
      <c r="G246" s="213"/>
      <c r="H246" s="213"/>
      <c r="I246" s="213"/>
      <c r="J246" s="213"/>
      <c r="K246" s="213"/>
      <c r="L246" s="213"/>
      <c r="M246" s="213"/>
      <c r="N246" s="202"/>
      <c r="Q246" s="41"/>
      <c r="R246" s="3"/>
      <c r="S246" s="3"/>
      <c r="T246" s="36"/>
      <c r="V246" s="3"/>
      <c r="W246" s="36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ht="15.75">
      <c r="A247" s="3"/>
      <c r="B247" s="213"/>
      <c r="C247" s="213"/>
      <c r="D247" s="213"/>
      <c r="E247" s="213"/>
      <c r="F247" s="213"/>
      <c r="G247" s="213"/>
      <c r="H247" s="213"/>
      <c r="I247" s="213"/>
      <c r="J247" s="213"/>
      <c r="K247" s="213"/>
      <c r="L247" s="213"/>
      <c r="M247" s="213"/>
      <c r="N247" s="202"/>
      <c r="Q247" s="41"/>
      <c r="R247" s="3"/>
      <c r="S247" s="3"/>
      <c r="T247" s="36"/>
      <c r="V247" s="3"/>
      <c r="W247" s="38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>
      <c r="A248" s="10"/>
      <c r="B248" s="213"/>
      <c r="C248" s="213"/>
      <c r="D248" s="213"/>
      <c r="E248" s="213"/>
      <c r="F248" s="213"/>
      <c r="G248" s="213"/>
      <c r="H248" s="213"/>
      <c r="I248" s="213"/>
      <c r="J248" s="213"/>
      <c r="K248" s="213"/>
      <c r="L248" s="213"/>
      <c r="M248" s="213"/>
      <c r="N248" s="202"/>
      <c r="Q248" s="36"/>
      <c r="R248" s="3"/>
      <c r="S248" s="3"/>
      <c r="T248" s="41"/>
      <c r="V248" s="3"/>
      <c r="W248" s="36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>
      <c r="A249" s="10"/>
      <c r="B249" s="213"/>
      <c r="C249" s="213"/>
      <c r="D249" s="213"/>
      <c r="E249" s="213"/>
      <c r="F249" s="213"/>
      <c r="G249" s="213"/>
      <c r="H249" s="213"/>
      <c r="I249" s="213"/>
      <c r="J249" s="213"/>
      <c r="K249" s="213"/>
      <c r="L249" s="213"/>
      <c r="M249" s="213"/>
      <c r="N249" s="202"/>
      <c r="Q249" s="41"/>
      <c r="R249" s="3"/>
      <c r="S249" s="3"/>
      <c r="T249" s="41"/>
      <c r="V249" s="3"/>
      <c r="W249" s="41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>
      <c r="A250" s="10"/>
      <c r="B250" s="213"/>
      <c r="C250" s="213"/>
      <c r="D250" s="213"/>
      <c r="E250" s="213"/>
      <c r="F250" s="213"/>
      <c r="G250" s="213"/>
      <c r="H250" s="213"/>
      <c r="I250" s="213"/>
      <c r="J250" s="213"/>
      <c r="K250" s="213"/>
      <c r="L250" s="213"/>
      <c r="M250" s="213"/>
      <c r="N250" s="202"/>
      <c r="Q250" s="41"/>
      <c r="R250" s="3"/>
      <c r="S250" s="3"/>
      <c r="T250" s="3"/>
      <c r="V250" s="3"/>
      <c r="W250" s="36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>
      <c r="A251" s="10"/>
      <c r="B251" s="214"/>
      <c r="C251" s="214"/>
      <c r="D251" s="213"/>
      <c r="E251" s="213"/>
      <c r="F251" s="213"/>
      <c r="G251" s="213"/>
      <c r="H251" s="213"/>
      <c r="I251" s="213"/>
      <c r="J251" s="213"/>
      <c r="K251" s="213"/>
      <c r="L251" s="213"/>
      <c r="M251" s="213"/>
      <c r="N251" s="202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>
      <c r="A252" s="10"/>
      <c r="B252" s="214"/>
      <c r="C252" s="214"/>
      <c r="D252" s="213"/>
      <c r="E252" s="213"/>
      <c r="F252" s="213"/>
      <c r="G252" s="213"/>
      <c r="H252" s="213"/>
      <c r="I252" s="213"/>
      <c r="J252" s="213"/>
      <c r="K252" s="213"/>
      <c r="L252" s="213"/>
      <c r="M252" s="213"/>
      <c r="N252" s="202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>
      <c r="A253" s="10"/>
      <c r="B253" s="214"/>
      <c r="C253" s="214"/>
      <c r="D253" s="214"/>
      <c r="E253" s="213"/>
      <c r="F253" s="213"/>
      <c r="G253" s="213"/>
      <c r="H253" s="213"/>
      <c r="I253" s="213"/>
      <c r="J253" s="213"/>
      <c r="K253" s="213"/>
      <c r="L253" s="213"/>
      <c r="M253" s="213"/>
      <c r="N253" s="202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>
      <c r="A254" s="194"/>
      <c r="B254" s="214"/>
      <c r="C254" s="214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02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>
      <c r="A255" s="10"/>
      <c r="B255" s="214"/>
      <c r="C255" s="214"/>
      <c r="D255" s="214"/>
      <c r="E255" s="213"/>
      <c r="F255" s="213"/>
      <c r="G255" s="213"/>
      <c r="H255" s="213"/>
      <c r="I255" s="213"/>
      <c r="J255" s="213"/>
      <c r="K255" s="213"/>
      <c r="L255" s="213"/>
      <c r="M255" s="213"/>
      <c r="N255" s="202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>
      <c r="B256" s="202"/>
      <c r="C256" s="202"/>
      <c r="D256" s="202"/>
      <c r="E256" s="202"/>
      <c r="F256" s="202"/>
      <c r="G256" s="202"/>
      <c r="H256" s="202"/>
      <c r="I256" s="202"/>
      <c r="J256" s="202"/>
      <c r="K256" s="202"/>
      <c r="L256" s="202"/>
      <c r="M256" s="202"/>
      <c r="N256" s="202"/>
    </row>
    <row r="257" spans="1:53" ht="15.75">
      <c r="A257" s="3"/>
      <c r="B257" s="209"/>
      <c r="C257" s="209"/>
      <c r="D257" s="209"/>
      <c r="E257" s="209"/>
      <c r="F257" s="209"/>
      <c r="G257" s="209"/>
      <c r="H257" s="209"/>
      <c r="I257" s="209"/>
      <c r="J257" s="209"/>
      <c r="K257" s="209"/>
      <c r="L257" s="209"/>
      <c r="M257" s="209"/>
      <c r="N257" s="202"/>
      <c r="P257" s="43"/>
      <c r="Q257" s="43"/>
      <c r="R257" s="3"/>
      <c r="S257" s="43"/>
      <c r="T257" s="43"/>
      <c r="U257" s="3"/>
      <c r="V257" s="43"/>
      <c r="W257" s="4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ht="15.75">
      <c r="A258" s="3"/>
      <c r="B258" s="209"/>
      <c r="C258" s="209"/>
      <c r="D258" s="209"/>
      <c r="E258" s="209"/>
      <c r="F258" s="209"/>
      <c r="G258" s="209"/>
      <c r="H258" s="209"/>
      <c r="I258" s="209"/>
      <c r="J258" s="209"/>
      <c r="K258" s="209"/>
      <c r="L258" s="209"/>
      <c r="M258" s="209"/>
      <c r="N258" s="202"/>
      <c r="P258" s="43"/>
      <c r="Q258" s="43"/>
      <c r="R258" s="3"/>
      <c r="S258" s="43"/>
      <c r="T258" s="43"/>
      <c r="U258" s="3"/>
      <c r="V258" s="43"/>
      <c r="W258" s="4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ht="15.75">
      <c r="A259" s="3"/>
      <c r="B259" s="209"/>
      <c r="C259" s="209"/>
      <c r="D259" s="209"/>
      <c r="E259" s="209"/>
      <c r="F259" s="209"/>
      <c r="G259" s="209"/>
      <c r="H259" s="209"/>
      <c r="I259" s="209"/>
      <c r="J259" s="209"/>
      <c r="K259" s="209"/>
      <c r="L259" s="209"/>
      <c r="M259" s="209"/>
      <c r="N259" s="202"/>
      <c r="P259" s="43"/>
      <c r="Q259" s="43"/>
      <c r="R259" s="3"/>
      <c r="S259" s="43"/>
      <c r="T259" s="192"/>
      <c r="U259" s="3"/>
      <c r="V259" s="43"/>
      <c r="W259" s="192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>
      <c r="B260" s="202"/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1:53">
      <c r="A261" s="3"/>
      <c r="B261" s="216"/>
      <c r="C261" s="216"/>
      <c r="D261" s="216"/>
      <c r="E261" s="216"/>
      <c r="F261" s="216"/>
      <c r="G261" s="216"/>
      <c r="H261" s="216"/>
      <c r="I261" s="216"/>
      <c r="J261" s="216"/>
      <c r="K261" s="216"/>
      <c r="L261" s="216"/>
      <c r="M261" s="216"/>
      <c r="N261" s="202"/>
      <c r="P261" s="217"/>
      <c r="Q261" s="193"/>
      <c r="R261" s="3"/>
      <c r="S261" s="193"/>
      <c r="T261" s="19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>
      <c r="A262" s="3"/>
      <c r="B262" s="216"/>
      <c r="C262" s="216"/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02"/>
      <c r="P262" s="217"/>
      <c r="Q262" s="193"/>
      <c r="R262" s="3"/>
      <c r="S262" s="193"/>
      <c r="T262" s="19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>
      <c r="B263" s="202"/>
      <c r="C263" s="202"/>
      <c r="D263" s="202"/>
      <c r="E263" s="202"/>
      <c r="F263" s="202"/>
      <c r="G263" s="202"/>
      <c r="H263" s="202"/>
      <c r="I263" s="202"/>
      <c r="J263" s="202"/>
      <c r="K263" s="202"/>
      <c r="L263" s="202"/>
      <c r="M263" s="202"/>
      <c r="N263" s="202"/>
    </row>
    <row r="264" spans="1:53">
      <c r="B264" s="202"/>
      <c r="C264" s="202"/>
      <c r="D264" s="202"/>
      <c r="E264" s="202"/>
      <c r="F264" s="202"/>
      <c r="G264" s="202"/>
      <c r="H264" s="202"/>
      <c r="I264" s="202"/>
      <c r="J264" s="202"/>
      <c r="K264" s="202"/>
      <c r="L264" s="202"/>
      <c r="M264" s="202"/>
      <c r="N264" s="202"/>
    </row>
    <row r="265" spans="1:53">
      <c r="B265" s="202"/>
      <c r="C265" s="202"/>
      <c r="D265" s="202"/>
      <c r="E265" s="202"/>
      <c r="F265" s="202"/>
      <c r="G265" s="202"/>
      <c r="H265" s="202"/>
      <c r="I265" s="202"/>
      <c r="J265" s="202"/>
      <c r="K265" s="202"/>
      <c r="L265" s="202"/>
      <c r="M265" s="202"/>
      <c r="N265" s="202"/>
    </row>
    <row r="266" spans="1:53">
      <c r="B266" s="202"/>
      <c r="C266" s="202"/>
      <c r="D266" s="202"/>
      <c r="E266" s="202"/>
      <c r="F266" s="202"/>
      <c r="G266" s="202"/>
      <c r="H266" s="202"/>
      <c r="I266" s="202"/>
      <c r="J266" s="202"/>
      <c r="K266" s="202"/>
      <c r="L266" s="202"/>
      <c r="M266" s="202"/>
      <c r="N266" s="202"/>
    </row>
    <row r="267" spans="1:53">
      <c r="B267" s="202"/>
      <c r="C267" s="202"/>
      <c r="D267" s="202"/>
      <c r="E267" s="202"/>
      <c r="F267" s="202"/>
      <c r="G267" s="202"/>
      <c r="H267" s="202"/>
      <c r="I267" s="202"/>
      <c r="J267" s="202"/>
      <c r="K267" s="202"/>
      <c r="L267" s="202"/>
      <c r="M267" s="202"/>
      <c r="N267" s="202"/>
    </row>
    <row r="268" spans="1:53">
      <c r="B268" s="202"/>
      <c r="C268" s="202"/>
      <c r="D268" s="202"/>
      <c r="E268" s="202"/>
      <c r="F268" s="202"/>
      <c r="G268" s="202"/>
      <c r="H268" s="202"/>
      <c r="I268" s="202"/>
      <c r="J268" s="202"/>
      <c r="K268" s="202"/>
      <c r="L268" s="202"/>
      <c r="M268" s="202"/>
      <c r="N268" s="202"/>
    </row>
    <row r="269" spans="1:53">
      <c r="A269" s="3"/>
      <c r="B269" s="206"/>
      <c r="C269" s="206"/>
      <c r="D269" s="206"/>
      <c r="E269" s="206"/>
      <c r="F269" s="206"/>
      <c r="G269" s="206"/>
      <c r="H269" s="206"/>
      <c r="I269" s="206"/>
      <c r="J269" s="206"/>
      <c r="K269" s="206"/>
      <c r="L269" s="206"/>
      <c r="M269" s="206"/>
      <c r="N269" s="202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>
      <c r="A270" s="3"/>
      <c r="B270" s="213"/>
      <c r="C270" s="213"/>
      <c r="D270" s="213"/>
      <c r="E270" s="213"/>
      <c r="F270" s="213"/>
      <c r="G270" s="213"/>
      <c r="H270" s="213"/>
      <c r="I270" s="213"/>
      <c r="J270" s="213"/>
      <c r="K270" s="213"/>
      <c r="L270" s="213"/>
      <c r="M270" s="213"/>
      <c r="N270" s="202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>
      <c r="A271" s="3"/>
      <c r="B271" s="213"/>
      <c r="C271" s="213"/>
      <c r="D271" s="213"/>
      <c r="E271" s="213"/>
      <c r="F271" s="213"/>
      <c r="G271" s="213"/>
      <c r="H271" s="213"/>
      <c r="I271" s="213"/>
      <c r="J271" s="213"/>
      <c r="K271" s="213"/>
      <c r="L271" s="213"/>
      <c r="M271" s="213"/>
      <c r="N271" s="202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>
      <c r="A272" s="3"/>
      <c r="B272" s="213"/>
      <c r="C272" s="213"/>
      <c r="D272" s="213"/>
      <c r="E272" s="213"/>
      <c r="F272" s="213"/>
      <c r="G272" s="213"/>
      <c r="H272" s="213"/>
      <c r="I272" s="213"/>
      <c r="J272" s="213"/>
      <c r="K272" s="213"/>
      <c r="L272" s="213"/>
      <c r="M272" s="213"/>
      <c r="N272" s="202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>
      <c r="A273" s="3"/>
      <c r="B273" s="213"/>
      <c r="C273" s="213"/>
      <c r="D273" s="213"/>
      <c r="E273" s="213"/>
      <c r="F273" s="213"/>
      <c r="G273" s="213"/>
      <c r="H273" s="213"/>
      <c r="I273" s="213"/>
      <c r="J273" s="213"/>
      <c r="K273" s="213"/>
      <c r="L273" s="213"/>
      <c r="M273" s="213"/>
      <c r="N273" s="202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>
      <c r="A274" s="3"/>
      <c r="B274" s="213"/>
      <c r="C274" s="213"/>
      <c r="D274" s="213"/>
      <c r="E274" s="213"/>
      <c r="F274" s="213"/>
      <c r="G274" s="213"/>
      <c r="H274" s="213"/>
      <c r="I274" s="213"/>
      <c r="J274" s="213"/>
      <c r="K274" s="213"/>
      <c r="L274" s="213"/>
      <c r="M274" s="213"/>
      <c r="N274" s="202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>
      <c r="A275" s="3"/>
      <c r="B275" s="213"/>
      <c r="C275" s="213"/>
      <c r="D275" s="213"/>
      <c r="E275" s="213"/>
      <c r="F275" s="213"/>
      <c r="G275" s="213"/>
      <c r="H275" s="213"/>
      <c r="I275" s="213"/>
      <c r="J275" s="213"/>
      <c r="K275" s="213"/>
      <c r="L275" s="213"/>
      <c r="M275" s="213"/>
      <c r="N275" s="202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>
      <c r="A276" s="3"/>
      <c r="B276" s="213"/>
      <c r="C276" s="213"/>
      <c r="D276" s="213"/>
      <c r="E276" s="213"/>
      <c r="F276" s="213"/>
      <c r="G276" s="213"/>
      <c r="H276" s="213"/>
      <c r="I276" s="213"/>
      <c r="J276" s="213"/>
      <c r="K276" s="213"/>
      <c r="L276" s="213"/>
      <c r="M276" s="213"/>
      <c r="N276" s="202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>
      <c r="A277" s="3"/>
      <c r="B277" s="213"/>
      <c r="C277" s="213"/>
      <c r="D277" s="213"/>
      <c r="E277" s="213"/>
      <c r="F277" s="213"/>
      <c r="G277" s="213"/>
      <c r="H277" s="213"/>
      <c r="I277" s="213"/>
      <c r="J277" s="213"/>
      <c r="K277" s="213"/>
      <c r="L277" s="213"/>
      <c r="M277" s="213"/>
      <c r="N277" s="202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>
      <c r="A278" s="3"/>
      <c r="B278" s="213"/>
      <c r="C278" s="213"/>
      <c r="D278" s="213"/>
      <c r="E278" s="213"/>
      <c r="F278" s="213"/>
      <c r="G278" s="213"/>
      <c r="H278" s="213"/>
      <c r="I278" s="213"/>
      <c r="J278" s="213"/>
      <c r="K278" s="213"/>
      <c r="L278" s="213"/>
      <c r="M278" s="213"/>
      <c r="N278" s="202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>
      <c r="A279" s="3"/>
      <c r="B279" s="213"/>
      <c r="C279" s="213"/>
      <c r="D279" s="213"/>
      <c r="E279" s="213"/>
      <c r="F279" s="213"/>
      <c r="G279" s="213"/>
      <c r="H279" s="213"/>
      <c r="I279" s="213"/>
      <c r="J279" s="213"/>
      <c r="K279" s="213"/>
      <c r="L279" s="213"/>
      <c r="M279" s="213"/>
      <c r="N279" s="20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>
      <c r="A280" s="3"/>
      <c r="B280" s="213"/>
      <c r="C280" s="213"/>
      <c r="D280" s="213"/>
      <c r="E280" s="213"/>
      <c r="F280" s="213"/>
      <c r="G280" s="213"/>
      <c r="H280" s="213"/>
      <c r="I280" s="213"/>
      <c r="J280" s="213"/>
      <c r="K280" s="213"/>
      <c r="L280" s="213"/>
      <c r="M280" s="213"/>
      <c r="N280" s="202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>
      <c r="A281" s="3"/>
      <c r="B281" s="213"/>
      <c r="C281" s="213"/>
      <c r="D281" s="213"/>
      <c r="E281" s="213"/>
      <c r="F281" s="213"/>
      <c r="G281" s="213"/>
      <c r="H281" s="213"/>
      <c r="I281" s="213"/>
      <c r="J281" s="213"/>
      <c r="K281" s="213"/>
      <c r="L281" s="213"/>
      <c r="M281" s="213"/>
      <c r="N281" s="202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>
      <c r="A282" s="3"/>
      <c r="B282" s="213"/>
      <c r="C282" s="213"/>
      <c r="D282" s="213"/>
      <c r="E282" s="213"/>
      <c r="F282" s="213"/>
      <c r="G282" s="213"/>
      <c r="H282" s="213"/>
      <c r="I282" s="213"/>
      <c r="J282" s="213"/>
      <c r="K282" s="213"/>
      <c r="L282" s="213"/>
      <c r="M282" s="213"/>
      <c r="N282" s="202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>
      <c r="A283" s="3"/>
      <c r="B283" s="213"/>
      <c r="C283" s="213"/>
      <c r="D283" s="213"/>
      <c r="E283" s="213"/>
      <c r="F283" s="213"/>
      <c r="G283" s="213"/>
      <c r="H283" s="213"/>
      <c r="I283" s="213"/>
      <c r="J283" s="213"/>
      <c r="K283" s="213"/>
      <c r="L283" s="213"/>
      <c r="M283" s="213"/>
      <c r="N283" s="202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>
      <c r="A284" s="3"/>
      <c r="B284" s="213"/>
      <c r="C284" s="213"/>
      <c r="D284" s="213"/>
      <c r="E284" s="213"/>
      <c r="F284" s="213"/>
      <c r="G284" s="213"/>
      <c r="H284" s="213"/>
      <c r="I284" s="213"/>
      <c r="J284" s="213"/>
      <c r="K284" s="213"/>
      <c r="L284" s="213"/>
      <c r="M284" s="213"/>
      <c r="N284" s="202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>
      <c r="A285" s="3"/>
      <c r="B285" s="213"/>
      <c r="C285" s="213"/>
      <c r="D285" s="213"/>
      <c r="E285" s="213"/>
      <c r="F285" s="213"/>
      <c r="G285" s="213"/>
      <c r="H285" s="213"/>
      <c r="I285" s="213"/>
      <c r="J285" s="213"/>
      <c r="K285" s="213"/>
      <c r="L285" s="213"/>
      <c r="M285" s="213"/>
      <c r="N285" s="202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>
      <c r="A286" s="3"/>
      <c r="B286" s="213"/>
      <c r="C286" s="213"/>
      <c r="D286" s="213"/>
      <c r="E286" s="213"/>
      <c r="F286" s="213"/>
      <c r="G286" s="213"/>
      <c r="H286" s="213"/>
      <c r="I286" s="213"/>
      <c r="J286" s="213"/>
      <c r="K286" s="213"/>
      <c r="L286" s="213"/>
      <c r="M286" s="213"/>
      <c r="N286" s="202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>
      <c r="A287" s="3"/>
      <c r="B287" s="213"/>
      <c r="C287" s="213"/>
      <c r="D287" s="213"/>
      <c r="E287" s="213"/>
      <c r="F287" s="213"/>
      <c r="G287" s="213"/>
      <c r="H287" s="213"/>
      <c r="I287" s="213"/>
      <c r="J287" s="213"/>
      <c r="K287" s="213"/>
      <c r="L287" s="213"/>
      <c r="M287" s="213"/>
      <c r="N287" s="202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>
      <c r="A288" s="3"/>
      <c r="B288" s="213"/>
      <c r="C288" s="213"/>
      <c r="D288" s="213"/>
      <c r="E288" s="213"/>
      <c r="F288" s="213"/>
      <c r="G288" s="213"/>
      <c r="H288" s="213"/>
      <c r="I288" s="213"/>
      <c r="J288" s="213"/>
      <c r="K288" s="213"/>
      <c r="L288" s="213"/>
      <c r="M288" s="213"/>
      <c r="N288" s="202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>
      <c r="A289" s="3"/>
      <c r="B289" s="213"/>
      <c r="C289" s="213"/>
      <c r="D289" s="213"/>
      <c r="E289" s="213"/>
      <c r="F289" s="213"/>
      <c r="G289" s="213"/>
      <c r="H289" s="213"/>
      <c r="I289" s="213"/>
      <c r="J289" s="213"/>
      <c r="K289" s="213"/>
      <c r="L289" s="213"/>
      <c r="M289" s="213"/>
      <c r="N289" s="202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>
      <c r="A290" s="3"/>
      <c r="B290" s="213"/>
      <c r="C290" s="213"/>
      <c r="D290" s="213"/>
      <c r="E290" s="213"/>
      <c r="F290" s="213"/>
      <c r="G290" s="213"/>
      <c r="H290" s="213"/>
      <c r="I290" s="213"/>
      <c r="J290" s="213"/>
      <c r="K290" s="213"/>
      <c r="L290" s="213"/>
      <c r="M290" s="213"/>
      <c r="N290" s="202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>
      <c r="A291" s="3"/>
      <c r="B291" s="213"/>
      <c r="C291" s="213"/>
      <c r="D291" s="213"/>
      <c r="E291" s="213"/>
      <c r="F291" s="213"/>
      <c r="G291" s="213"/>
      <c r="H291" s="213"/>
      <c r="I291" s="213"/>
      <c r="J291" s="213"/>
      <c r="K291" s="213"/>
      <c r="L291" s="213"/>
      <c r="M291" s="213"/>
      <c r="N291" s="202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>
      <c r="A292" s="3"/>
      <c r="B292" s="213"/>
      <c r="C292" s="213"/>
      <c r="D292" s="213"/>
      <c r="E292" s="213"/>
      <c r="F292" s="213"/>
      <c r="G292" s="213"/>
      <c r="H292" s="213"/>
      <c r="I292" s="213"/>
      <c r="J292" s="213"/>
      <c r="K292" s="213"/>
      <c r="L292" s="213"/>
      <c r="M292" s="213"/>
      <c r="N292" s="202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>
      <c r="A293" s="3"/>
      <c r="B293" s="213"/>
      <c r="C293" s="213"/>
      <c r="D293" s="213"/>
      <c r="E293" s="213"/>
      <c r="F293" s="213"/>
      <c r="G293" s="213"/>
      <c r="H293" s="213"/>
      <c r="I293" s="213"/>
      <c r="J293" s="213"/>
      <c r="K293" s="213"/>
      <c r="L293" s="213"/>
      <c r="M293" s="213"/>
      <c r="N293" s="202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>
      <c r="A294" s="3"/>
      <c r="B294" s="213"/>
      <c r="C294" s="213"/>
      <c r="D294" s="213"/>
      <c r="E294" s="213"/>
      <c r="F294" s="213"/>
      <c r="G294" s="213"/>
      <c r="H294" s="213"/>
      <c r="I294" s="213"/>
      <c r="J294" s="213"/>
      <c r="K294" s="213"/>
      <c r="L294" s="213"/>
      <c r="M294" s="213"/>
      <c r="N294" s="202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>
      <c r="A295" s="3"/>
      <c r="B295" s="213"/>
      <c r="C295" s="213"/>
      <c r="D295" s="213"/>
      <c r="E295" s="213"/>
      <c r="F295" s="213"/>
      <c r="G295" s="213"/>
      <c r="H295" s="213"/>
      <c r="I295" s="213"/>
      <c r="J295" s="213"/>
      <c r="K295" s="213"/>
      <c r="L295" s="213"/>
      <c r="M295" s="213"/>
      <c r="N295" s="202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>
      <c r="A296" s="3"/>
      <c r="B296" s="213"/>
      <c r="C296" s="213"/>
      <c r="D296" s="213"/>
      <c r="E296" s="213"/>
      <c r="F296" s="213"/>
      <c r="G296" s="213"/>
      <c r="H296" s="213"/>
      <c r="I296" s="213"/>
      <c r="J296" s="213"/>
      <c r="K296" s="213"/>
      <c r="L296" s="213"/>
      <c r="M296" s="213"/>
      <c r="N296" s="202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>
      <c r="A297" s="10"/>
      <c r="B297" s="213"/>
      <c r="C297" s="213"/>
      <c r="D297" s="213"/>
      <c r="E297" s="213"/>
      <c r="F297" s="213"/>
      <c r="G297" s="213"/>
      <c r="H297" s="213"/>
      <c r="I297" s="213"/>
      <c r="J297" s="213"/>
      <c r="K297" s="213"/>
      <c r="L297" s="213"/>
      <c r="M297" s="213"/>
      <c r="N297" s="202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>
      <c r="A298" s="10"/>
      <c r="B298" s="213"/>
      <c r="C298" s="213"/>
      <c r="D298" s="213"/>
      <c r="E298" s="213"/>
      <c r="F298" s="213"/>
      <c r="G298" s="213"/>
      <c r="H298" s="213"/>
      <c r="I298" s="213"/>
      <c r="J298" s="213"/>
      <c r="K298" s="213"/>
      <c r="L298" s="213"/>
      <c r="M298" s="213"/>
      <c r="N298" s="202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>
      <c r="A299" s="10"/>
      <c r="B299" s="213"/>
      <c r="C299" s="213"/>
      <c r="D299" s="213"/>
      <c r="E299" s="213"/>
      <c r="F299" s="213"/>
      <c r="G299" s="213"/>
      <c r="H299" s="213"/>
      <c r="I299" s="213"/>
      <c r="J299" s="213"/>
      <c r="K299" s="213"/>
      <c r="L299" s="213"/>
      <c r="M299" s="213"/>
      <c r="N299" s="202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>
      <c r="A300" s="10"/>
      <c r="B300" s="213"/>
      <c r="C300" s="213"/>
      <c r="D300" s="213"/>
      <c r="E300" s="213"/>
      <c r="F300" s="213"/>
      <c r="G300" s="213"/>
      <c r="H300" s="213"/>
      <c r="I300" s="213"/>
      <c r="J300" s="213"/>
      <c r="K300" s="213"/>
      <c r="L300" s="213"/>
      <c r="M300" s="213"/>
      <c r="N300" s="202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>
      <c r="A301" s="10"/>
      <c r="B301" s="213"/>
      <c r="C301" s="213"/>
      <c r="D301" s="213"/>
      <c r="E301" s="213"/>
      <c r="F301" s="213"/>
      <c r="G301" s="213"/>
      <c r="H301" s="213"/>
      <c r="I301" s="213"/>
      <c r="J301" s="213"/>
      <c r="K301" s="213"/>
      <c r="L301" s="213"/>
      <c r="M301" s="213"/>
      <c r="N301" s="202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>
      <c r="B302" s="202"/>
      <c r="C302" s="202"/>
      <c r="D302" s="202"/>
      <c r="E302" s="202"/>
      <c r="F302" s="202"/>
      <c r="G302" s="202"/>
      <c r="H302" s="202"/>
      <c r="I302" s="202"/>
      <c r="J302" s="202"/>
      <c r="K302" s="202"/>
      <c r="L302" s="202"/>
      <c r="M302" s="202"/>
      <c r="N302" s="202"/>
    </row>
    <row r="303" spans="1:53" ht="15.75">
      <c r="A303" s="3"/>
      <c r="B303" s="209"/>
      <c r="C303" s="209"/>
      <c r="D303" s="209"/>
      <c r="E303" s="209"/>
      <c r="F303" s="209"/>
      <c r="G303" s="209"/>
      <c r="H303" s="209"/>
      <c r="I303" s="209"/>
      <c r="J303" s="209"/>
      <c r="K303" s="209"/>
      <c r="L303" s="209"/>
      <c r="M303" s="209"/>
      <c r="N303" s="202"/>
      <c r="P303" s="43"/>
      <c r="Q303" s="43"/>
      <c r="R303" s="3"/>
      <c r="S303" s="43"/>
      <c r="T303" s="4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ht="15.75">
      <c r="A304" s="3"/>
      <c r="B304" s="209"/>
      <c r="C304" s="209"/>
      <c r="D304" s="209"/>
      <c r="E304" s="209"/>
      <c r="F304" s="209"/>
      <c r="G304" s="209"/>
      <c r="H304" s="209"/>
      <c r="I304" s="209"/>
      <c r="J304" s="209"/>
      <c r="K304" s="209"/>
      <c r="L304" s="209"/>
      <c r="M304" s="209"/>
      <c r="N304" s="202"/>
      <c r="P304" s="43"/>
      <c r="Q304" s="43"/>
      <c r="R304" s="3"/>
      <c r="S304" s="43"/>
      <c r="T304" s="4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ht="15.75">
      <c r="A305" s="3"/>
      <c r="B305" s="209"/>
      <c r="C305" s="209"/>
      <c r="D305" s="209"/>
      <c r="E305" s="209"/>
      <c r="F305" s="209"/>
      <c r="G305" s="209"/>
      <c r="H305" s="209"/>
      <c r="I305" s="209"/>
      <c r="J305" s="209"/>
      <c r="K305" s="209"/>
      <c r="L305" s="209"/>
      <c r="M305" s="209"/>
      <c r="N305" s="202"/>
      <c r="P305" s="43"/>
      <c r="Q305" s="43"/>
      <c r="R305" s="3"/>
      <c r="S305" s="43"/>
      <c r="T305" s="192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>
      <c r="A306" s="3"/>
      <c r="B306" s="216"/>
      <c r="C306" s="202"/>
      <c r="D306" s="202"/>
      <c r="E306" s="202"/>
      <c r="F306" s="202"/>
      <c r="G306" s="202"/>
      <c r="H306" s="202"/>
      <c r="I306" s="202"/>
      <c r="J306" s="202"/>
      <c r="K306" s="202"/>
      <c r="L306" s="202"/>
      <c r="M306" s="202"/>
      <c r="N306" s="202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>
      <c r="A307" s="29"/>
      <c r="B307" s="202"/>
      <c r="C307" s="202"/>
      <c r="D307" s="202"/>
      <c r="E307" s="202"/>
      <c r="F307" s="202"/>
      <c r="G307" s="202"/>
      <c r="H307" s="202"/>
      <c r="I307" s="202"/>
      <c r="J307" s="202"/>
      <c r="K307" s="202"/>
      <c r="L307" s="202"/>
      <c r="M307" s="202"/>
      <c r="N307" s="202"/>
    </row>
    <row r="308" spans="1:53">
      <c r="A308" s="3"/>
      <c r="B308" s="202"/>
      <c r="C308" s="202"/>
      <c r="D308" s="202"/>
      <c r="E308" s="202"/>
      <c r="F308" s="202"/>
      <c r="G308" s="202"/>
      <c r="H308" s="202"/>
      <c r="I308" s="202"/>
      <c r="J308" s="202"/>
      <c r="K308" s="202"/>
      <c r="L308" s="202"/>
      <c r="M308" s="202"/>
      <c r="N308" s="202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>
      <c r="B309" s="202"/>
      <c r="C309" s="202"/>
      <c r="D309" s="202"/>
      <c r="E309" s="202"/>
      <c r="F309" s="202"/>
      <c r="G309" s="202"/>
      <c r="H309" s="202"/>
      <c r="I309" s="202"/>
      <c r="J309" s="202"/>
      <c r="K309" s="202"/>
      <c r="L309" s="202"/>
      <c r="M309" s="202"/>
      <c r="N309" s="202"/>
    </row>
    <row r="310" spans="1:53">
      <c r="B310" s="202"/>
      <c r="C310" s="202"/>
      <c r="D310" s="202"/>
      <c r="E310" s="202"/>
      <c r="F310" s="202"/>
      <c r="G310" s="202"/>
      <c r="H310" s="202"/>
      <c r="I310" s="202"/>
      <c r="J310" s="202"/>
      <c r="K310" s="202"/>
      <c r="L310" s="202"/>
      <c r="M310" s="202"/>
      <c r="N310" s="202"/>
    </row>
    <row r="311" spans="1:53">
      <c r="B311" s="202"/>
      <c r="C311" s="202"/>
      <c r="D311" s="202"/>
      <c r="E311" s="202"/>
      <c r="F311" s="202"/>
      <c r="G311" s="202"/>
      <c r="H311" s="202"/>
      <c r="I311" s="202"/>
      <c r="J311" s="202"/>
      <c r="K311" s="202"/>
      <c r="L311" s="202"/>
      <c r="M311" s="202"/>
      <c r="N311" s="202"/>
    </row>
    <row r="312" spans="1:53">
      <c r="A312" s="3"/>
      <c r="B312" s="206"/>
      <c r="C312" s="206"/>
      <c r="D312" s="206"/>
      <c r="E312" s="206"/>
      <c r="F312" s="206"/>
      <c r="G312" s="206"/>
      <c r="H312" s="206"/>
      <c r="I312" s="206"/>
      <c r="J312" s="206"/>
      <c r="K312" s="206"/>
      <c r="L312" s="206"/>
      <c r="M312" s="206"/>
      <c r="N312" s="202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>
      <c r="A313" s="3"/>
      <c r="B313" s="213"/>
      <c r="C313" s="213"/>
      <c r="D313" s="213"/>
      <c r="E313" s="213"/>
      <c r="F313" s="213"/>
      <c r="G313" s="213"/>
      <c r="H313" s="213"/>
      <c r="I313" s="213"/>
      <c r="J313" s="213"/>
      <c r="K313" s="213"/>
      <c r="L313" s="213"/>
      <c r="M313" s="213"/>
      <c r="N313" s="202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>
      <c r="A314" s="3"/>
      <c r="B314" s="213"/>
      <c r="C314" s="213"/>
      <c r="D314" s="213"/>
      <c r="E314" s="213"/>
      <c r="F314" s="213"/>
      <c r="G314" s="213"/>
      <c r="H314" s="213"/>
      <c r="I314" s="213"/>
      <c r="J314" s="213"/>
      <c r="K314" s="213"/>
      <c r="L314" s="213"/>
      <c r="M314" s="213"/>
      <c r="N314" s="202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>
      <c r="A315" s="3"/>
      <c r="B315" s="213"/>
      <c r="C315" s="213"/>
      <c r="D315" s="213"/>
      <c r="E315" s="213"/>
      <c r="F315" s="213"/>
      <c r="G315" s="213"/>
      <c r="H315" s="213"/>
      <c r="I315" s="213"/>
      <c r="J315" s="213"/>
      <c r="K315" s="213"/>
      <c r="L315" s="213"/>
      <c r="M315" s="213"/>
      <c r="N315" s="202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>
      <c r="A316" s="3"/>
      <c r="B316" s="213"/>
      <c r="C316" s="213"/>
      <c r="D316" s="213"/>
      <c r="E316" s="213"/>
      <c r="F316" s="213"/>
      <c r="G316" s="213"/>
      <c r="H316" s="213"/>
      <c r="I316" s="213"/>
      <c r="J316" s="213"/>
      <c r="K316" s="213"/>
      <c r="L316" s="213"/>
      <c r="M316" s="213"/>
      <c r="N316" s="202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>
      <c r="A317" s="3"/>
      <c r="B317" s="213"/>
      <c r="C317" s="213"/>
      <c r="D317" s="213"/>
      <c r="E317" s="213"/>
      <c r="F317" s="213"/>
      <c r="G317" s="213"/>
      <c r="H317" s="213"/>
      <c r="I317" s="213"/>
      <c r="J317" s="213"/>
      <c r="K317" s="213"/>
      <c r="L317" s="213"/>
      <c r="M317" s="213"/>
      <c r="N317" s="202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>
      <c r="A318" s="3"/>
      <c r="B318" s="213"/>
      <c r="C318" s="213"/>
      <c r="D318" s="213"/>
      <c r="E318" s="213"/>
      <c r="F318" s="213"/>
      <c r="G318" s="213"/>
      <c r="H318" s="213"/>
      <c r="I318" s="213"/>
      <c r="J318" s="213"/>
      <c r="K318" s="213"/>
      <c r="L318" s="213"/>
      <c r="M318" s="213"/>
      <c r="N318" s="202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>
      <c r="A319" s="3"/>
      <c r="B319" s="213"/>
      <c r="C319" s="213"/>
      <c r="D319" s="213"/>
      <c r="E319" s="213"/>
      <c r="F319" s="213"/>
      <c r="G319" s="213"/>
      <c r="H319" s="213"/>
      <c r="I319" s="213"/>
      <c r="J319" s="213"/>
      <c r="K319" s="213"/>
      <c r="L319" s="213"/>
      <c r="M319" s="213"/>
      <c r="N319" s="202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>
      <c r="A320" s="3"/>
      <c r="B320" s="213"/>
      <c r="C320" s="213"/>
      <c r="D320" s="213"/>
      <c r="E320" s="213"/>
      <c r="F320" s="213"/>
      <c r="G320" s="213"/>
      <c r="H320" s="213"/>
      <c r="I320" s="213"/>
      <c r="J320" s="213"/>
      <c r="K320" s="213"/>
      <c r="L320" s="213"/>
      <c r="M320" s="213"/>
      <c r="N320" s="202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>
      <c r="A321" s="3"/>
      <c r="B321" s="213"/>
      <c r="C321" s="213"/>
      <c r="D321" s="213"/>
      <c r="E321" s="213"/>
      <c r="F321" s="213"/>
      <c r="G321" s="213"/>
      <c r="H321" s="213"/>
      <c r="I321" s="213"/>
      <c r="J321" s="213"/>
      <c r="K321" s="213"/>
      <c r="L321" s="213"/>
      <c r="M321" s="213"/>
      <c r="N321" s="202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>
      <c r="A322" s="3"/>
      <c r="B322" s="213"/>
      <c r="C322" s="213"/>
      <c r="D322" s="213"/>
      <c r="E322" s="213"/>
      <c r="F322" s="213"/>
      <c r="G322" s="213"/>
      <c r="H322" s="213"/>
      <c r="I322" s="213"/>
      <c r="J322" s="213"/>
      <c r="K322" s="213"/>
      <c r="L322" s="213"/>
      <c r="M322" s="213"/>
      <c r="N322" s="202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>
      <c r="A323" s="3"/>
      <c r="B323" s="213"/>
      <c r="C323" s="213"/>
      <c r="D323" s="213"/>
      <c r="E323" s="213"/>
      <c r="F323" s="213"/>
      <c r="G323" s="213"/>
      <c r="H323" s="213"/>
      <c r="I323" s="213"/>
      <c r="J323" s="213"/>
      <c r="K323" s="213"/>
      <c r="L323" s="213"/>
      <c r="M323" s="213"/>
      <c r="N323" s="202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>
      <c r="A324" s="3"/>
      <c r="B324" s="213"/>
      <c r="C324" s="213"/>
      <c r="D324" s="213"/>
      <c r="E324" s="213"/>
      <c r="F324" s="213"/>
      <c r="G324" s="213"/>
      <c r="H324" s="213"/>
      <c r="I324" s="213"/>
      <c r="J324" s="213"/>
      <c r="K324" s="213"/>
      <c r="L324" s="213"/>
      <c r="M324" s="213"/>
      <c r="N324" s="202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>
      <c r="A325" s="3"/>
      <c r="B325" s="213"/>
      <c r="C325" s="213"/>
      <c r="D325" s="213"/>
      <c r="E325" s="213"/>
      <c r="F325" s="213"/>
      <c r="G325" s="213"/>
      <c r="H325" s="213"/>
      <c r="I325" s="213"/>
      <c r="J325" s="213"/>
      <c r="K325" s="213"/>
      <c r="L325" s="213"/>
      <c r="M325" s="213"/>
      <c r="N325" s="202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>
      <c r="A326" s="3"/>
      <c r="B326" s="213"/>
      <c r="C326" s="213"/>
      <c r="D326" s="213"/>
      <c r="E326" s="213"/>
      <c r="F326" s="213"/>
      <c r="G326" s="213"/>
      <c r="H326" s="213"/>
      <c r="I326" s="213"/>
      <c r="J326" s="213"/>
      <c r="K326" s="213"/>
      <c r="L326" s="213"/>
      <c r="M326" s="213"/>
      <c r="N326" s="202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>
      <c r="A327" s="3"/>
      <c r="B327" s="213"/>
      <c r="C327" s="213"/>
      <c r="D327" s="213"/>
      <c r="E327" s="213"/>
      <c r="F327" s="213"/>
      <c r="G327" s="213"/>
      <c r="H327" s="213"/>
      <c r="I327" s="213"/>
      <c r="J327" s="213"/>
      <c r="K327" s="213"/>
      <c r="L327" s="213"/>
      <c r="M327" s="213"/>
      <c r="N327" s="202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>
      <c r="A328" s="3"/>
      <c r="B328" s="213"/>
      <c r="C328" s="213"/>
      <c r="D328" s="213"/>
      <c r="E328" s="213"/>
      <c r="F328" s="213"/>
      <c r="G328" s="213"/>
      <c r="H328" s="213"/>
      <c r="I328" s="213"/>
      <c r="J328" s="213"/>
      <c r="K328" s="213"/>
      <c r="L328" s="213"/>
      <c r="M328" s="213"/>
      <c r="N328" s="202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>
      <c r="A329" s="3"/>
      <c r="B329" s="213"/>
      <c r="C329" s="213"/>
      <c r="D329" s="213"/>
      <c r="E329" s="213"/>
      <c r="F329" s="213"/>
      <c r="G329" s="213"/>
      <c r="H329" s="213"/>
      <c r="I329" s="213"/>
      <c r="J329" s="213"/>
      <c r="K329" s="213"/>
      <c r="L329" s="213"/>
      <c r="M329" s="213"/>
      <c r="N329" s="202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>
      <c r="A330" s="3"/>
      <c r="B330" s="213"/>
      <c r="C330" s="213"/>
      <c r="D330" s="213"/>
      <c r="E330" s="213"/>
      <c r="F330" s="213"/>
      <c r="G330" s="213"/>
      <c r="H330" s="213"/>
      <c r="I330" s="213"/>
      <c r="J330" s="213"/>
      <c r="K330" s="213"/>
      <c r="L330" s="213"/>
      <c r="M330" s="213"/>
      <c r="N330" s="202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>
      <c r="A331" s="3"/>
      <c r="B331" s="213"/>
      <c r="C331" s="213"/>
      <c r="D331" s="213"/>
      <c r="E331" s="213"/>
      <c r="F331" s="213"/>
      <c r="G331" s="213"/>
      <c r="H331" s="213"/>
      <c r="I331" s="213"/>
      <c r="J331" s="213"/>
      <c r="K331" s="213"/>
      <c r="L331" s="213"/>
      <c r="M331" s="213"/>
      <c r="N331" s="202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>
      <c r="A332" s="3"/>
      <c r="B332" s="213"/>
      <c r="C332" s="213"/>
      <c r="D332" s="213"/>
      <c r="E332" s="213"/>
      <c r="F332" s="213"/>
      <c r="G332" s="213"/>
      <c r="H332" s="213"/>
      <c r="I332" s="213"/>
      <c r="J332" s="213"/>
      <c r="K332" s="213"/>
      <c r="L332" s="213"/>
      <c r="M332" s="213"/>
      <c r="N332" s="202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>
      <c r="A333" s="3"/>
      <c r="B333" s="213"/>
      <c r="C333" s="213"/>
      <c r="D333" s="213"/>
      <c r="E333" s="213"/>
      <c r="F333" s="213"/>
      <c r="G333" s="213"/>
      <c r="H333" s="213"/>
      <c r="I333" s="213"/>
      <c r="J333" s="213"/>
      <c r="K333" s="213"/>
      <c r="L333" s="213"/>
      <c r="M333" s="213"/>
      <c r="N333" s="202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>
      <c r="A334" s="3"/>
      <c r="B334" s="213"/>
      <c r="C334" s="213"/>
      <c r="D334" s="213"/>
      <c r="E334" s="213"/>
      <c r="F334" s="213"/>
      <c r="G334" s="213"/>
      <c r="H334" s="213"/>
      <c r="I334" s="213"/>
      <c r="J334" s="213"/>
      <c r="K334" s="213"/>
      <c r="L334" s="213"/>
      <c r="M334" s="213"/>
      <c r="N334" s="202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>
      <c r="A335" s="3"/>
      <c r="B335" s="213"/>
      <c r="C335" s="213"/>
      <c r="D335" s="213"/>
      <c r="E335" s="213"/>
      <c r="F335" s="213"/>
      <c r="G335" s="213"/>
      <c r="H335" s="213"/>
      <c r="I335" s="213"/>
      <c r="J335" s="213"/>
      <c r="K335" s="213"/>
      <c r="L335" s="213"/>
      <c r="M335" s="213"/>
      <c r="N335" s="202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>
      <c r="A336" s="3"/>
      <c r="B336" s="213"/>
      <c r="C336" s="213"/>
      <c r="D336" s="213"/>
      <c r="E336" s="213"/>
      <c r="F336" s="213"/>
      <c r="G336" s="213"/>
      <c r="H336" s="213"/>
      <c r="I336" s="213"/>
      <c r="J336" s="213"/>
      <c r="K336" s="213"/>
      <c r="L336" s="213"/>
      <c r="M336" s="213"/>
      <c r="N336" s="202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>
      <c r="A337" s="3"/>
      <c r="B337" s="213"/>
      <c r="C337" s="213"/>
      <c r="D337" s="213"/>
      <c r="E337" s="213"/>
      <c r="F337" s="213"/>
      <c r="G337" s="213"/>
      <c r="H337" s="213"/>
      <c r="I337" s="213"/>
      <c r="J337" s="213"/>
      <c r="K337" s="213"/>
      <c r="L337" s="213"/>
      <c r="M337" s="213"/>
      <c r="N337" s="202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>
      <c r="A338" s="3"/>
      <c r="B338" s="213"/>
      <c r="C338" s="213"/>
      <c r="D338" s="213"/>
      <c r="E338" s="213"/>
      <c r="F338" s="213"/>
      <c r="G338" s="213"/>
      <c r="H338" s="213"/>
      <c r="I338" s="213"/>
      <c r="J338" s="213"/>
      <c r="K338" s="213"/>
      <c r="L338" s="213"/>
      <c r="M338" s="213"/>
      <c r="N338" s="202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>
      <c r="A339" s="3"/>
      <c r="B339" s="213"/>
      <c r="C339" s="213"/>
      <c r="D339" s="213"/>
      <c r="E339" s="213"/>
      <c r="F339" s="213"/>
      <c r="G339" s="213"/>
      <c r="H339" s="213"/>
      <c r="I339" s="213"/>
      <c r="J339" s="213"/>
      <c r="K339" s="213"/>
      <c r="L339" s="213"/>
      <c r="M339" s="213"/>
      <c r="N339" s="202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>
      <c r="A340" s="10"/>
      <c r="B340" s="213"/>
      <c r="C340" s="213"/>
      <c r="D340" s="213"/>
      <c r="E340" s="213"/>
      <c r="F340" s="213"/>
      <c r="G340" s="213"/>
      <c r="H340" s="213"/>
      <c r="I340" s="213"/>
      <c r="J340" s="213"/>
      <c r="K340" s="213"/>
      <c r="L340" s="213"/>
      <c r="M340" s="213"/>
      <c r="N340" s="202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>
      <c r="A341" s="10"/>
      <c r="B341" s="213"/>
      <c r="C341" s="213"/>
      <c r="D341" s="213"/>
      <c r="E341" s="213"/>
      <c r="F341" s="213"/>
      <c r="G341" s="213"/>
      <c r="H341" s="213"/>
      <c r="I341" s="213"/>
      <c r="J341" s="213"/>
      <c r="K341" s="213"/>
      <c r="L341" s="213"/>
      <c r="M341" s="213"/>
      <c r="N341" s="202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>
      <c r="A342" s="10"/>
      <c r="B342" s="213"/>
      <c r="C342" s="213"/>
      <c r="D342" s="213"/>
      <c r="E342" s="213"/>
      <c r="F342" s="213"/>
      <c r="G342" s="213"/>
      <c r="H342" s="213"/>
      <c r="I342" s="213"/>
      <c r="J342" s="213"/>
      <c r="K342" s="213"/>
      <c r="L342" s="213"/>
      <c r="M342" s="213"/>
      <c r="N342" s="202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>
      <c r="A343" s="10"/>
      <c r="B343" s="213"/>
      <c r="C343" s="213"/>
      <c r="D343" s="213"/>
      <c r="E343" s="213"/>
      <c r="F343" s="213"/>
      <c r="G343" s="213"/>
      <c r="H343" s="213"/>
      <c r="I343" s="213"/>
      <c r="J343" s="213"/>
      <c r="K343" s="213"/>
      <c r="L343" s="213"/>
      <c r="M343" s="213"/>
      <c r="N343" s="202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>
      <c r="A344" s="10"/>
      <c r="B344" s="213"/>
      <c r="C344" s="213"/>
      <c r="D344" s="213"/>
      <c r="E344" s="213"/>
      <c r="F344" s="213"/>
      <c r="G344" s="213"/>
      <c r="H344" s="213"/>
      <c r="I344" s="213"/>
      <c r="J344" s="213"/>
      <c r="K344" s="213"/>
      <c r="L344" s="213"/>
      <c r="M344" s="213"/>
      <c r="N344" s="202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>
      <c r="B345" s="202"/>
      <c r="C345" s="202"/>
      <c r="D345" s="202"/>
      <c r="E345" s="202"/>
      <c r="F345" s="202"/>
      <c r="G345" s="202"/>
      <c r="H345" s="202"/>
      <c r="I345" s="202"/>
      <c r="J345" s="202"/>
      <c r="K345" s="202"/>
      <c r="L345" s="202"/>
      <c r="M345" s="202"/>
      <c r="N345" s="202"/>
    </row>
    <row r="346" spans="1:53" ht="15.75">
      <c r="A346" s="3"/>
      <c r="B346" s="209"/>
      <c r="C346" s="209"/>
      <c r="D346" s="209"/>
      <c r="E346" s="209"/>
      <c r="F346" s="209"/>
      <c r="G346" s="209"/>
      <c r="H346" s="209"/>
      <c r="I346" s="209"/>
      <c r="J346" s="209"/>
      <c r="K346" s="209"/>
      <c r="L346" s="209"/>
      <c r="M346" s="209"/>
      <c r="N346" s="202"/>
      <c r="P346" s="43"/>
      <c r="Q346" s="43"/>
      <c r="R346" s="3"/>
      <c r="S346" s="43"/>
      <c r="T346" s="4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ht="15.75">
      <c r="A347" s="3"/>
      <c r="B347" s="209"/>
      <c r="C347" s="209"/>
      <c r="D347" s="209"/>
      <c r="E347" s="209"/>
      <c r="F347" s="209"/>
      <c r="G347" s="209"/>
      <c r="H347" s="209"/>
      <c r="I347" s="209"/>
      <c r="J347" s="209"/>
      <c r="K347" s="209"/>
      <c r="L347" s="209"/>
      <c r="M347" s="209"/>
      <c r="N347" s="202"/>
      <c r="P347" s="43"/>
      <c r="Q347" s="43"/>
      <c r="R347" s="3"/>
      <c r="S347" s="43"/>
      <c r="T347" s="4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ht="15.75">
      <c r="A348" s="3"/>
      <c r="B348" s="209"/>
      <c r="C348" s="209"/>
      <c r="D348" s="209"/>
      <c r="E348" s="209"/>
      <c r="F348" s="209"/>
      <c r="G348" s="209"/>
      <c r="H348" s="209"/>
      <c r="I348" s="209"/>
      <c r="J348" s="209"/>
      <c r="K348" s="209"/>
      <c r="L348" s="209"/>
      <c r="M348" s="209"/>
      <c r="N348" s="202"/>
      <c r="P348" s="43"/>
      <c r="Q348" s="43"/>
      <c r="R348" s="3"/>
      <c r="S348" s="43"/>
      <c r="T348" s="192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>
      <c r="A349" s="3"/>
      <c r="B349" s="209"/>
      <c r="C349" s="209"/>
      <c r="D349" s="209"/>
      <c r="E349" s="209"/>
      <c r="F349" s="209"/>
      <c r="G349" s="209"/>
      <c r="H349" s="209"/>
      <c r="I349" s="209"/>
      <c r="J349" s="209"/>
      <c r="K349" s="209"/>
      <c r="L349" s="209"/>
      <c r="M349" s="209"/>
      <c r="N349" s="202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>
      <c r="A350" s="29"/>
      <c r="B350" s="202"/>
      <c r="C350" s="202"/>
      <c r="D350" s="202"/>
      <c r="E350" s="202"/>
      <c r="F350" s="202"/>
      <c r="G350" s="202"/>
      <c r="H350" s="202"/>
      <c r="I350" s="202"/>
      <c r="J350" s="202"/>
      <c r="K350" s="202"/>
      <c r="L350" s="202"/>
      <c r="M350" s="202"/>
      <c r="N350" s="202"/>
    </row>
    <row r="351" spans="1:53">
      <c r="A351" s="3"/>
      <c r="B351" s="202"/>
      <c r="C351" s="202"/>
      <c r="D351" s="202"/>
      <c r="E351" s="202"/>
      <c r="F351" s="202"/>
      <c r="G351" s="202"/>
      <c r="H351" s="202"/>
      <c r="I351" s="202"/>
      <c r="J351" s="202"/>
      <c r="K351" s="202"/>
      <c r="L351" s="202"/>
      <c r="M351" s="202"/>
      <c r="N351" s="202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>
      <c r="B352" s="202"/>
      <c r="C352" s="202"/>
      <c r="D352" s="202"/>
      <c r="E352" s="202"/>
      <c r="F352" s="202"/>
      <c r="G352" s="202"/>
      <c r="H352" s="202"/>
      <c r="I352" s="202"/>
      <c r="J352" s="202"/>
      <c r="K352" s="202"/>
      <c r="L352" s="202"/>
      <c r="M352" s="202"/>
      <c r="N352" s="202"/>
    </row>
    <row r="353" spans="2:14">
      <c r="B353" s="202"/>
      <c r="C353" s="202"/>
      <c r="D353" s="202"/>
      <c r="E353" s="202"/>
      <c r="F353" s="202"/>
      <c r="G353" s="202"/>
      <c r="H353" s="202"/>
      <c r="I353" s="202"/>
      <c r="J353" s="202"/>
      <c r="K353" s="202"/>
      <c r="L353" s="202"/>
      <c r="M353" s="202"/>
      <c r="N353" s="202"/>
    </row>
    <row r="354" spans="2:14">
      <c r="B354" s="202"/>
      <c r="C354" s="202"/>
      <c r="D354" s="202"/>
      <c r="E354" s="202"/>
      <c r="F354" s="202"/>
      <c r="G354" s="202"/>
      <c r="H354" s="202"/>
      <c r="I354" s="202"/>
      <c r="J354" s="202"/>
      <c r="K354" s="202"/>
      <c r="L354" s="202"/>
      <c r="M354" s="202"/>
      <c r="N354" s="202"/>
    </row>
    <row r="355" spans="2:14">
      <c r="B355" s="202"/>
      <c r="C355" s="202"/>
      <c r="D355" s="202"/>
      <c r="E355" s="202"/>
      <c r="F355" s="202"/>
      <c r="G355" s="202"/>
      <c r="H355" s="202"/>
      <c r="I355" s="202"/>
      <c r="J355" s="202"/>
      <c r="K355" s="202"/>
      <c r="L355" s="202"/>
      <c r="M355" s="202"/>
      <c r="N355" s="202"/>
    </row>
    <row r="356" spans="2:14">
      <c r="B356" s="202"/>
      <c r="C356" s="202"/>
      <c r="D356" s="202"/>
      <c r="E356" s="202"/>
      <c r="F356" s="202"/>
      <c r="G356" s="202"/>
      <c r="H356" s="202"/>
      <c r="I356" s="202"/>
      <c r="J356" s="202"/>
      <c r="K356" s="202"/>
      <c r="L356" s="202"/>
      <c r="M356" s="202"/>
      <c r="N356" s="202"/>
    </row>
    <row r="357" spans="2:14">
      <c r="B357" s="202"/>
      <c r="C357" s="202"/>
      <c r="D357" s="202"/>
      <c r="E357" s="202"/>
      <c r="F357" s="202"/>
      <c r="G357" s="202"/>
      <c r="H357" s="202"/>
      <c r="I357" s="202"/>
      <c r="J357" s="202"/>
      <c r="K357" s="202"/>
      <c r="L357" s="202"/>
      <c r="M357" s="202"/>
      <c r="N357" s="202"/>
    </row>
    <row r="358" spans="2:14">
      <c r="B358" s="202"/>
      <c r="C358" s="202"/>
      <c r="D358" s="202"/>
      <c r="E358" s="202"/>
      <c r="F358" s="202"/>
      <c r="G358" s="202"/>
      <c r="H358" s="202"/>
      <c r="I358" s="202"/>
      <c r="J358" s="202"/>
      <c r="K358" s="202"/>
      <c r="L358" s="202"/>
      <c r="M358" s="202"/>
      <c r="N358" s="202"/>
    </row>
    <row r="359" spans="2:14">
      <c r="B359" s="202"/>
      <c r="C359" s="202"/>
      <c r="D359" s="202"/>
      <c r="E359" s="202"/>
      <c r="F359" s="202"/>
      <c r="G359" s="202"/>
      <c r="H359" s="202"/>
      <c r="I359" s="202"/>
      <c r="J359" s="202"/>
      <c r="K359" s="202"/>
      <c r="L359" s="202"/>
      <c r="M359" s="202"/>
      <c r="N359" s="202"/>
    </row>
    <row r="360" spans="2:14">
      <c r="B360" s="202"/>
      <c r="C360" s="202"/>
      <c r="D360" s="202"/>
      <c r="E360" s="202"/>
      <c r="F360" s="202"/>
      <c r="G360" s="202"/>
      <c r="H360" s="202"/>
      <c r="I360" s="202"/>
      <c r="J360" s="202"/>
      <c r="K360" s="202"/>
      <c r="L360" s="202"/>
      <c r="M360" s="202"/>
      <c r="N360" s="202"/>
    </row>
    <row r="361" spans="2:14">
      <c r="B361" s="202"/>
      <c r="C361" s="202"/>
      <c r="D361" s="202"/>
      <c r="E361" s="202"/>
      <c r="F361" s="202"/>
      <c r="G361" s="202"/>
      <c r="H361" s="202"/>
      <c r="I361" s="202"/>
      <c r="J361" s="202"/>
      <c r="K361" s="202"/>
      <c r="L361" s="202"/>
      <c r="M361" s="202"/>
      <c r="N361" s="202"/>
    </row>
    <row r="362" spans="2:14">
      <c r="B362" s="202"/>
      <c r="C362" s="202"/>
      <c r="D362" s="202"/>
      <c r="E362" s="202"/>
      <c r="F362" s="202"/>
      <c r="G362" s="202"/>
      <c r="H362" s="202"/>
      <c r="I362" s="202"/>
      <c r="J362" s="202"/>
      <c r="K362" s="202"/>
      <c r="L362" s="202"/>
      <c r="M362" s="202"/>
      <c r="N362" s="202"/>
    </row>
    <row r="363" spans="2:14">
      <c r="B363" s="202"/>
      <c r="C363" s="202"/>
      <c r="D363" s="202"/>
      <c r="E363" s="202"/>
      <c r="F363" s="202"/>
      <c r="G363" s="202"/>
      <c r="H363" s="202"/>
      <c r="I363" s="202"/>
      <c r="J363" s="202"/>
      <c r="K363" s="202"/>
      <c r="L363" s="202"/>
      <c r="M363" s="202"/>
      <c r="N363" s="202"/>
    </row>
    <row r="364" spans="2:14">
      <c r="B364" s="202"/>
      <c r="C364" s="202"/>
      <c r="D364" s="202"/>
      <c r="E364" s="202"/>
      <c r="F364" s="202"/>
      <c r="G364" s="202"/>
      <c r="H364" s="202"/>
      <c r="I364" s="202"/>
      <c r="J364" s="202"/>
      <c r="K364" s="202"/>
      <c r="L364" s="202"/>
      <c r="M364" s="202"/>
      <c r="N364" s="202"/>
    </row>
    <row r="365" spans="2:14">
      <c r="B365" s="202"/>
      <c r="C365" s="202"/>
      <c r="D365" s="202"/>
      <c r="E365" s="202"/>
      <c r="F365" s="202"/>
      <c r="G365" s="202"/>
      <c r="H365" s="202"/>
      <c r="I365" s="202"/>
      <c r="J365" s="202"/>
      <c r="K365" s="202"/>
      <c r="L365" s="202"/>
      <c r="M365" s="202"/>
      <c r="N365" s="202"/>
    </row>
    <row r="366" spans="2:14">
      <c r="B366" s="202"/>
      <c r="C366" s="202"/>
      <c r="D366" s="202"/>
      <c r="E366" s="202"/>
      <c r="F366" s="202"/>
      <c r="G366" s="202"/>
      <c r="H366" s="202"/>
      <c r="I366" s="202"/>
      <c r="J366" s="202"/>
      <c r="K366" s="202"/>
      <c r="L366" s="202"/>
      <c r="M366" s="202"/>
      <c r="N366" s="202"/>
    </row>
    <row r="367" spans="2:14">
      <c r="B367" s="202"/>
      <c r="C367" s="202"/>
      <c r="D367" s="202"/>
      <c r="E367" s="202"/>
      <c r="F367" s="202"/>
      <c r="G367" s="202"/>
      <c r="H367" s="202"/>
      <c r="I367" s="202"/>
      <c r="J367" s="202"/>
      <c r="K367" s="202"/>
      <c r="L367" s="202"/>
      <c r="M367" s="202"/>
      <c r="N367" s="202"/>
    </row>
    <row r="368" spans="2:14">
      <c r="B368" s="202"/>
      <c r="C368" s="202"/>
      <c r="D368" s="202"/>
      <c r="E368" s="202"/>
      <c r="F368" s="202"/>
      <c r="G368" s="202"/>
      <c r="H368" s="202"/>
      <c r="I368" s="202"/>
      <c r="J368" s="202"/>
      <c r="K368" s="202"/>
      <c r="L368" s="202"/>
      <c r="M368" s="202"/>
      <c r="N368" s="202"/>
    </row>
    <row r="369" spans="2:14">
      <c r="B369" s="202"/>
      <c r="C369" s="202"/>
      <c r="D369" s="202"/>
      <c r="E369" s="202"/>
      <c r="F369" s="202"/>
      <c r="G369" s="202"/>
      <c r="H369" s="202"/>
      <c r="I369" s="202"/>
      <c r="J369" s="202"/>
      <c r="K369" s="202"/>
      <c r="L369" s="202"/>
      <c r="M369" s="202"/>
      <c r="N369" s="202"/>
    </row>
    <row r="370" spans="2:14">
      <c r="B370" s="202"/>
      <c r="C370" s="202"/>
      <c r="D370" s="202"/>
      <c r="E370" s="202"/>
      <c r="F370" s="202"/>
      <c r="G370" s="202"/>
      <c r="H370" s="202"/>
      <c r="I370" s="202"/>
      <c r="J370" s="202"/>
      <c r="K370" s="202"/>
      <c r="L370" s="202"/>
      <c r="M370" s="202"/>
      <c r="N370" s="202"/>
    </row>
    <row r="371" spans="2:14">
      <c r="B371" s="202"/>
      <c r="C371" s="202"/>
      <c r="D371" s="202"/>
      <c r="E371" s="202"/>
      <c r="F371" s="202"/>
      <c r="G371" s="202"/>
      <c r="H371" s="202"/>
      <c r="I371" s="202"/>
      <c r="J371" s="202"/>
      <c r="K371" s="202"/>
      <c r="L371" s="202"/>
      <c r="M371" s="202"/>
      <c r="N371" s="202"/>
    </row>
    <row r="372" spans="2:14">
      <c r="B372" s="202"/>
      <c r="C372" s="202"/>
      <c r="D372" s="202"/>
      <c r="E372" s="202"/>
      <c r="F372" s="202"/>
      <c r="G372" s="202"/>
      <c r="H372" s="202"/>
      <c r="I372" s="202"/>
      <c r="J372" s="202"/>
      <c r="K372" s="202"/>
      <c r="L372" s="202"/>
      <c r="M372" s="202"/>
      <c r="N372" s="202"/>
    </row>
    <row r="373" spans="2:14">
      <c r="B373" s="202"/>
      <c r="C373" s="202"/>
      <c r="D373" s="202"/>
      <c r="E373" s="202"/>
      <c r="F373" s="202"/>
      <c r="G373" s="202"/>
      <c r="H373" s="202"/>
      <c r="I373" s="202"/>
      <c r="J373" s="202"/>
      <c r="K373" s="202"/>
      <c r="L373" s="202"/>
      <c r="M373" s="202"/>
      <c r="N373" s="202"/>
    </row>
    <row r="374" spans="2:14">
      <c r="B374" s="202"/>
      <c r="C374" s="202"/>
      <c r="D374" s="202"/>
      <c r="E374" s="202"/>
      <c r="F374" s="202"/>
      <c r="G374" s="202"/>
      <c r="H374" s="202"/>
      <c r="I374" s="202"/>
      <c r="J374" s="202"/>
      <c r="K374" s="202"/>
      <c r="L374" s="202"/>
      <c r="M374" s="202"/>
      <c r="N374" s="202"/>
    </row>
    <row r="375" spans="2:14">
      <c r="B375" s="202"/>
      <c r="C375" s="202"/>
      <c r="D375" s="202"/>
      <c r="E375" s="202"/>
      <c r="F375" s="202"/>
      <c r="G375" s="202"/>
      <c r="H375" s="202"/>
      <c r="I375" s="202"/>
      <c r="J375" s="202"/>
      <c r="K375" s="202"/>
      <c r="L375" s="202"/>
      <c r="M375" s="202"/>
      <c r="N375" s="202"/>
    </row>
    <row r="376" spans="2:14">
      <c r="B376" s="202"/>
      <c r="C376" s="202"/>
      <c r="D376" s="202"/>
      <c r="E376" s="202"/>
      <c r="F376" s="202"/>
      <c r="G376" s="202"/>
      <c r="H376" s="202"/>
      <c r="I376" s="202"/>
      <c r="J376" s="202"/>
      <c r="K376" s="202"/>
      <c r="L376" s="202"/>
      <c r="M376" s="202"/>
      <c r="N376" s="202"/>
    </row>
    <row r="377" spans="2:14">
      <c r="B377" s="202"/>
      <c r="C377" s="202"/>
      <c r="D377" s="202"/>
      <c r="E377" s="202"/>
      <c r="F377" s="202"/>
      <c r="G377" s="202"/>
      <c r="H377" s="202"/>
      <c r="I377" s="202"/>
      <c r="J377" s="202"/>
      <c r="K377" s="202"/>
      <c r="L377" s="202"/>
      <c r="M377" s="202"/>
      <c r="N377" s="202"/>
    </row>
    <row r="378" spans="2:14">
      <c r="B378" s="202"/>
      <c r="C378" s="202"/>
      <c r="D378" s="202"/>
      <c r="E378" s="202"/>
      <c r="F378" s="202"/>
      <c r="G378" s="202"/>
      <c r="H378" s="202"/>
      <c r="I378" s="202"/>
      <c r="J378" s="202"/>
      <c r="K378" s="202"/>
      <c r="L378" s="202"/>
      <c r="M378" s="202"/>
      <c r="N378" s="202"/>
    </row>
    <row r="379" spans="2:14">
      <c r="B379" s="202"/>
      <c r="C379" s="202"/>
      <c r="D379" s="202"/>
      <c r="E379" s="202"/>
      <c r="F379" s="202"/>
      <c r="G379" s="202"/>
      <c r="H379" s="202"/>
      <c r="I379" s="202"/>
      <c r="J379" s="202"/>
      <c r="K379" s="202"/>
      <c r="L379" s="202"/>
      <c r="M379" s="202"/>
      <c r="N379" s="202"/>
    </row>
    <row r="380" spans="2:14">
      <c r="B380" s="202"/>
      <c r="C380" s="202"/>
      <c r="D380" s="202"/>
      <c r="E380" s="202"/>
      <c r="F380" s="202"/>
      <c r="G380" s="202"/>
      <c r="H380" s="202"/>
      <c r="I380" s="202"/>
      <c r="J380" s="202"/>
      <c r="K380" s="202"/>
      <c r="L380" s="202"/>
      <c r="M380" s="202"/>
      <c r="N380" s="202"/>
    </row>
    <row r="381" spans="2:14">
      <c r="B381" s="202"/>
      <c r="C381" s="202"/>
      <c r="D381" s="202"/>
      <c r="E381" s="202"/>
      <c r="F381" s="202"/>
      <c r="G381" s="202"/>
      <c r="H381" s="202"/>
      <c r="I381" s="202"/>
      <c r="J381" s="202"/>
      <c r="K381" s="202"/>
      <c r="L381" s="202"/>
      <c r="M381" s="202"/>
      <c r="N381" s="202"/>
    </row>
    <row r="382" spans="2:14">
      <c r="B382" s="202"/>
      <c r="C382" s="202"/>
      <c r="D382" s="202"/>
      <c r="E382" s="202"/>
      <c r="F382" s="202"/>
      <c r="G382" s="202"/>
      <c r="H382" s="202"/>
      <c r="I382" s="202"/>
      <c r="J382" s="202"/>
      <c r="K382" s="202"/>
      <c r="L382" s="202"/>
      <c r="M382" s="202"/>
      <c r="N382" s="202"/>
    </row>
    <row r="383" spans="2:14">
      <c r="B383" s="202"/>
      <c r="C383" s="202"/>
      <c r="D383" s="202"/>
      <c r="E383" s="202"/>
      <c r="F383" s="202"/>
      <c r="G383" s="202"/>
      <c r="H383" s="202"/>
      <c r="I383" s="202"/>
      <c r="J383" s="202"/>
      <c r="K383" s="202"/>
      <c r="L383" s="202"/>
      <c r="M383" s="202"/>
      <c r="N383" s="202"/>
    </row>
    <row r="384" spans="2:14">
      <c r="B384" s="202"/>
      <c r="C384" s="202"/>
      <c r="D384" s="202"/>
      <c r="E384" s="202"/>
      <c r="F384" s="202"/>
      <c r="G384" s="202"/>
      <c r="H384" s="202"/>
      <c r="I384" s="202"/>
      <c r="J384" s="202"/>
      <c r="K384" s="202"/>
      <c r="L384" s="202"/>
      <c r="M384" s="202"/>
      <c r="N384" s="202"/>
    </row>
    <row r="385" spans="2:14">
      <c r="B385" s="202"/>
      <c r="C385" s="202"/>
      <c r="D385" s="202"/>
      <c r="E385" s="202"/>
      <c r="F385" s="202"/>
      <c r="G385" s="202"/>
      <c r="H385" s="202"/>
      <c r="I385" s="202"/>
      <c r="J385" s="202"/>
      <c r="K385" s="202"/>
      <c r="L385" s="202"/>
      <c r="M385" s="202"/>
      <c r="N385" s="202"/>
    </row>
    <row r="386" spans="2:14">
      <c r="B386" s="202"/>
      <c r="C386" s="202"/>
      <c r="D386" s="202"/>
      <c r="E386" s="202"/>
      <c r="F386" s="202"/>
      <c r="G386" s="202"/>
      <c r="H386" s="202"/>
      <c r="I386" s="202"/>
      <c r="J386" s="202"/>
      <c r="K386" s="202"/>
      <c r="L386" s="202"/>
      <c r="M386" s="202"/>
      <c r="N386" s="202"/>
    </row>
    <row r="387" spans="2:14">
      <c r="B387" s="202"/>
      <c r="C387" s="202"/>
      <c r="D387" s="202"/>
      <c r="E387" s="202"/>
      <c r="F387" s="202"/>
      <c r="G387" s="202"/>
      <c r="H387" s="202"/>
      <c r="I387" s="202"/>
      <c r="J387" s="202"/>
      <c r="K387" s="202"/>
      <c r="L387" s="202"/>
      <c r="M387" s="202"/>
      <c r="N387" s="202"/>
    </row>
    <row r="388" spans="2:14">
      <c r="B388" s="202"/>
      <c r="C388" s="202"/>
      <c r="D388" s="202"/>
      <c r="E388" s="202"/>
      <c r="F388" s="202"/>
      <c r="G388" s="202"/>
      <c r="H388" s="202"/>
      <c r="I388" s="202"/>
      <c r="J388" s="202"/>
      <c r="K388" s="202"/>
      <c r="L388" s="202"/>
      <c r="M388" s="202"/>
      <c r="N388" s="202"/>
    </row>
    <row r="389" spans="2:14">
      <c r="B389" s="202"/>
      <c r="C389" s="202"/>
      <c r="D389" s="202"/>
      <c r="E389" s="202"/>
      <c r="F389" s="202"/>
      <c r="G389" s="202"/>
      <c r="H389" s="202"/>
      <c r="I389" s="202"/>
      <c r="J389" s="202"/>
      <c r="K389" s="202"/>
      <c r="L389" s="202"/>
      <c r="M389" s="202"/>
      <c r="N389" s="202"/>
    </row>
    <row r="390" spans="2:14">
      <c r="B390" s="202"/>
      <c r="C390" s="202"/>
      <c r="D390" s="202"/>
      <c r="E390" s="202"/>
      <c r="F390" s="202"/>
      <c r="G390" s="202"/>
      <c r="H390" s="202"/>
      <c r="I390" s="202"/>
      <c r="J390" s="202"/>
      <c r="K390" s="202"/>
      <c r="L390" s="202"/>
      <c r="M390" s="202"/>
      <c r="N390" s="202"/>
    </row>
    <row r="391" spans="2:14">
      <c r="B391" s="202"/>
      <c r="C391" s="202"/>
      <c r="D391" s="202"/>
      <c r="E391" s="202"/>
      <c r="F391" s="202"/>
      <c r="G391" s="202"/>
      <c r="H391" s="202"/>
      <c r="I391" s="202"/>
      <c r="J391" s="202"/>
      <c r="K391" s="202"/>
      <c r="L391" s="202"/>
      <c r="M391" s="202"/>
      <c r="N391" s="202"/>
    </row>
    <row r="392" spans="2:14">
      <c r="B392" s="202"/>
      <c r="C392" s="202"/>
      <c r="D392" s="202"/>
      <c r="E392" s="202"/>
      <c r="F392" s="202"/>
      <c r="G392" s="202"/>
      <c r="H392" s="202"/>
      <c r="I392" s="202"/>
      <c r="J392" s="202"/>
      <c r="K392" s="202"/>
      <c r="L392" s="202"/>
      <c r="M392" s="202"/>
      <c r="N392" s="202"/>
    </row>
    <row r="393" spans="2:14">
      <c r="B393" s="202"/>
      <c r="C393" s="202"/>
      <c r="D393" s="202"/>
      <c r="E393" s="202"/>
      <c r="F393" s="202"/>
      <c r="G393" s="202"/>
      <c r="H393" s="202"/>
      <c r="I393" s="202"/>
      <c r="J393" s="202"/>
      <c r="K393" s="202"/>
      <c r="L393" s="202"/>
      <c r="M393" s="202"/>
      <c r="N393" s="202"/>
    </row>
    <row r="394" spans="2:14">
      <c r="B394" s="202"/>
      <c r="C394" s="202"/>
      <c r="D394" s="202"/>
      <c r="E394" s="202"/>
      <c r="F394" s="202"/>
      <c r="G394" s="202"/>
      <c r="H394" s="202"/>
      <c r="I394" s="202"/>
      <c r="J394" s="202"/>
      <c r="K394" s="202"/>
      <c r="L394" s="202"/>
      <c r="M394" s="202"/>
      <c r="N394" s="202"/>
    </row>
    <row r="395" spans="2:14">
      <c r="B395" s="202"/>
      <c r="C395" s="202"/>
      <c r="D395" s="202"/>
      <c r="E395" s="202"/>
      <c r="F395" s="202"/>
      <c r="G395" s="202"/>
      <c r="H395" s="202"/>
      <c r="I395" s="202"/>
      <c r="J395" s="202"/>
      <c r="K395" s="202"/>
      <c r="L395" s="202"/>
      <c r="M395" s="202"/>
      <c r="N395" s="202"/>
    </row>
    <row r="396" spans="2:14">
      <c r="B396" s="202"/>
      <c r="C396" s="202"/>
      <c r="D396" s="202"/>
      <c r="E396" s="202"/>
      <c r="F396" s="202"/>
      <c r="G396" s="202"/>
      <c r="H396" s="202"/>
      <c r="I396" s="202"/>
      <c r="J396" s="202"/>
      <c r="K396" s="202"/>
      <c r="L396" s="202"/>
      <c r="M396" s="202"/>
      <c r="N396" s="202"/>
    </row>
    <row r="397" spans="2:14">
      <c r="B397" s="202"/>
      <c r="C397" s="202"/>
      <c r="D397" s="202"/>
      <c r="E397" s="202"/>
      <c r="F397" s="202"/>
      <c r="G397" s="202"/>
      <c r="H397" s="202"/>
      <c r="I397" s="202"/>
      <c r="J397" s="202"/>
      <c r="K397" s="202"/>
      <c r="L397" s="202"/>
      <c r="M397" s="202"/>
      <c r="N397" s="202"/>
    </row>
    <row r="398" spans="2:14">
      <c r="B398" s="202"/>
      <c r="C398" s="202"/>
      <c r="D398" s="202"/>
      <c r="E398" s="202"/>
      <c r="F398" s="202"/>
      <c r="G398" s="202"/>
      <c r="H398" s="202"/>
      <c r="I398" s="202"/>
      <c r="J398" s="202"/>
      <c r="K398" s="202"/>
      <c r="L398" s="202"/>
      <c r="M398" s="202"/>
      <c r="N398" s="202"/>
    </row>
    <row r="399" spans="2:14">
      <c r="B399" s="202"/>
      <c r="C399" s="202"/>
      <c r="D399" s="202"/>
      <c r="E399" s="202"/>
      <c r="F399" s="202"/>
      <c r="G399" s="202"/>
      <c r="H399" s="202"/>
      <c r="I399" s="202"/>
      <c r="J399" s="202"/>
      <c r="K399" s="202"/>
      <c r="L399" s="202"/>
      <c r="M399" s="202"/>
      <c r="N399" s="202"/>
    </row>
    <row r="400" spans="2:14">
      <c r="B400" s="202"/>
      <c r="C400" s="202"/>
      <c r="D400" s="202"/>
      <c r="E400" s="202"/>
      <c r="F400" s="202"/>
      <c r="G400" s="202"/>
      <c r="H400" s="202"/>
      <c r="I400" s="202"/>
      <c r="J400" s="202"/>
      <c r="K400" s="202"/>
      <c r="L400" s="202"/>
      <c r="M400" s="202"/>
      <c r="N400" s="202"/>
    </row>
    <row r="401" spans="2:14">
      <c r="B401" s="202"/>
      <c r="C401" s="202"/>
      <c r="D401" s="202"/>
      <c r="E401" s="202"/>
      <c r="F401" s="202"/>
      <c r="G401" s="202"/>
      <c r="H401" s="202"/>
      <c r="I401" s="202"/>
      <c r="J401" s="202"/>
      <c r="K401" s="202"/>
      <c r="L401" s="202"/>
      <c r="M401" s="202"/>
      <c r="N401" s="202"/>
    </row>
    <row r="402" spans="2:14">
      <c r="B402" s="202"/>
      <c r="C402" s="202"/>
      <c r="D402" s="202"/>
      <c r="E402" s="202"/>
      <c r="F402" s="202"/>
      <c r="G402" s="202"/>
      <c r="H402" s="202"/>
      <c r="I402" s="202"/>
      <c r="J402" s="202"/>
      <c r="K402" s="202"/>
      <c r="L402" s="202"/>
      <c r="M402" s="202"/>
      <c r="N402" s="202"/>
    </row>
    <row r="403" spans="2:14">
      <c r="B403" s="202"/>
      <c r="C403" s="202"/>
      <c r="D403" s="202"/>
      <c r="E403" s="202"/>
      <c r="F403" s="202"/>
      <c r="G403" s="202"/>
      <c r="H403" s="202"/>
      <c r="I403" s="202"/>
      <c r="J403" s="202"/>
      <c r="K403" s="202"/>
      <c r="L403" s="202"/>
      <c r="M403" s="202"/>
      <c r="N403" s="202"/>
    </row>
    <row r="404" spans="2:14">
      <c r="B404" s="202"/>
      <c r="C404" s="202"/>
      <c r="D404" s="202"/>
      <c r="E404" s="202"/>
      <c r="F404" s="202"/>
      <c r="G404" s="202"/>
      <c r="H404" s="202"/>
      <c r="I404" s="202"/>
      <c r="J404" s="202"/>
      <c r="K404" s="202"/>
      <c r="L404" s="202"/>
      <c r="M404" s="202"/>
      <c r="N404" s="202"/>
    </row>
    <row r="405" spans="2:14">
      <c r="B405" s="202"/>
      <c r="C405" s="202"/>
      <c r="D405" s="202"/>
      <c r="E405" s="202"/>
      <c r="F405" s="202"/>
      <c r="G405" s="202"/>
      <c r="H405" s="202"/>
      <c r="I405" s="202"/>
      <c r="J405" s="202"/>
      <c r="K405" s="202"/>
      <c r="L405" s="202"/>
      <c r="M405" s="202"/>
      <c r="N405" s="202"/>
    </row>
    <row r="406" spans="2:14">
      <c r="B406" s="202"/>
      <c r="C406" s="202"/>
      <c r="D406" s="202"/>
      <c r="E406" s="202"/>
      <c r="F406" s="202"/>
      <c r="G406" s="202"/>
      <c r="H406" s="202"/>
      <c r="I406" s="202"/>
      <c r="J406" s="202"/>
      <c r="K406" s="202"/>
      <c r="L406" s="202"/>
      <c r="M406" s="202"/>
      <c r="N406" s="202"/>
    </row>
    <row r="407" spans="2:14">
      <c r="B407" s="202"/>
      <c r="C407" s="202"/>
      <c r="D407" s="202"/>
      <c r="E407" s="202"/>
      <c r="F407" s="202"/>
      <c r="G407" s="202"/>
      <c r="H407" s="202"/>
      <c r="I407" s="202"/>
      <c r="J407" s="202"/>
      <c r="K407" s="202"/>
      <c r="L407" s="202"/>
      <c r="M407" s="202"/>
      <c r="N407" s="202"/>
    </row>
    <row r="408" spans="2:14">
      <c r="B408" s="202"/>
      <c r="C408" s="202"/>
      <c r="D408" s="202"/>
      <c r="E408" s="202"/>
      <c r="F408" s="202"/>
      <c r="G408" s="202"/>
      <c r="H408" s="202"/>
      <c r="I408" s="202"/>
      <c r="J408" s="202"/>
      <c r="K408" s="202"/>
      <c r="L408" s="202"/>
      <c r="M408" s="202"/>
      <c r="N408" s="202"/>
    </row>
    <row r="409" spans="2:14">
      <c r="B409" s="202"/>
      <c r="C409" s="202"/>
      <c r="D409" s="202"/>
      <c r="E409" s="202"/>
      <c r="F409" s="202"/>
      <c r="G409" s="202"/>
      <c r="H409" s="202"/>
      <c r="I409" s="202"/>
      <c r="J409" s="202"/>
      <c r="K409" s="202"/>
      <c r="L409" s="202"/>
      <c r="M409" s="202"/>
      <c r="N409" s="202"/>
    </row>
    <row r="410" spans="2:14">
      <c r="B410" s="202"/>
      <c r="C410" s="202"/>
      <c r="D410" s="202"/>
      <c r="E410" s="202"/>
      <c r="F410" s="202"/>
      <c r="G410" s="202"/>
      <c r="H410" s="202"/>
      <c r="I410" s="202"/>
      <c r="J410" s="202"/>
      <c r="K410" s="202"/>
      <c r="L410" s="202"/>
      <c r="M410" s="202"/>
      <c r="N410" s="202"/>
    </row>
    <row r="411" spans="2:14">
      <c r="B411" s="202"/>
      <c r="C411" s="202"/>
      <c r="D411" s="202"/>
      <c r="E411" s="202"/>
      <c r="F411" s="202"/>
      <c r="G411" s="202"/>
      <c r="H411" s="202"/>
      <c r="I411" s="202"/>
      <c r="J411" s="202"/>
      <c r="K411" s="202"/>
      <c r="L411" s="202"/>
      <c r="M411" s="202"/>
      <c r="N411" s="202"/>
    </row>
    <row r="412" spans="2:14">
      <c r="B412" s="202"/>
      <c r="C412" s="202"/>
      <c r="D412" s="202"/>
      <c r="E412" s="202"/>
      <c r="F412" s="202"/>
      <c r="G412" s="202"/>
      <c r="H412" s="202"/>
      <c r="I412" s="202"/>
      <c r="J412" s="202"/>
      <c r="K412" s="202"/>
      <c r="L412" s="202"/>
      <c r="M412" s="202"/>
      <c r="N412" s="202"/>
    </row>
    <row r="413" spans="2:14">
      <c r="B413" s="202"/>
      <c r="C413" s="202"/>
      <c r="D413" s="202"/>
      <c r="E413" s="202"/>
      <c r="F413" s="202"/>
      <c r="G413" s="202"/>
      <c r="H413" s="202"/>
      <c r="I413" s="202"/>
      <c r="J413" s="202"/>
      <c r="K413" s="202"/>
      <c r="L413" s="202"/>
      <c r="M413" s="202"/>
      <c r="N413" s="202"/>
    </row>
    <row r="414" spans="2:14">
      <c r="B414" s="202"/>
      <c r="C414" s="202"/>
      <c r="D414" s="202"/>
      <c r="E414" s="202"/>
      <c r="F414" s="202"/>
      <c r="G414" s="202"/>
      <c r="H414" s="202"/>
      <c r="I414" s="202"/>
      <c r="J414" s="202"/>
      <c r="K414" s="202"/>
      <c r="L414" s="202"/>
      <c r="M414" s="202"/>
      <c r="N414" s="202"/>
    </row>
    <row r="415" spans="2:14">
      <c r="B415" s="202"/>
      <c r="C415" s="202"/>
      <c r="D415" s="202"/>
      <c r="E415" s="202"/>
      <c r="F415" s="202"/>
      <c r="G415" s="202"/>
      <c r="H415" s="202"/>
      <c r="I415" s="202"/>
      <c r="J415" s="202"/>
      <c r="K415" s="202"/>
      <c r="L415" s="202"/>
      <c r="M415" s="202"/>
      <c r="N415" s="202"/>
    </row>
    <row r="416" spans="2:14">
      <c r="B416" s="202"/>
      <c r="C416" s="202"/>
      <c r="D416" s="202"/>
      <c r="E416" s="202"/>
      <c r="F416" s="202"/>
      <c r="G416" s="202"/>
      <c r="H416" s="202"/>
      <c r="I416" s="202"/>
      <c r="J416" s="202"/>
      <c r="K416" s="202"/>
      <c r="L416" s="202"/>
      <c r="M416" s="202"/>
      <c r="N416" s="202"/>
    </row>
    <row r="417" spans="2:14">
      <c r="B417" s="202"/>
      <c r="C417" s="202"/>
      <c r="D417" s="202"/>
      <c r="E417" s="202"/>
      <c r="F417" s="202"/>
      <c r="G417" s="202"/>
      <c r="H417" s="202"/>
      <c r="I417" s="202"/>
      <c r="J417" s="202"/>
      <c r="K417" s="202"/>
      <c r="L417" s="202"/>
      <c r="M417" s="202"/>
      <c r="N417" s="202"/>
    </row>
    <row r="418" spans="2:14">
      <c r="B418" s="202"/>
      <c r="C418" s="202"/>
      <c r="D418" s="202"/>
      <c r="E418" s="202"/>
      <c r="F418" s="202"/>
      <c r="G418" s="202"/>
      <c r="H418" s="202"/>
      <c r="I418" s="202"/>
      <c r="J418" s="202"/>
      <c r="K418" s="202"/>
      <c r="L418" s="202"/>
      <c r="M418" s="202"/>
      <c r="N418" s="202"/>
    </row>
    <row r="419" spans="2:14">
      <c r="B419" s="202"/>
      <c r="C419" s="202"/>
      <c r="D419" s="202"/>
      <c r="E419" s="202"/>
      <c r="F419" s="202"/>
      <c r="G419" s="202"/>
      <c r="H419" s="202"/>
      <c r="I419" s="202"/>
      <c r="J419" s="202"/>
      <c r="K419" s="202"/>
      <c r="L419" s="202"/>
      <c r="M419" s="202"/>
      <c r="N419" s="202"/>
    </row>
    <row r="420" spans="2:14">
      <c r="B420" s="202"/>
      <c r="C420" s="202"/>
      <c r="D420" s="202"/>
      <c r="E420" s="202"/>
      <c r="F420" s="202"/>
      <c r="G420" s="202"/>
      <c r="H420" s="202"/>
      <c r="I420" s="202"/>
      <c r="J420" s="202"/>
      <c r="K420" s="202"/>
      <c r="L420" s="202"/>
      <c r="M420" s="202"/>
      <c r="N420" s="202"/>
    </row>
    <row r="421" spans="2:14">
      <c r="B421" s="202"/>
      <c r="C421" s="202"/>
      <c r="D421" s="202"/>
      <c r="E421" s="202"/>
      <c r="F421" s="202"/>
      <c r="G421" s="202"/>
      <c r="H421" s="202"/>
      <c r="I421" s="202"/>
      <c r="J421" s="202"/>
      <c r="K421" s="202"/>
      <c r="L421" s="202"/>
      <c r="M421" s="202"/>
      <c r="N421" s="202"/>
    </row>
    <row r="422" spans="2:14">
      <c r="B422" s="202"/>
      <c r="C422" s="202"/>
      <c r="D422" s="202"/>
      <c r="E422" s="202"/>
      <c r="F422" s="202"/>
      <c r="G422" s="202"/>
      <c r="H422" s="202"/>
      <c r="I422" s="202"/>
      <c r="J422" s="202"/>
      <c r="K422" s="202"/>
      <c r="L422" s="202"/>
      <c r="M422" s="202"/>
      <c r="N422" s="202"/>
    </row>
    <row r="423" spans="2:14">
      <c r="B423" s="202"/>
      <c r="C423" s="202"/>
      <c r="D423" s="202"/>
      <c r="E423" s="202"/>
      <c r="F423" s="202"/>
      <c r="G423" s="202"/>
      <c r="H423" s="202"/>
      <c r="I423" s="202"/>
      <c r="J423" s="202"/>
      <c r="K423" s="202"/>
      <c r="L423" s="202"/>
      <c r="M423" s="202"/>
      <c r="N423" s="202"/>
    </row>
    <row r="424" spans="2:14">
      <c r="B424" s="202"/>
      <c r="C424" s="202"/>
      <c r="D424" s="202"/>
      <c r="E424" s="202"/>
      <c r="F424" s="202"/>
      <c r="G424" s="202"/>
      <c r="H424" s="202"/>
      <c r="I424" s="202"/>
      <c r="J424" s="202"/>
      <c r="K424" s="202"/>
      <c r="L424" s="202"/>
      <c r="M424" s="202"/>
      <c r="N424" s="202"/>
    </row>
    <row r="425" spans="2:14">
      <c r="B425" s="202"/>
      <c r="C425" s="202"/>
      <c r="D425" s="202"/>
      <c r="E425" s="202"/>
      <c r="F425" s="202"/>
      <c r="G425" s="202"/>
      <c r="H425" s="202"/>
      <c r="I425" s="202"/>
      <c r="J425" s="202"/>
      <c r="K425" s="202"/>
      <c r="L425" s="202"/>
      <c r="M425" s="202"/>
      <c r="N425" s="202"/>
    </row>
    <row r="426" spans="2:14">
      <c r="B426" s="202"/>
      <c r="C426" s="202"/>
      <c r="D426" s="202"/>
      <c r="E426" s="202"/>
      <c r="F426" s="202"/>
      <c r="G426" s="202"/>
      <c r="H426" s="202"/>
      <c r="I426" s="202"/>
      <c r="J426" s="202"/>
      <c r="K426" s="202"/>
      <c r="L426" s="202"/>
      <c r="M426" s="202"/>
      <c r="N426" s="202"/>
    </row>
    <row r="427" spans="2:14">
      <c r="B427" s="202"/>
      <c r="C427" s="202"/>
      <c r="D427" s="202"/>
      <c r="E427" s="202"/>
      <c r="F427" s="202"/>
      <c r="G427" s="202"/>
      <c r="H427" s="202"/>
      <c r="I427" s="202"/>
      <c r="J427" s="202"/>
      <c r="K427" s="202"/>
      <c r="L427" s="202"/>
      <c r="M427" s="202"/>
      <c r="N427" s="202"/>
    </row>
    <row r="428" spans="2:14">
      <c r="B428" s="202"/>
      <c r="C428" s="202"/>
      <c r="D428" s="202"/>
      <c r="E428" s="202"/>
      <c r="F428" s="202"/>
      <c r="G428" s="202"/>
      <c r="H428" s="202"/>
      <c r="I428" s="202"/>
      <c r="J428" s="202"/>
      <c r="K428" s="202"/>
      <c r="L428" s="202"/>
      <c r="M428" s="202"/>
      <c r="N428" s="202"/>
    </row>
    <row r="429" spans="2:14">
      <c r="B429" s="202"/>
      <c r="C429" s="202"/>
      <c r="D429" s="202"/>
      <c r="E429" s="202"/>
      <c r="F429" s="202"/>
      <c r="G429" s="202"/>
      <c r="H429" s="202"/>
      <c r="I429" s="202"/>
      <c r="J429" s="202"/>
      <c r="K429" s="202"/>
      <c r="L429" s="202"/>
      <c r="M429" s="202"/>
      <c r="N429" s="202"/>
    </row>
    <row r="430" spans="2:14">
      <c r="B430" s="202"/>
      <c r="C430" s="202"/>
      <c r="D430" s="202"/>
      <c r="E430" s="202"/>
      <c r="F430" s="202"/>
      <c r="G430" s="202"/>
      <c r="H430" s="202"/>
      <c r="I430" s="202"/>
      <c r="J430" s="202"/>
      <c r="K430" s="202"/>
      <c r="L430" s="202"/>
      <c r="M430" s="202"/>
      <c r="N430" s="202"/>
    </row>
    <row r="431" spans="2:14">
      <c r="B431" s="202"/>
      <c r="C431" s="202"/>
      <c r="D431" s="202"/>
      <c r="E431" s="202"/>
      <c r="F431" s="202"/>
      <c r="G431" s="202"/>
      <c r="H431" s="202"/>
      <c r="I431" s="202"/>
      <c r="J431" s="202"/>
      <c r="K431" s="202"/>
      <c r="L431" s="202"/>
      <c r="M431" s="202"/>
      <c r="N431" s="202"/>
    </row>
    <row r="432" spans="2:14">
      <c r="B432" s="202"/>
      <c r="C432" s="202"/>
      <c r="D432" s="202"/>
      <c r="E432" s="202"/>
      <c r="F432" s="202"/>
      <c r="G432" s="202"/>
      <c r="H432" s="202"/>
      <c r="I432" s="202"/>
      <c r="J432" s="202"/>
      <c r="K432" s="202"/>
      <c r="L432" s="202"/>
      <c r="M432" s="202"/>
      <c r="N432" s="202"/>
    </row>
  </sheetData>
  <phoneticPr fontId="9" type="noConversion"/>
  <pageMargins left="0.75" right="0.75" top="1" bottom="1" header="0.5" footer="0.5"/>
  <pageSetup orientation="portrait" r:id="rId1"/>
  <headerFooter alignWithMargins="0"/>
  <customProperties>
    <customPr name="_pios_id" r:id="rId2"/>
    <customPr name="EpmWorksheetKeyString_GUID" r:id="rId3"/>
  </customPropertie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6"/>
  <sheetViews>
    <sheetView zoomScale="87" zoomScaleNormal="87" workbookViewId="0">
      <selection activeCell="G13" sqref="G13"/>
    </sheetView>
  </sheetViews>
  <sheetFormatPr defaultColWidth="9.6640625" defaultRowHeight="15"/>
  <cols>
    <col min="1" max="1" width="11.6640625" style="1" customWidth="1"/>
    <col min="2" max="13" width="5.6640625" style="1" customWidth="1"/>
    <col min="14" max="14" width="9.6640625" style="1" customWidth="1"/>
    <col min="15" max="16" width="6.6640625" style="1" customWidth="1"/>
    <col min="17" max="18" width="8.6640625" style="1" customWidth="1"/>
    <col min="19" max="19" width="4.6640625" style="1" customWidth="1"/>
    <col min="20" max="21" width="6.6640625" style="1" customWidth="1"/>
    <col min="22" max="22" width="7.6640625" style="1" customWidth="1"/>
    <col min="23" max="23" width="8.6640625" style="1" customWidth="1"/>
    <col min="24" max="24" width="4.6640625" style="1" customWidth="1"/>
    <col min="25" max="26" width="7.6640625" style="1" customWidth="1"/>
    <col min="27" max="28" width="8.6640625" style="1" customWidth="1"/>
    <col min="29" max="16384" width="9.6640625" style="1"/>
  </cols>
  <sheetData>
    <row r="1" spans="1:32">
      <c r="B1" s="1" t="s">
        <v>105</v>
      </c>
      <c r="O1" s="30"/>
      <c r="P1" s="31"/>
      <c r="Q1" s="31"/>
      <c r="R1" s="31"/>
      <c r="S1" s="20"/>
      <c r="T1" s="30"/>
      <c r="U1" s="31"/>
      <c r="V1" s="31"/>
      <c r="W1" s="31"/>
      <c r="X1" s="20"/>
      <c r="Y1" s="47"/>
      <c r="Z1" s="48"/>
      <c r="AA1" s="48"/>
      <c r="AB1" s="48"/>
      <c r="AC1" s="20"/>
    </row>
    <row r="2" spans="1:32" ht="15.75">
      <c r="O2" s="9"/>
      <c r="P2" s="49" t="s">
        <v>107</v>
      </c>
      <c r="Q2" s="49"/>
      <c r="R2" s="50"/>
      <c r="T2" s="9"/>
      <c r="U2" s="49" t="s">
        <v>110</v>
      </c>
      <c r="V2" s="49"/>
      <c r="X2" s="20"/>
      <c r="Y2" s="51"/>
      <c r="Z2" s="52" t="s">
        <v>113</v>
      </c>
      <c r="AA2" s="52"/>
      <c r="AB2" s="53"/>
      <c r="AC2" s="20"/>
    </row>
    <row r="3" spans="1:32" ht="15.75">
      <c r="A3" s="5" t="s">
        <v>102</v>
      </c>
      <c r="B3" s="10" t="s">
        <v>4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3"/>
      <c r="O3" s="54" t="s">
        <v>91</v>
      </c>
      <c r="P3" s="55" t="s">
        <v>93</v>
      </c>
      <c r="Q3" s="55" t="s">
        <v>108</v>
      </c>
      <c r="R3" s="55" t="s">
        <v>109</v>
      </c>
      <c r="S3" s="54"/>
      <c r="T3" s="54" t="s">
        <v>95</v>
      </c>
      <c r="U3" s="55" t="s">
        <v>97</v>
      </c>
      <c r="V3" s="55" t="s">
        <v>111</v>
      </c>
      <c r="W3" s="55" t="s">
        <v>112</v>
      </c>
      <c r="X3" s="56"/>
      <c r="Y3" s="57" t="s">
        <v>98</v>
      </c>
      <c r="Z3" s="58" t="s">
        <v>99</v>
      </c>
      <c r="AA3" s="58" t="s">
        <v>114</v>
      </c>
      <c r="AB3" s="58" t="s">
        <v>115</v>
      </c>
      <c r="AC3" s="56"/>
      <c r="AD3" s="59"/>
      <c r="AE3" s="59"/>
      <c r="AF3" s="59"/>
    </row>
    <row r="4" spans="1:32">
      <c r="A4" s="3"/>
      <c r="B4" s="44">
        <v>23</v>
      </c>
      <c r="C4" s="45">
        <v>26</v>
      </c>
      <c r="D4" s="45">
        <v>37</v>
      </c>
      <c r="E4" s="60">
        <v>51</v>
      </c>
      <c r="F4" s="45">
        <v>80</v>
      </c>
      <c r="G4" s="45">
        <v>86</v>
      </c>
      <c r="H4" s="45">
        <v>84</v>
      </c>
      <c r="I4" s="45">
        <v>87</v>
      </c>
      <c r="J4" s="45">
        <v>84</v>
      </c>
      <c r="K4" s="45">
        <v>76</v>
      </c>
      <c r="L4" s="45">
        <v>40</v>
      </c>
      <c r="M4" s="45">
        <v>27</v>
      </c>
      <c r="N4" s="3"/>
      <c r="O4" s="9"/>
      <c r="P4" s="3"/>
      <c r="Q4" s="3"/>
      <c r="R4" s="3"/>
      <c r="S4" s="9"/>
      <c r="T4" s="9"/>
      <c r="U4" s="3"/>
      <c r="V4" s="3"/>
      <c r="X4" s="20"/>
      <c r="Y4" s="51"/>
      <c r="Z4" s="61"/>
      <c r="AA4" s="61"/>
      <c r="AB4" s="62"/>
      <c r="AC4" s="46"/>
    </row>
    <row r="5" spans="1:32">
      <c r="A5" s="3"/>
      <c r="B5" s="46">
        <v>24</v>
      </c>
      <c r="C5" s="41">
        <v>29</v>
      </c>
      <c r="D5" s="41">
        <v>38</v>
      </c>
      <c r="E5" s="41">
        <v>74</v>
      </c>
      <c r="F5" s="41">
        <v>81</v>
      </c>
      <c r="G5" s="41">
        <v>87</v>
      </c>
      <c r="H5" s="41">
        <v>86</v>
      </c>
      <c r="I5" s="41">
        <v>87</v>
      </c>
      <c r="J5" s="41">
        <v>85</v>
      </c>
      <c r="K5" s="41">
        <v>77</v>
      </c>
      <c r="L5" s="41">
        <v>40</v>
      </c>
      <c r="M5" s="41">
        <v>32</v>
      </c>
      <c r="N5" s="3"/>
      <c r="O5" s="9"/>
      <c r="P5" s="3"/>
      <c r="Q5" s="3"/>
      <c r="R5" s="3"/>
      <c r="S5" s="9"/>
      <c r="T5" s="9"/>
      <c r="U5" s="3"/>
      <c r="V5" s="3"/>
      <c r="X5" s="20"/>
      <c r="Y5" s="51"/>
      <c r="Z5" s="61"/>
      <c r="AA5" s="61"/>
      <c r="AB5" s="62"/>
      <c r="AC5" s="46"/>
    </row>
    <row r="6" spans="1:32">
      <c r="A6" s="3"/>
      <c r="B6" s="46">
        <v>26</v>
      </c>
      <c r="C6" s="41">
        <v>32</v>
      </c>
      <c r="D6" s="41">
        <v>38</v>
      </c>
      <c r="E6" s="41">
        <v>74</v>
      </c>
      <c r="F6" s="41">
        <v>83</v>
      </c>
      <c r="G6" s="41">
        <v>87</v>
      </c>
      <c r="H6" s="41">
        <v>86</v>
      </c>
      <c r="I6" s="41">
        <v>88</v>
      </c>
      <c r="J6" s="41">
        <v>86</v>
      </c>
      <c r="K6" s="41">
        <v>79</v>
      </c>
      <c r="L6" s="41">
        <v>41</v>
      </c>
      <c r="M6" s="41">
        <v>34</v>
      </c>
      <c r="N6" s="3"/>
      <c r="O6" s="9"/>
      <c r="P6" s="3"/>
      <c r="Q6" s="3"/>
      <c r="R6" s="3"/>
      <c r="S6" s="9"/>
      <c r="T6" s="9"/>
      <c r="U6" s="3"/>
      <c r="V6" s="3"/>
      <c r="X6" s="20"/>
      <c r="Y6" s="63"/>
      <c r="Z6" s="61"/>
      <c r="AA6" s="61"/>
      <c r="AB6" s="62"/>
      <c r="AC6" s="46"/>
    </row>
    <row r="7" spans="1:32">
      <c r="A7" s="3"/>
      <c r="B7" s="46">
        <v>27</v>
      </c>
      <c r="C7" s="41">
        <v>36</v>
      </c>
      <c r="D7" s="41">
        <v>39</v>
      </c>
      <c r="E7" s="41">
        <v>75</v>
      </c>
      <c r="F7" s="41">
        <v>85</v>
      </c>
      <c r="G7" s="41">
        <v>88</v>
      </c>
      <c r="H7" s="41">
        <v>86</v>
      </c>
      <c r="I7" s="41">
        <v>88</v>
      </c>
      <c r="J7" s="41">
        <v>87</v>
      </c>
      <c r="K7" s="41">
        <v>80</v>
      </c>
      <c r="L7" s="41">
        <v>41</v>
      </c>
      <c r="M7" s="41">
        <v>34</v>
      </c>
      <c r="N7" s="3"/>
      <c r="O7" s="9"/>
      <c r="P7" s="3"/>
      <c r="Q7" s="3"/>
      <c r="R7" s="3"/>
      <c r="S7" s="9"/>
      <c r="T7" s="9"/>
      <c r="U7" s="3"/>
      <c r="V7" s="3"/>
      <c r="X7" s="20"/>
      <c r="Y7" s="63"/>
      <c r="Z7" s="53"/>
      <c r="AA7" s="61"/>
      <c r="AB7" s="62"/>
      <c r="AC7" s="46"/>
    </row>
    <row r="8" spans="1:32">
      <c r="A8" s="3"/>
      <c r="B8" s="46">
        <v>30</v>
      </c>
      <c r="C8" s="41">
        <v>36</v>
      </c>
      <c r="D8" s="41">
        <v>42</v>
      </c>
      <c r="E8" s="41">
        <v>75</v>
      </c>
      <c r="F8" s="41">
        <v>85</v>
      </c>
      <c r="G8" s="41">
        <v>88</v>
      </c>
      <c r="H8" s="41">
        <v>87</v>
      </c>
      <c r="I8" s="41">
        <v>89</v>
      </c>
      <c r="J8" s="41">
        <v>87</v>
      </c>
      <c r="K8" s="41">
        <v>81</v>
      </c>
      <c r="L8" s="41">
        <v>44</v>
      </c>
      <c r="M8" s="41">
        <v>35</v>
      </c>
      <c r="N8" s="3"/>
      <c r="O8" s="9"/>
      <c r="P8" s="3"/>
      <c r="Q8" s="3"/>
      <c r="R8" s="3"/>
      <c r="S8" s="9"/>
      <c r="T8" s="9"/>
      <c r="U8" s="3"/>
      <c r="V8" s="3"/>
      <c r="X8" s="20"/>
      <c r="Y8" s="63"/>
      <c r="Z8" s="53"/>
      <c r="AA8" s="61"/>
      <c r="AB8" s="62">
        <v>27</v>
      </c>
      <c r="AC8" s="46"/>
    </row>
    <row r="9" spans="1:32">
      <c r="A9" s="3"/>
      <c r="B9" s="46">
        <v>31</v>
      </c>
      <c r="C9" s="41">
        <v>37</v>
      </c>
      <c r="D9" s="41">
        <v>42</v>
      </c>
      <c r="E9" s="41">
        <v>77</v>
      </c>
      <c r="F9" s="41">
        <v>86</v>
      </c>
      <c r="G9" s="41">
        <v>88</v>
      </c>
      <c r="H9" s="41">
        <v>87</v>
      </c>
      <c r="I9" s="41">
        <v>89</v>
      </c>
      <c r="J9" s="41">
        <v>88</v>
      </c>
      <c r="K9" s="41">
        <v>83</v>
      </c>
      <c r="L9" s="41">
        <v>45</v>
      </c>
      <c r="M9" s="41">
        <v>37</v>
      </c>
      <c r="N9" s="3"/>
      <c r="O9" s="9"/>
      <c r="P9" s="3"/>
      <c r="Q9" s="3"/>
      <c r="R9" s="3"/>
      <c r="S9" s="9"/>
      <c r="T9" s="9"/>
      <c r="U9" s="3"/>
      <c r="V9" s="3"/>
      <c r="X9" s="20"/>
      <c r="Y9" s="63"/>
      <c r="Z9" s="53"/>
      <c r="AA9" s="61"/>
      <c r="AB9" s="62">
        <v>32</v>
      </c>
      <c r="AC9" s="46"/>
    </row>
    <row r="10" spans="1:32">
      <c r="A10" s="3"/>
      <c r="B10" s="46">
        <v>32</v>
      </c>
      <c r="C10" s="41">
        <v>37</v>
      </c>
      <c r="D10" s="41">
        <v>42</v>
      </c>
      <c r="E10" s="41">
        <v>77</v>
      </c>
      <c r="F10" s="41">
        <v>86</v>
      </c>
      <c r="G10" s="41">
        <v>88</v>
      </c>
      <c r="H10" s="41">
        <v>87</v>
      </c>
      <c r="I10" s="41">
        <v>90</v>
      </c>
      <c r="J10" s="41">
        <v>88</v>
      </c>
      <c r="K10" s="41">
        <v>83</v>
      </c>
      <c r="L10" s="41">
        <v>46</v>
      </c>
      <c r="M10" s="41">
        <v>37</v>
      </c>
      <c r="N10" s="3"/>
      <c r="O10" s="9"/>
      <c r="P10" s="3"/>
      <c r="Q10" s="3"/>
      <c r="R10" s="3"/>
      <c r="S10" s="9"/>
      <c r="T10" s="9"/>
      <c r="U10" s="3"/>
      <c r="V10" s="3"/>
      <c r="X10" s="20"/>
      <c r="Y10" s="63"/>
      <c r="Z10" s="53"/>
      <c r="AA10" s="61"/>
      <c r="AB10" s="62">
        <v>34</v>
      </c>
      <c r="AC10" s="46"/>
    </row>
    <row r="11" spans="1:32">
      <c r="A11" s="3"/>
      <c r="B11" s="46">
        <v>32</v>
      </c>
      <c r="C11" s="41">
        <v>37</v>
      </c>
      <c r="D11" s="41">
        <v>43</v>
      </c>
      <c r="E11" s="41">
        <v>78</v>
      </c>
      <c r="F11" s="41">
        <v>86</v>
      </c>
      <c r="G11" s="41">
        <v>88</v>
      </c>
      <c r="H11" s="41">
        <v>87</v>
      </c>
      <c r="I11" s="41">
        <v>90</v>
      </c>
      <c r="J11" s="41">
        <v>88</v>
      </c>
      <c r="K11" s="41">
        <v>83</v>
      </c>
      <c r="L11" s="41">
        <v>47</v>
      </c>
      <c r="M11" s="41">
        <v>37</v>
      </c>
      <c r="N11" s="3"/>
      <c r="O11" s="9"/>
      <c r="P11" s="3">
        <v>40</v>
      </c>
      <c r="Q11" s="3"/>
      <c r="R11" s="3"/>
      <c r="S11" s="9"/>
      <c r="T11" s="9"/>
      <c r="U11" s="3"/>
      <c r="V11" s="3"/>
      <c r="X11" s="20"/>
      <c r="Y11" s="63"/>
      <c r="Z11" s="53"/>
      <c r="AA11" s="61"/>
      <c r="AB11" s="62">
        <v>34</v>
      </c>
      <c r="AC11" s="46"/>
    </row>
    <row r="12" spans="1:32">
      <c r="A12" s="3"/>
      <c r="B12" s="46">
        <v>32</v>
      </c>
      <c r="C12" s="41">
        <v>38</v>
      </c>
      <c r="D12" s="41">
        <v>44</v>
      </c>
      <c r="E12" s="41">
        <v>79</v>
      </c>
      <c r="F12" s="41">
        <v>86</v>
      </c>
      <c r="G12" s="41">
        <v>89</v>
      </c>
      <c r="H12" s="41">
        <v>89</v>
      </c>
      <c r="I12" s="41">
        <v>90</v>
      </c>
      <c r="J12" s="41">
        <v>89</v>
      </c>
      <c r="K12" s="41">
        <v>83</v>
      </c>
      <c r="L12" s="41">
        <v>72</v>
      </c>
      <c r="M12" s="41">
        <v>39</v>
      </c>
      <c r="N12" s="3"/>
      <c r="O12" s="9"/>
      <c r="P12" s="3">
        <v>41</v>
      </c>
      <c r="Q12" s="3"/>
      <c r="R12" s="3"/>
      <c r="S12" s="9"/>
      <c r="T12" s="9"/>
      <c r="U12" s="3"/>
      <c r="V12" s="3"/>
      <c r="X12" s="20"/>
      <c r="Y12" s="51">
        <v>27</v>
      </c>
      <c r="Z12" s="53"/>
      <c r="AA12" s="61"/>
      <c r="AB12" s="62">
        <v>35</v>
      </c>
      <c r="AC12" s="46"/>
    </row>
    <row r="13" spans="1:32">
      <c r="A13" s="3"/>
      <c r="B13" s="46">
        <v>33</v>
      </c>
      <c r="C13" s="41">
        <v>38</v>
      </c>
      <c r="D13" s="41">
        <v>44</v>
      </c>
      <c r="E13" s="41">
        <v>80</v>
      </c>
      <c r="F13" s="41">
        <v>87</v>
      </c>
      <c r="G13" s="41">
        <v>89</v>
      </c>
      <c r="H13" s="41">
        <v>89</v>
      </c>
      <c r="I13" s="41">
        <v>90</v>
      </c>
      <c r="J13" s="41">
        <v>89</v>
      </c>
      <c r="K13" s="41">
        <v>83</v>
      </c>
      <c r="L13" s="41">
        <v>73</v>
      </c>
      <c r="M13" s="41">
        <v>40</v>
      </c>
      <c r="N13" s="3"/>
      <c r="O13" s="9"/>
      <c r="P13" s="3">
        <v>72</v>
      </c>
      <c r="Q13" s="3">
        <f t="shared" ref="Q13:Q33" si="0">P13</f>
        <v>72</v>
      </c>
      <c r="R13" s="3"/>
      <c r="S13" s="9"/>
      <c r="T13" s="9"/>
      <c r="U13" s="3"/>
      <c r="V13" s="3"/>
      <c r="W13" s="3">
        <v>37</v>
      </c>
      <c r="X13" s="20"/>
      <c r="Y13" s="51">
        <v>34</v>
      </c>
      <c r="Z13" s="53"/>
      <c r="AA13" s="61"/>
      <c r="AB13" s="62">
        <v>37</v>
      </c>
      <c r="AC13" s="46"/>
    </row>
    <row r="14" spans="1:32">
      <c r="A14" s="3"/>
      <c r="B14" s="46">
        <v>34</v>
      </c>
      <c r="C14" s="41">
        <v>38</v>
      </c>
      <c r="D14" s="41">
        <v>45</v>
      </c>
      <c r="E14" s="41">
        <v>80</v>
      </c>
      <c r="F14" s="41">
        <v>88</v>
      </c>
      <c r="G14" s="41">
        <v>89</v>
      </c>
      <c r="H14" s="41">
        <v>90</v>
      </c>
      <c r="I14" s="41">
        <v>90</v>
      </c>
      <c r="J14" s="41">
        <v>89</v>
      </c>
      <c r="K14" s="41">
        <v>84</v>
      </c>
      <c r="L14" s="41">
        <v>74</v>
      </c>
      <c r="M14" s="41">
        <v>41</v>
      </c>
      <c r="N14" s="3"/>
      <c r="O14" s="9"/>
      <c r="P14" s="3">
        <v>73</v>
      </c>
      <c r="Q14" s="3">
        <f t="shared" si="0"/>
        <v>73</v>
      </c>
      <c r="R14" s="3"/>
      <c r="S14" s="9"/>
      <c r="T14" s="9"/>
      <c r="U14" s="3"/>
      <c r="V14" s="3"/>
      <c r="W14" s="3">
        <v>38</v>
      </c>
      <c r="X14" s="20"/>
      <c r="Y14" s="51">
        <v>34</v>
      </c>
      <c r="Z14" s="61"/>
      <c r="AA14" s="61"/>
      <c r="AB14" s="62">
        <v>37</v>
      </c>
      <c r="AC14" s="46"/>
    </row>
    <row r="15" spans="1:32">
      <c r="A15" s="3"/>
      <c r="B15" s="46">
        <v>35</v>
      </c>
      <c r="C15" s="41">
        <v>39</v>
      </c>
      <c r="D15" s="41">
        <v>48</v>
      </c>
      <c r="E15" s="41">
        <v>81</v>
      </c>
      <c r="F15" s="41">
        <v>88</v>
      </c>
      <c r="G15" s="41">
        <v>89</v>
      </c>
      <c r="H15" s="41">
        <v>90</v>
      </c>
      <c r="I15" s="41">
        <v>90</v>
      </c>
      <c r="J15" s="41">
        <v>89</v>
      </c>
      <c r="K15" s="41">
        <v>84</v>
      </c>
      <c r="L15" s="41">
        <v>74</v>
      </c>
      <c r="M15" s="41">
        <v>41</v>
      </c>
      <c r="N15" s="3"/>
      <c r="O15" s="9"/>
      <c r="P15" s="3">
        <v>74</v>
      </c>
      <c r="Q15" s="3">
        <f t="shared" si="0"/>
        <v>74</v>
      </c>
      <c r="R15" s="3"/>
      <c r="S15" s="9"/>
      <c r="T15" s="9"/>
      <c r="U15" s="3"/>
      <c r="V15" s="3"/>
      <c r="W15" s="3">
        <v>38</v>
      </c>
      <c r="X15" s="20"/>
      <c r="Y15" s="51">
        <v>35</v>
      </c>
      <c r="Z15" s="61"/>
      <c r="AA15" s="61"/>
      <c r="AB15" s="62">
        <v>37</v>
      </c>
      <c r="AC15" s="46"/>
    </row>
    <row r="16" spans="1:32">
      <c r="A16" s="3"/>
      <c r="B16" s="46">
        <v>36</v>
      </c>
      <c r="C16" s="41">
        <v>39</v>
      </c>
      <c r="D16" s="41">
        <v>49</v>
      </c>
      <c r="E16" s="41">
        <v>81</v>
      </c>
      <c r="F16" s="41">
        <v>88</v>
      </c>
      <c r="G16" s="41">
        <v>89</v>
      </c>
      <c r="H16" s="41">
        <v>91</v>
      </c>
      <c r="I16" s="41">
        <v>91</v>
      </c>
      <c r="J16" s="41">
        <v>89</v>
      </c>
      <c r="K16" s="41">
        <v>84</v>
      </c>
      <c r="L16" s="41">
        <v>74</v>
      </c>
      <c r="M16" s="41">
        <v>41</v>
      </c>
      <c r="N16" s="3"/>
      <c r="O16" s="9"/>
      <c r="P16" s="3">
        <v>74</v>
      </c>
      <c r="Q16" s="3">
        <f t="shared" si="0"/>
        <v>74</v>
      </c>
      <c r="R16" s="3"/>
      <c r="S16" s="9"/>
      <c r="T16" s="20"/>
      <c r="U16" s="3"/>
      <c r="V16" s="3"/>
      <c r="W16" s="3">
        <v>39</v>
      </c>
      <c r="X16" s="20"/>
      <c r="Y16" s="51">
        <v>37</v>
      </c>
      <c r="Z16" s="61"/>
      <c r="AA16" s="61"/>
      <c r="AB16" s="62">
        <v>39</v>
      </c>
      <c r="AC16" s="46"/>
    </row>
    <row r="17" spans="1:29">
      <c r="A17" s="3"/>
      <c r="B17" s="46">
        <v>36</v>
      </c>
      <c r="C17" s="41">
        <v>40</v>
      </c>
      <c r="D17" s="41">
        <v>49</v>
      </c>
      <c r="E17" s="41">
        <v>81</v>
      </c>
      <c r="F17" s="41">
        <v>88</v>
      </c>
      <c r="G17" s="41">
        <v>89</v>
      </c>
      <c r="H17" s="41">
        <v>91</v>
      </c>
      <c r="I17" s="41">
        <v>91</v>
      </c>
      <c r="J17" s="41">
        <v>89</v>
      </c>
      <c r="K17" s="41">
        <v>85</v>
      </c>
      <c r="L17" s="41">
        <v>76</v>
      </c>
      <c r="M17" s="41">
        <v>41</v>
      </c>
      <c r="N17" s="3"/>
      <c r="O17" s="9"/>
      <c r="P17" s="3">
        <v>74</v>
      </c>
      <c r="Q17" s="3">
        <f t="shared" si="0"/>
        <v>74</v>
      </c>
      <c r="R17" s="3"/>
      <c r="S17" s="9"/>
      <c r="T17" s="20"/>
      <c r="U17" s="3"/>
      <c r="V17" s="3"/>
      <c r="W17" s="3">
        <v>42</v>
      </c>
      <c r="X17" s="20"/>
      <c r="Y17" s="51">
        <v>37</v>
      </c>
      <c r="Z17" s="61"/>
      <c r="AA17" s="61"/>
      <c r="AB17" s="62">
        <v>40</v>
      </c>
      <c r="AC17" s="46"/>
    </row>
    <row r="18" spans="1:29">
      <c r="A18" s="3"/>
      <c r="B18" s="46">
        <v>36</v>
      </c>
      <c r="C18" s="41">
        <v>40</v>
      </c>
      <c r="D18" s="41">
        <v>49</v>
      </c>
      <c r="E18" s="41">
        <v>82</v>
      </c>
      <c r="F18" s="41">
        <v>88</v>
      </c>
      <c r="G18" s="41">
        <v>90</v>
      </c>
      <c r="H18" s="41">
        <v>91</v>
      </c>
      <c r="I18" s="41">
        <v>91</v>
      </c>
      <c r="J18" s="41">
        <v>89</v>
      </c>
      <c r="K18" s="41">
        <v>86</v>
      </c>
      <c r="L18" s="41">
        <v>76</v>
      </c>
      <c r="M18" s="41">
        <v>42</v>
      </c>
      <c r="N18" s="3"/>
      <c r="O18" s="9"/>
      <c r="P18" s="3">
        <v>76</v>
      </c>
      <c r="Q18" s="3">
        <f t="shared" si="0"/>
        <v>76</v>
      </c>
      <c r="R18" s="3"/>
      <c r="S18" s="9"/>
      <c r="T18" s="9">
        <v>37</v>
      </c>
      <c r="U18" s="3"/>
      <c r="V18" s="3"/>
      <c r="W18" s="3">
        <v>42</v>
      </c>
      <c r="X18" s="20"/>
      <c r="Y18" s="51">
        <v>37</v>
      </c>
      <c r="Z18" s="61"/>
      <c r="AA18" s="61"/>
      <c r="AB18" s="62">
        <v>41</v>
      </c>
      <c r="AC18" s="46"/>
    </row>
    <row r="19" spans="1:29">
      <c r="A19" s="3"/>
      <c r="B19" s="46">
        <v>37</v>
      </c>
      <c r="C19" s="41">
        <v>40</v>
      </c>
      <c r="D19" s="41">
        <v>50</v>
      </c>
      <c r="E19" s="41">
        <v>82</v>
      </c>
      <c r="F19" s="41">
        <v>88</v>
      </c>
      <c r="G19" s="41">
        <v>90</v>
      </c>
      <c r="H19" s="41">
        <v>91</v>
      </c>
      <c r="I19" s="41">
        <v>91</v>
      </c>
      <c r="J19" s="41">
        <v>89</v>
      </c>
      <c r="K19" s="41">
        <v>86</v>
      </c>
      <c r="L19" s="41">
        <v>76</v>
      </c>
      <c r="M19" s="41">
        <v>42</v>
      </c>
      <c r="N19" s="3"/>
      <c r="O19" s="9"/>
      <c r="P19" s="3">
        <v>76</v>
      </c>
      <c r="Q19" s="3">
        <f t="shared" si="0"/>
        <v>76</v>
      </c>
      <c r="R19" s="3"/>
      <c r="S19" s="9"/>
      <c r="T19" s="9">
        <v>38</v>
      </c>
      <c r="W19" s="3">
        <v>42</v>
      </c>
      <c r="X19" s="20"/>
      <c r="Y19" s="51">
        <v>39</v>
      </c>
      <c r="Z19" s="53"/>
      <c r="AA19" s="53"/>
      <c r="AB19" s="62">
        <v>41</v>
      </c>
      <c r="AC19" s="46"/>
    </row>
    <row r="20" spans="1:29">
      <c r="A20" s="3"/>
      <c r="B20" s="46">
        <v>37</v>
      </c>
      <c r="C20" s="41">
        <v>41</v>
      </c>
      <c r="D20" s="41">
        <v>51</v>
      </c>
      <c r="E20" s="41">
        <v>82</v>
      </c>
      <c r="F20" s="41">
        <v>88</v>
      </c>
      <c r="G20" s="41">
        <v>90</v>
      </c>
      <c r="H20" s="41">
        <v>91</v>
      </c>
      <c r="I20" s="41">
        <v>91</v>
      </c>
      <c r="J20" s="41">
        <v>90</v>
      </c>
      <c r="K20" s="41">
        <v>86</v>
      </c>
      <c r="L20" s="41">
        <v>77</v>
      </c>
      <c r="M20" s="41">
        <v>43</v>
      </c>
      <c r="N20" s="3"/>
      <c r="O20" s="9"/>
      <c r="P20" s="3">
        <v>76</v>
      </c>
      <c r="Q20" s="3">
        <f t="shared" si="0"/>
        <v>76</v>
      </c>
      <c r="R20" s="3"/>
      <c r="S20" s="9"/>
      <c r="T20" s="9">
        <v>38</v>
      </c>
      <c r="U20" s="3">
        <v>39</v>
      </c>
      <c r="V20" s="3"/>
      <c r="W20" s="3">
        <v>43</v>
      </c>
      <c r="X20" s="20"/>
      <c r="Y20" s="51">
        <v>40</v>
      </c>
      <c r="Z20" s="61"/>
      <c r="AA20" s="61"/>
      <c r="AB20" s="62">
        <v>41</v>
      </c>
      <c r="AC20" s="46"/>
    </row>
    <row r="21" spans="1:29">
      <c r="A21" s="3"/>
      <c r="B21" s="46">
        <v>38</v>
      </c>
      <c r="C21" s="41">
        <v>42</v>
      </c>
      <c r="D21" s="41">
        <v>51</v>
      </c>
      <c r="E21" s="41">
        <v>83</v>
      </c>
      <c r="F21" s="41">
        <v>89</v>
      </c>
      <c r="G21" s="41">
        <v>90</v>
      </c>
      <c r="H21" s="41">
        <v>91</v>
      </c>
      <c r="I21" s="41">
        <v>91</v>
      </c>
      <c r="J21" s="41">
        <v>90</v>
      </c>
      <c r="K21" s="41">
        <v>87</v>
      </c>
      <c r="L21" s="41">
        <v>77</v>
      </c>
      <c r="M21" s="41">
        <v>43</v>
      </c>
      <c r="N21" s="3"/>
      <c r="O21" s="9"/>
      <c r="P21" s="3">
        <v>77</v>
      </c>
      <c r="Q21" s="3">
        <f t="shared" si="0"/>
        <v>77</v>
      </c>
      <c r="R21" s="3"/>
      <c r="S21" s="9"/>
      <c r="T21" s="9">
        <v>42</v>
      </c>
      <c r="U21" s="3">
        <v>48</v>
      </c>
      <c r="V21" s="3"/>
      <c r="W21" s="3">
        <v>44</v>
      </c>
      <c r="X21" s="20"/>
      <c r="Y21" s="51">
        <v>41</v>
      </c>
      <c r="Z21" s="61"/>
      <c r="AA21" s="61"/>
      <c r="AB21" s="62">
        <v>41</v>
      </c>
      <c r="AC21" s="46"/>
    </row>
    <row r="22" spans="1:29">
      <c r="A22" s="3"/>
      <c r="B22" s="46">
        <v>39</v>
      </c>
      <c r="C22" s="41">
        <v>42</v>
      </c>
      <c r="D22" s="41">
        <v>51</v>
      </c>
      <c r="E22" s="41">
        <v>83</v>
      </c>
      <c r="F22" s="41">
        <v>90</v>
      </c>
      <c r="G22" s="41">
        <v>90</v>
      </c>
      <c r="H22" s="41">
        <v>92</v>
      </c>
      <c r="I22" s="41">
        <v>91</v>
      </c>
      <c r="J22" s="41">
        <v>90</v>
      </c>
      <c r="K22" s="41">
        <v>87</v>
      </c>
      <c r="L22" s="41">
        <v>78</v>
      </c>
      <c r="M22" s="41">
        <v>44</v>
      </c>
      <c r="N22" s="3"/>
      <c r="O22" s="9"/>
      <c r="P22" s="3">
        <v>77</v>
      </c>
      <c r="Q22" s="3">
        <f t="shared" si="0"/>
        <v>77</v>
      </c>
      <c r="R22" s="3"/>
      <c r="S22" s="9"/>
      <c r="T22" s="9">
        <v>42</v>
      </c>
      <c r="U22" s="3">
        <v>51</v>
      </c>
      <c r="V22" s="3"/>
      <c r="W22" s="3">
        <v>44</v>
      </c>
      <c r="X22" s="20"/>
      <c r="Y22" s="51">
        <v>41</v>
      </c>
      <c r="Z22" s="61"/>
      <c r="AA22" s="61"/>
      <c r="AB22" s="62">
        <v>42</v>
      </c>
      <c r="AC22" s="46"/>
    </row>
    <row r="23" spans="1:29">
      <c r="A23" s="3"/>
      <c r="B23" s="46">
        <v>39</v>
      </c>
      <c r="C23" s="41">
        <v>44</v>
      </c>
      <c r="D23" s="41">
        <v>53</v>
      </c>
      <c r="E23" s="41">
        <v>83</v>
      </c>
      <c r="F23" s="41">
        <v>90</v>
      </c>
      <c r="G23" s="41">
        <v>90</v>
      </c>
      <c r="H23" s="41">
        <v>92</v>
      </c>
      <c r="I23" s="41">
        <v>91</v>
      </c>
      <c r="J23" s="41">
        <v>90</v>
      </c>
      <c r="K23" s="41">
        <v>87</v>
      </c>
      <c r="L23" s="41">
        <v>78</v>
      </c>
      <c r="M23" s="41">
        <v>45</v>
      </c>
      <c r="N23" s="3"/>
      <c r="O23" s="9"/>
      <c r="P23" s="3">
        <v>78</v>
      </c>
      <c r="Q23" s="3">
        <f t="shared" si="0"/>
        <v>78</v>
      </c>
      <c r="R23" s="3"/>
      <c r="S23" s="9"/>
      <c r="T23" s="9">
        <v>42</v>
      </c>
      <c r="U23" s="3">
        <v>53</v>
      </c>
      <c r="V23" s="3"/>
      <c r="W23" s="3">
        <v>45</v>
      </c>
      <c r="X23" s="20"/>
      <c r="Y23" s="51">
        <v>41</v>
      </c>
      <c r="Z23" s="61"/>
      <c r="AA23" s="61"/>
      <c r="AB23" s="62">
        <v>42</v>
      </c>
      <c r="AC23" s="46"/>
    </row>
    <row r="24" spans="1:29">
      <c r="A24" s="3"/>
      <c r="B24" s="46">
        <v>41</v>
      </c>
      <c r="C24" s="41">
        <v>44</v>
      </c>
      <c r="D24" s="41">
        <v>54</v>
      </c>
      <c r="E24" s="41">
        <v>85</v>
      </c>
      <c r="F24" s="41">
        <v>90</v>
      </c>
      <c r="G24" s="41">
        <v>90</v>
      </c>
      <c r="H24" s="41">
        <v>92</v>
      </c>
      <c r="I24" s="41">
        <v>92</v>
      </c>
      <c r="J24" s="41">
        <v>91</v>
      </c>
      <c r="K24" s="41">
        <v>87</v>
      </c>
      <c r="L24" s="41">
        <v>78</v>
      </c>
      <c r="M24" s="41">
        <v>46</v>
      </c>
      <c r="N24" s="3"/>
      <c r="O24" s="9"/>
      <c r="P24" s="3">
        <v>78</v>
      </c>
      <c r="Q24" s="3">
        <f t="shared" si="0"/>
        <v>78</v>
      </c>
      <c r="R24" s="3"/>
      <c r="S24" s="9"/>
      <c r="T24" s="9">
        <v>43</v>
      </c>
      <c r="U24" s="3">
        <v>54</v>
      </c>
      <c r="V24" s="3"/>
      <c r="W24" s="3">
        <v>48</v>
      </c>
      <c r="X24" s="20"/>
      <c r="Y24" s="51">
        <v>41</v>
      </c>
      <c r="Z24" s="53"/>
      <c r="AA24" s="61"/>
      <c r="AB24" s="62">
        <v>43</v>
      </c>
      <c r="AC24" s="46"/>
    </row>
    <row r="25" spans="1:29">
      <c r="A25" s="3"/>
      <c r="B25" s="46">
        <v>43</v>
      </c>
      <c r="C25" s="41">
        <v>44</v>
      </c>
      <c r="D25" s="41">
        <v>74</v>
      </c>
      <c r="E25" s="41">
        <v>86</v>
      </c>
      <c r="F25" s="41">
        <v>90</v>
      </c>
      <c r="G25" s="41">
        <v>91</v>
      </c>
      <c r="H25" s="41">
        <v>92</v>
      </c>
      <c r="I25" s="41">
        <v>92</v>
      </c>
      <c r="J25" s="41">
        <v>91</v>
      </c>
      <c r="K25" s="41">
        <v>87</v>
      </c>
      <c r="L25" s="41">
        <v>78</v>
      </c>
      <c r="M25" s="41">
        <v>46</v>
      </c>
      <c r="N25" s="3"/>
      <c r="O25" s="9"/>
      <c r="P25" s="3">
        <v>78</v>
      </c>
      <c r="Q25" s="3">
        <f t="shared" si="0"/>
        <v>78</v>
      </c>
      <c r="R25" s="3"/>
      <c r="S25" s="9"/>
      <c r="T25" s="9">
        <v>44</v>
      </c>
      <c r="U25" s="3">
        <v>74</v>
      </c>
      <c r="V25" s="3">
        <f t="shared" ref="V25:V33" si="1">U25</f>
        <v>74</v>
      </c>
      <c r="W25" s="3">
        <v>49</v>
      </c>
      <c r="X25" s="20"/>
      <c r="Y25" s="51">
        <v>42</v>
      </c>
      <c r="Z25" s="53"/>
      <c r="AA25" s="61"/>
      <c r="AB25" s="62">
        <v>43</v>
      </c>
      <c r="AC25" s="46"/>
    </row>
    <row r="26" spans="1:29">
      <c r="A26" s="3"/>
      <c r="B26" s="46">
        <v>43</v>
      </c>
      <c r="C26" s="41">
        <v>45</v>
      </c>
      <c r="D26" s="41">
        <v>74</v>
      </c>
      <c r="E26" s="41">
        <v>86</v>
      </c>
      <c r="F26" s="41">
        <v>90</v>
      </c>
      <c r="G26" s="41">
        <v>91</v>
      </c>
      <c r="H26" s="41">
        <v>92</v>
      </c>
      <c r="I26" s="41">
        <v>92</v>
      </c>
      <c r="J26" s="41">
        <v>91</v>
      </c>
      <c r="K26" s="41">
        <v>88</v>
      </c>
      <c r="L26" s="41">
        <v>78</v>
      </c>
      <c r="M26" s="41">
        <v>46</v>
      </c>
      <c r="N26" s="3"/>
      <c r="O26" s="9"/>
      <c r="P26" s="3">
        <v>78</v>
      </c>
      <c r="Q26" s="3">
        <f t="shared" si="0"/>
        <v>78</v>
      </c>
      <c r="R26" s="3">
        <v>40</v>
      </c>
      <c r="S26" s="9"/>
      <c r="T26" s="9">
        <v>44</v>
      </c>
      <c r="U26" s="3">
        <v>74</v>
      </c>
      <c r="V26" s="3">
        <f t="shared" si="1"/>
        <v>74</v>
      </c>
      <c r="W26" s="3">
        <v>49</v>
      </c>
      <c r="X26" s="20"/>
      <c r="Y26" s="51">
        <v>43</v>
      </c>
      <c r="Z26" s="53"/>
      <c r="AA26" s="61"/>
      <c r="AB26" s="62">
        <v>44</v>
      </c>
      <c r="AC26" s="46"/>
    </row>
    <row r="27" spans="1:29">
      <c r="A27" s="3"/>
      <c r="B27" s="46">
        <v>43</v>
      </c>
      <c r="C27" s="41">
        <v>45</v>
      </c>
      <c r="D27" s="41">
        <v>75</v>
      </c>
      <c r="E27" s="41">
        <v>86</v>
      </c>
      <c r="F27" s="41">
        <v>90</v>
      </c>
      <c r="G27" s="41">
        <v>91</v>
      </c>
      <c r="H27" s="41">
        <v>93</v>
      </c>
      <c r="I27" s="41">
        <v>92</v>
      </c>
      <c r="J27" s="41">
        <v>91</v>
      </c>
      <c r="K27" s="41">
        <v>89</v>
      </c>
      <c r="L27" s="41">
        <v>79</v>
      </c>
      <c r="M27" s="41">
        <v>46</v>
      </c>
      <c r="N27" s="3"/>
      <c r="O27" s="9"/>
      <c r="P27" s="3">
        <v>78</v>
      </c>
      <c r="Q27" s="3">
        <f t="shared" si="0"/>
        <v>78</v>
      </c>
      <c r="R27" s="3">
        <v>40</v>
      </c>
      <c r="S27" s="9"/>
      <c r="T27" s="9">
        <v>45</v>
      </c>
      <c r="U27" s="3">
        <v>75</v>
      </c>
      <c r="V27" s="3">
        <f t="shared" si="1"/>
        <v>75</v>
      </c>
      <c r="W27" s="3">
        <v>49</v>
      </c>
      <c r="X27" s="20"/>
      <c r="Y27" s="51">
        <v>44</v>
      </c>
      <c r="Z27" s="62">
        <v>32</v>
      </c>
      <c r="AA27" s="61"/>
      <c r="AB27" s="62">
        <v>45</v>
      </c>
      <c r="AC27" s="46"/>
    </row>
    <row r="28" spans="1:29">
      <c r="A28" s="3"/>
      <c r="B28" s="46">
        <v>44</v>
      </c>
      <c r="C28" s="41">
        <v>45</v>
      </c>
      <c r="D28" s="41">
        <v>77</v>
      </c>
      <c r="E28" s="41">
        <v>86</v>
      </c>
      <c r="F28" s="41">
        <v>90</v>
      </c>
      <c r="G28" s="41">
        <v>92</v>
      </c>
      <c r="H28" s="41">
        <v>93</v>
      </c>
      <c r="I28" s="41">
        <v>92</v>
      </c>
      <c r="J28" s="41">
        <v>91</v>
      </c>
      <c r="K28" s="41">
        <v>89</v>
      </c>
      <c r="L28" s="41">
        <v>79</v>
      </c>
      <c r="M28" s="41">
        <v>52</v>
      </c>
      <c r="N28" s="3"/>
      <c r="O28" s="9">
        <v>40</v>
      </c>
      <c r="P28" s="3">
        <v>79</v>
      </c>
      <c r="Q28" s="3">
        <f t="shared" si="0"/>
        <v>79</v>
      </c>
      <c r="R28" s="3">
        <v>41</v>
      </c>
      <c r="S28" s="9"/>
      <c r="T28" s="9">
        <v>49</v>
      </c>
      <c r="U28" s="3">
        <v>77</v>
      </c>
      <c r="V28" s="3">
        <f t="shared" si="1"/>
        <v>77</v>
      </c>
      <c r="W28" s="3">
        <v>50</v>
      </c>
      <c r="X28" s="20"/>
      <c r="Y28" s="51">
        <v>45</v>
      </c>
      <c r="Z28" s="62">
        <v>43</v>
      </c>
      <c r="AA28" s="61"/>
      <c r="AB28" s="62">
        <v>46</v>
      </c>
      <c r="AC28" s="46"/>
    </row>
    <row r="29" spans="1:29">
      <c r="A29" s="3"/>
      <c r="B29" s="46">
        <v>44</v>
      </c>
      <c r="C29" s="41">
        <v>47</v>
      </c>
      <c r="D29" s="41">
        <v>77</v>
      </c>
      <c r="E29" s="41">
        <v>87</v>
      </c>
      <c r="F29" s="41">
        <v>91</v>
      </c>
      <c r="G29" s="41">
        <v>93</v>
      </c>
      <c r="H29" s="41">
        <v>93</v>
      </c>
      <c r="I29" s="41">
        <v>92</v>
      </c>
      <c r="J29" s="41">
        <v>91</v>
      </c>
      <c r="K29" s="41">
        <v>89</v>
      </c>
      <c r="L29" s="41">
        <v>81</v>
      </c>
      <c r="M29" s="41">
        <v>54</v>
      </c>
      <c r="N29" s="3"/>
      <c r="O29" s="9">
        <v>41</v>
      </c>
      <c r="P29" s="3">
        <v>79</v>
      </c>
      <c r="Q29" s="3">
        <f t="shared" si="0"/>
        <v>79</v>
      </c>
      <c r="R29" s="3">
        <v>41</v>
      </c>
      <c r="S29" s="9"/>
      <c r="T29" s="9">
        <v>49</v>
      </c>
      <c r="U29" s="3">
        <v>77</v>
      </c>
      <c r="V29" s="3">
        <f t="shared" si="1"/>
        <v>77</v>
      </c>
      <c r="W29" s="3">
        <v>51</v>
      </c>
      <c r="X29" s="20"/>
      <c r="Y29" s="51">
        <v>46</v>
      </c>
      <c r="Z29" s="62">
        <v>52</v>
      </c>
      <c r="AA29" s="61"/>
      <c r="AB29" s="62">
        <v>46</v>
      </c>
      <c r="AC29" s="46"/>
    </row>
    <row r="30" spans="1:29">
      <c r="A30" s="3"/>
      <c r="B30" s="46">
        <v>44</v>
      </c>
      <c r="C30" s="41">
        <v>47</v>
      </c>
      <c r="D30" s="41">
        <v>82</v>
      </c>
      <c r="E30" s="41">
        <v>88</v>
      </c>
      <c r="F30" s="41">
        <v>92</v>
      </c>
      <c r="G30" s="41">
        <v>93</v>
      </c>
      <c r="H30" s="41">
        <v>93</v>
      </c>
      <c r="I30" s="41">
        <v>93</v>
      </c>
      <c r="J30" s="41">
        <v>92</v>
      </c>
      <c r="K30" s="41">
        <v>89</v>
      </c>
      <c r="L30" s="41">
        <v>82</v>
      </c>
      <c r="M30" s="41">
        <v>67</v>
      </c>
      <c r="N30" s="3"/>
      <c r="O30" s="9">
        <v>44</v>
      </c>
      <c r="P30" s="3">
        <v>82</v>
      </c>
      <c r="Q30" s="3">
        <f t="shared" si="0"/>
        <v>82</v>
      </c>
      <c r="R30" s="3">
        <v>44</v>
      </c>
      <c r="S30" s="9"/>
      <c r="T30" s="9">
        <v>49</v>
      </c>
      <c r="U30" s="3">
        <v>82</v>
      </c>
      <c r="V30" s="3">
        <f t="shared" si="1"/>
        <v>82</v>
      </c>
      <c r="W30" s="3">
        <v>51</v>
      </c>
      <c r="X30" s="20"/>
      <c r="Y30" s="51">
        <v>46</v>
      </c>
      <c r="Z30" s="62">
        <v>54</v>
      </c>
      <c r="AA30" s="64">
        <v>67</v>
      </c>
      <c r="AB30" s="62">
        <v>46</v>
      </c>
      <c r="AC30" s="46"/>
    </row>
    <row r="31" spans="1:29">
      <c r="A31" s="10"/>
      <c r="B31" s="46">
        <v>47</v>
      </c>
      <c r="C31" s="41">
        <v>51</v>
      </c>
      <c r="D31" s="41">
        <v>82</v>
      </c>
      <c r="E31" s="41">
        <v>89</v>
      </c>
      <c r="F31" s="41">
        <v>93</v>
      </c>
      <c r="G31" s="41">
        <v>94</v>
      </c>
      <c r="H31" s="41">
        <v>94</v>
      </c>
      <c r="I31" s="41">
        <v>93</v>
      </c>
      <c r="J31" s="41">
        <v>92</v>
      </c>
      <c r="K31" s="41">
        <v>90</v>
      </c>
      <c r="L31" s="41">
        <v>82</v>
      </c>
      <c r="M31" s="41">
        <v>71</v>
      </c>
      <c r="N31" s="3"/>
      <c r="O31" s="9">
        <v>45</v>
      </c>
      <c r="P31" s="3">
        <v>82</v>
      </c>
      <c r="Q31" s="3">
        <f t="shared" si="0"/>
        <v>82</v>
      </c>
      <c r="R31" s="3">
        <v>45</v>
      </c>
      <c r="S31" s="9"/>
      <c r="T31" s="9">
        <v>50</v>
      </c>
      <c r="U31" s="3">
        <v>82</v>
      </c>
      <c r="V31" s="3">
        <f t="shared" si="1"/>
        <v>82</v>
      </c>
      <c r="W31" s="3">
        <v>51</v>
      </c>
      <c r="X31" s="20"/>
      <c r="Y31" s="51">
        <v>46</v>
      </c>
      <c r="Z31" s="62">
        <v>71</v>
      </c>
      <c r="AA31" s="62">
        <v>71</v>
      </c>
      <c r="AB31" s="62">
        <v>46</v>
      </c>
      <c r="AC31" s="46"/>
    </row>
    <row r="32" spans="1:29">
      <c r="A32" s="10"/>
      <c r="B32" s="46">
        <v>50</v>
      </c>
      <c r="C32" s="41">
        <v>56</v>
      </c>
      <c r="D32" s="41">
        <v>82</v>
      </c>
      <c r="E32" s="41">
        <v>89</v>
      </c>
      <c r="F32" s="41">
        <v>93</v>
      </c>
      <c r="G32" s="41">
        <v>94</v>
      </c>
      <c r="H32" s="41">
        <v>94</v>
      </c>
      <c r="I32" s="41">
        <v>95</v>
      </c>
      <c r="J32" s="41">
        <v>93</v>
      </c>
      <c r="K32" s="41">
        <v>90</v>
      </c>
      <c r="L32" s="41">
        <v>83</v>
      </c>
      <c r="M32" s="41">
        <v>75</v>
      </c>
      <c r="N32" s="3"/>
      <c r="O32" s="9">
        <v>46</v>
      </c>
      <c r="P32" s="3">
        <v>83</v>
      </c>
      <c r="Q32" s="3">
        <f t="shared" si="0"/>
        <v>83</v>
      </c>
      <c r="R32" s="3">
        <v>46</v>
      </c>
      <c r="S32" s="9"/>
      <c r="T32" s="9">
        <v>51</v>
      </c>
      <c r="U32" s="3">
        <v>82</v>
      </c>
      <c r="V32" s="3">
        <f t="shared" si="1"/>
        <v>82</v>
      </c>
      <c r="W32" s="3">
        <v>53</v>
      </c>
      <c r="X32" s="20"/>
      <c r="Y32" s="51">
        <v>46</v>
      </c>
      <c r="Z32" s="62">
        <v>75</v>
      </c>
      <c r="AA32" s="62">
        <v>75</v>
      </c>
      <c r="AB32" s="62">
        <v>52</v>
      </c>
      <c r="AC32" s="46"/>
    </row>
    <row r="33" spans="1:29">
      <c r="A33" s="10"/>
      <c r="B33" s="65">
        <v>73</v>
      </c>
      <c r="C33" s="66">
        <v>73</v>
      </c>
      <c r="D33" s="41">
        <v>83</v>
      </c>
      <c r="E33" s="41">
        <v>89</v>
      </c>
      <c r="F33" s="41">
        <v>95</v>
      </c>
      <c r="G33" s="41">
        <v>96</v>
      </c>
      <c r="H33" s="41">
        <v>94</v>
      </c>
      <c r="I33" s="41">
        <v>97</v>
      </c>
      <c r="J33" s="41">
        <v>94</v>
      </c>
      <c r="K33" s="41">
        <v>91</v>
      </c>
      <c r="L33" s="41">
        <v>83</v>
      </c>
      <c r="M33" s="41">
        <v>81</v>
      </c>
      <c r="N33" s="3"/>
      <c r="O33" s="9">
        <v>47</v>
      </c>
      <c r="P33" s="3">
        <v>83</v>
      </c>
      <c r="Q33" s="3">
        <f t="shared" si="0"/>
        <v>83</v>
      </c>
      <c r="R33" s="3">
        <v>47</v>
      </c>
      <c r="S33" s="9"/>
      <c r="T33" s="9">
        <v>51</v>
      </c>
      <c r="U33" s="3">
        <v>83</v>
      </c>
      <c r="V33" s="3">
        <f t="shared" si="1"/>
        <v>83</v>
      </c>
      <c r="W33" s="3">
        <v>54</v>
      </c>
      <c r="X33" s="20"/>
      <c r="Y33" s="67">
        <v>67</v>
      </c>
      <c r="Z33" s="62">
        <v>81</v>
      </c>
      <c r="AA33" s="62">
        <v>81</v>
      </c>
      <c r="AB33" s="62">
        <v>54</v>
      </c>
      <c r="AC33" s="46"/>
    </row>
    <row r="34" spans="1:29">
      <c r="O34" s="31"/>
      <c r="P34" s="31"/>
      <c r="Q34" s="31"/>
      <c r="R34" s="31"/>
      <c r="T34" s="31"/>
      <c r="U34" s="14" t="s">
        <v>86</v>
      </c>
      <c r="V34" s="14"/>
      <c r="W34" s="31"/>
      <c r="Y34" s="31"/>
      <c r="Z34" s="14" t="s">
        <v>86</v>
      </c>
      <c r="AA34" s="14"/>
      <c r="AB34" s="31"/>
    </row>
    <row r="35" spans="1:29">
      <c r="A35" s="29" t="s">
        <v>103</v>
      </c>
      <c r="B35" s="68">
        <f>MEDIAN(B4:B32)</f>
        <v>36</v>
      </c>
      <c r="C35" s="68">
        <f>MEDIAN(C4:C32)</f>
        <v>40</v>
      </c>
      <c r="D35" s="69" t="s">
        <v>106</v>
      </c>
      <c r="E35" s="68">
        <f>MEDIAN(E5:E33)</f>
        <v>82</v>
      </c>
      <c r="F35" s="68">
        <f t="shared" ref="F35:K35" si="2">MEDIAN(F4:F33)</f>
        <v>88</v>
      </c>
      <c r="G35" s="68">
        <f t="shared" si="2"/>
        <v>90</v>
      </c>
      <c r="H35" s="68">
        <f t="shared" si="2"/>
        <v>91</v>
      </c>
      <c r="I35" s="68">
        <f t="shared" si="2"/>
        <v>91</v>
      </c>
      <c r="J35" s="68">
        <f t="shared" si="2"/>
        <v>89</v>
      </c>
      <c r="K35" s="68">
        <f t="shared" si="2"/>
        <v>86</v>
      </c>
      <c r="L35" s="69" t="s">
        <v>106</v>
      </c>
      <c r="M35" s="69" t="s">
        <v>106</v>
      </c>
      <c r="N35" s="68"/>
      <c r="O35" s="68">
        <f>MEDIAN(O28:O33)</f>
        <v>44.5</v>
      </c>
      <c r="P35" s="68">
        <f>MEDIAN(P11:P33)</f>
        <v>77</v>
      </c>
      <c r="Q35" s="68">
        <f>MEDIAN(Q13:Q33)</f>
        <v>78</v>
      </c>
      <c r="R35" s="68">
        <f>MEDIAN(R26:R33)</f>
        <v>42.5</v>
      </c>
      <c r="S35" s="68"/>
      <c r="T35" s="68">
        <f>MEDIAN(T18:T33)</f>
        <v>44</v>
      </c>
      <c r="U35" s="68">
        <f>MEDIAN(U20:U33)</f>
        <v>74.5</v>
      </c>
      <c r="V35" s="68">
        <f>MEDIAN(V25:V33)</f>
        <v>77</v>
      </c>
      <c r="W35" s="68">
        <f>MEDIAN(W13:W33)</f>
        <v>45</v>
      </c>
      <c r="Y35" s="68">
        <f>MEDIAN(Y12:Y32)</f>
        <v>41</v>
      </c>
      <c r="Z35" s="68">
        <f>MEDIAN(Z27:Z33)</f>
        <v>54</v>
      </c>
      <c r="AA35" s="68">
        <f>MEDIAN(AA31:AA33)</f>
        <v>75</v>
      </c>
      <c r="AB35" s="68">
        <f>MEDIAN(AB8:AB33)</f>
        <v>41</v>
      </c>
    </row>
    <row r="36" spans="1:29">
      <c r="A36" s="70" t="s">
        <v>104</v>
      </c>
    </row>
  </sheetData>
  <phoneticPr fontId="9" type="noConversion"/>
  <pageMargins left="0.25" right="0.25694444444444442" top="0.25" bottom="0.25" header="0" footer="0"/>
  <pageSetup scale="71" orientation="landscape" horizontalDpi="0" verticalDpi="0" copies="0"/>
  <headerFooter alignWithMargins="0"/>
  <customProperties>
    <customPr name="_pios_id" r:id="rId1"/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="87" zoomScaleNormal="87" workbookViewId="0">
      <pane xSplit="1" ySplit="3" topLeftCell="B4" activePane="bottomRight" state="frozen"/>
      <selection pane="topRight"/>
      <selection pane="bottomLeft"/>
      <selection pane="bottomRight" activeCell="B23" sqref="B23"/>
    </sheetView>
  </sheetViews>
  <sheetFormatPr defaultColWidth="9.6640625" defaultRowHeight="15"/>
  <cols>
    <col min="1" max="1" width="9.6640625" style="1" customWidth="1"/>
    <col min="2" max="13" width="6.6640625" style="1" customWidth="1"/>
    <col min="14" max="14" width="9.6640625" style="1" customWidth="1"/>
    <col min="15" max="15" width="6.6640625" style="1" customWidth="1"/>
    <col min="16" max="16" width="7.6640625" style="1" customWidth="1"/>
    <col min="17" max="17" width="6.6640625" style="1" customWidth="1"/>
    <col min="18" max="18" width="8.6640625" style="1" customWidth="1"/>
    <col min="19" max="19" width="3.6640625" style="1" customWidth="1"/>
    <col min="20" max="23" width="7.6640625" style="1" customWidth="1"/>
    <col min="24" max="24" width="3.6640625" style="1" customWidth="1"/>
    <col min="25" max="28" width="7.6640625" style="1" customWidth="1"/>
    <col min="29" max="16384" width="9.6640625" style="1"/>
  </cols>
  <sheetData>
    <row r="1" spans="1:29">
      <c r="B1" s="1" t="s">
        <v>105</v>
      </c>
      <c r="O1" s="30"/>
      <c r="P1" s="31"/>
      <c r="Q1" s="31"/>
      <c r="R1" s="31"/>
      <c r="S1" s="20"/>
      <c r="T1" s="30"/>
      <c r="U1" s="31"/>
      <c r="V1" s="31"/>
      <c r="W1" s="31"/>
      <c r="X1" s="20"/>
      <c r="Y1" s="30"/>
      <c r="Z1" s="31"/>
      <c r="AA1" s="31"/>
      <c r="AB1" s="31"/>
      <c r="AC1" s="20"/>
    </row>
    <row r="2" spans="1:29" ht="15.75">
      <c r="O2" s="9"/>
      <c r="P2" s="49" t="s">
        <v>107</v>
      </c>
      <c r="Q2" s="49"/>
      <c r="R2" s="50"/>
      <c r="T2" s="9"/>
      <c r="U2" s="49" t="s">
        <v>110</v>
      </c>
      <c r="V2" s="49"/>
      <c r="X2" s="20"/>
      <c r="Y2" s="9"/>
      <c r="Z2" s="49" t="s">
        <v>124</v>
      </c>
      <c r="AA2" s="49"/>
      <c r="AC2" s="20"/>
    </row>
    <row r="3" spans="1:29" ht="15.75">
      <c r="A3" s="5" t="s">
        <v>116</v>
      </c>
      <c r="B3" s="10" t="s">
        <v>4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3"/>
      <c r="O3" s="54" t="s">
        <v>91</v>
      </c>
      <c r="P3" s="55" t="s">
        <v>93</v>
      </c>
      <c r="Q3" s="55" t="s">
        <v>108</v>
      </c>
      <c r="R3" s="55" t="s">
        <v>109</v>
      </c>
      <c r="S3" s="54"/>
      <c r="T3" s="54" t="s">
        <v>95</v>
      </c>
      <c r="U3" s="55" t="s">
        <v>97</v>
      </c>
      <c r="V3" s="55" t="s">
        <v>111</v>
      </c>
      <c r="W3" s="55" t="s">
        <v>112</v>
      </c>
      <c r="X3" s="56"/>
      <c r="Y3" s="57" t="s">
        <v>98</v>
      </c>
      <c r="Z3" s="58" t="s">
        <v>99</v>
      </c>
      <c r="AA3" s="58" t="s">
        <v>114</v>
      </c>
      <c r="AB3" s="58" t="s">
        <v>115</v>
      </c>
      <c r="AC3" s="20"/>
    </row>
    <row r="4" spans="1:29" ht="15.75">
      <c r="A4" s="3"/>
      <c r="B4" s="35">
        <v>26</v>
      </c>
      <c r="C4" s="71">
        <v>26</v>
      </c>
      <c r="D4" s="71">
        <v>37</v>
      </c>
      <c r="E4" s="72">
        <v>51</v>
      </c>
      <c r="F4" s="45">
        <v>81</v>
      </c>
      <c r="G4" s="45">
        <v>86</v>
      </c>
      <c r="H4" s="45">
        <v>87</v>
      </c>
      <c r="I4" s="45">
        <v>87</v>
      </c>
      <c r="J4" s="45">
        <v>84</v>
      </c>
      <c r="K4" s="45">
        <v>79</v>
      </c>
      <c r="L4" s="71">
        <v>40</v>
      </c>
      <c r="M4" s="71">
        <v>27</v>
      </c>
      <c r="N4" s="3"/>
      <c r="O4" s="9"/>
      <c r="P4" s="3"/>
      <c r="Q4" s="3"/>
      <c r="R4" s="41"/>
      <c r="S4" s="3"/>
      <c r="T4" s="9"/>
      <c r="U4" s="3"/>
      <c r="V4" s="3"/>
      <c r="W4" s="41"/>
      <c r="Y4" s="9"/>
      <c r="Z4" s="3"/>
      <c r="AA4" s="3"/>
      <c r="AB4" s="41"/>
    </row>
    <row r="5" spans="1:29">
      <c r="A5" s="3"/>
      <c r="B5" s="37">
        <v>27</v>
      </c>
      <c r="C5" s="36">
        <v>29</v>
      </c>
      <c r="D5" s="36">
        <v>38</v>
      </c>
      <c r="E5" s="41">
        <v>79</v>
      </c>
      <c r="F5" s="41">
        <v>85</v>
      </c>
      <c r="G5" s="41">
        <v>88</v>
      </c>
      <c r="H5" s="41">
        <v>87</v>
      </c>
      <c r="I5" s="41">
        <v>90</v>
      </c>
      <c r="J5" s="41">
        <v>86</v>
      </c>
      <c r="K5" s="41">
        <v>83</v>
      </c>
      <c r="L5" s="36">
        <v>45</v>
      </c>
      <c r="M5" s="36">
        <v>32</v>
      </c>
      <c r="N5" s="3"/>
      <c r="O5" s="9"/>
      <c r="P5" s="3"/>
      <c r="Q5" s="3"/>
      <c r="R5" s="41"/>
      <c r="S5" s="3"/>
      <c r="T5" s="9"/>
      <c r="U5" s="3"/>
      <c r="V5" s="3"/>
      <c r="W5" s="41"/>
      <c r="Y5" s="9"/>
      <c r="Z5" s="3"/>
      <c r="AA5" s="3"/>
      <c r="AB5" s="41"/>
    </row>
    <row r="6" spans="1:29">
      <c r="A6" s="3"/>
      <c r="B6" s="37">
        <v>32</v>
      </c>
      <c r="C6" s="36">
        <v>36</v>
      </c>
      <c r="D6" s="36">
        <v>38</v>
      </c>
      <c r="E6" s="41">
        <v>80</v>
      </c>
      <c r="F6" s="41">
        <v>86</v>
      </c>
      <c r="G6" s="41">
        <v>88</v>
      </c>
      <c r="H6" s="41">
        <v>89</v>
      </c>
      <c r="I6" s="41">
        <v>90</v>
      </c>
      <c r="J6" s="41">
        <v>87</v>
      </c>
      <c r="K6" s="41">
        <v>83</v>
      </c>
      <c r="L6" s="36">
        <v>46</v>
      </c>
      <c r="M6" s="36">
        <v>34</v>
      </c>
      <c r="N6" s="3"/>
      <c r="O6" s="9"/>
      <c r="P6" s="3"/>
      <c r="Q6" s="3"/>
      <c r="R6" s="41"/>
      <c r="S6" s="3"/>
      <c r="T6" s="9"/>
      <c r="U6" s="3"/>
      <c r="V6" s="3"/>
      <c r="W6" s="3"/>
      <c r="X6" s="20"/>
      <c r="Y6" s="9"/>
      <c r="Z6" s="3"/>
      <c r="AA6" s="3"/>
      <c r="AB6" s="3"/>
      <c r="AC6" s="20"/>
    </row>
    <row r="7" spans="1:29">
      <c r="A7" s="3"/>
      <c r="B7" s="37">
        <v>33</v>
      </c>
      <c r="C7" s="36">
        <v>37</v>
      </c>
      <c r="D7" s="36">
        <v>42</v>
      </c>
      <c r="E7" s="41">
        <v>80</v>
      </c>
      <c r="F7" s="41">
        <v>86</v>
      </c>
      <c r="G7" s="41">
        <v>88</v>
      </c>
      <c r="H7" s="41">
        <v>90</v>
      </c>
      <c r="I7" s="41">
        <v>90</v>
      </c>
      <c r="J7" s="41">
        <v>88</v>
      </c>
      <c r="K7" s="41">
        <v>83</v>
      </c>
      <c r="L7" s="36">
        <v>47</v>
      </c>
      <c r="M7" s="36">
        <v>35</v>
      </c>
      <c r="N7" s="3"/>
      <c r="O7" s="9"/>
      <c r="P7" s="3"/>
      <c r="Q7" s="3"/>
      <c r="R7" s="41"/>
      <c r="S7" s="3"/>
      <c r="T7" s="9"/>
      <c r="U7" s="3"/>
      <c r="V7" s="3"/>
      <c r="W7" s="3"/>
      <c r="X7" s="20"/>
      <c r="Y7" s="9"/>
      <c r="Z7" s="3"/>
      <c r="AA7" s="3"/>
    </row>
    <row r="8" spans="1:29">
      <c r="A8" s="3"/>
      <c r="B8" s="37">
        <v>34</v>
      </c>
      <c r="C8" s="36">
        <v>37</v>
      </c>
      <c r="D8" s="36">
        <v>44</v>
      </c>
      <c r="E8" s="41">
        <v>81</v>
      </c>
      <c r="F8" s="41">
        <v>86</v>
      </c>
      <c r="G8" s="41">
        <v>89</v>
      </c>
      <c r="H8" s="41">
        <v>90</v>
      </c>
      <c r="I8" s="41">
        <v>91</v>
      </c>
      <c r="J8" s="41">
        <v>88</v>
      </c>
      <c r="K8" s="41">
        <v>83</v>
      </c>
      <c r="L8" s="41">
        <v>73</v>
      </c>
      <c r="M8" s="36">
        <v>37</v>
      </c>
      <c r="N8" s="3"/>
      <c r="O8" s="9"/>
      <c r="P8" s="3"/>
      <c r="Q8" s="3"/>
      <c r="R8" s="3"/>
      <c r="S8" s="9"/>
      <c r="T8" s="9"/>
      <c r="U8" s="3"/>
      <c r="V8" s="3"/>
      <c r="W8" s="3"/>
      <c r="X8" s="20"/>
      <c r="Y8" s="9"/>
      <c r="Z8" s="3"/>
      <c r="AA8" s="3"/>
      <c r="AB8" s="3">
        <v>27</v>
      </c>
      <c r="AC8" s="20"/>
    </row>
    <row r="9" spans="1:29">
      <c r="A9" s="3"/>
      <c r="B9" s="37">
        <v>35</v>
      </c>
      <c r="C9" s="36">
        <v>38</v>
      </c>
      <c r="D9" s="36">
        <v>44</v>
      </c>
      <c r="E9" s="41">
        <v>81</v>
      </c>
      <c r="F9" s="41">
        <v>87</v>
      </c>
      <c r="G9" s="41">
        <v>89</v>
      </c>
      <c r="H9" s="41">
        <v>91</v>
      </c>
      <c r="I9" s="41">
        <v>91</v>
      </c>
      <c r="J9" s="41">
        <v>89</v>
      </c>
      <c r="K9" s="41">
        <v>83</v>
      </c>
      <c r="L9" s="41">
        <v>74</v>
      </c>
      <c r="M9" s="36">
        <v>37</v>
      </c>
      <c r="N9" s="3"/>
      <c r="O9" s="9"/>
      <c r="P9" s="3">
        <v>73</v>
      </c>
      <c r="Q9" s="3">
        <f t="shared" ref="Q9:Q23" si="0">P9</f>
        <v>73</v>
      </c>
      <c r="R9" s="3"/>
      <c r="S9" s="9"/>
      <c r="T9" s="9"/>
      <c r="U9" s="3"/>
      <c r="V9" s="3"/>
      <c r="W9" s="3">
        <v>37</v>
      </c>
      <c r="X9" s="20"/>
      <c r="Y9" s="73">
        <v>27</v>
      </c>
      <c r="Z9" s="3"/>
      <c r="AA9" s="3"/>
      <c r="AB9" s="3">
        <v>32</v>
      </c>
      <c r="AC9" s="20"/>
    </row>
    <row r="10" spans="1:29">
      <c r="A10" s="3"/>
      <c r="B10" s="37">
        <v>36</v>
      </c>
      <c r="C10" s="36">
        <v>38</v>
      </c>
      <c r="D10" s="36">
        <v>45</v>
      </c>
      <c r="E10" s="41">
        <v>81</v>
      </c>
      <c r="F10" s="41">
        <v>88</v>
      </c>
      <c r="G10" s="41">
        <v>89</v>
      </c>
      <c r="H10" s="41">
        <v>91</v>
      </c>
      <c r="I10" s="41">
        <v>91</v>
      </c>
      <c r="J10" s="41">
        <v>89</v>
      </c>
      <c r="K10" s="41">
        <v>84</v>
      </c>
      <c r="L10" s="41">
        <v>74</v>
      </c>
      <c r="M10" s="36">
        <v>37</v>
      </c>
      <c r="N10" s="3"/>
      <c r="O10" s="9"/>
      <c r="P10" s="3">
        <v>74</v>
      </c>
      <c r="Q10" s="3">
        <f t="shared" si="0"/>
        <v>74</v>
      </c>
      <c r="R10" s="3"/>
      <c r="S10" s="9"/>
      <c r="T10" s="9"/>
      <c r="U10" s="3"/>
      <c r="V10" s="3"/>
      <c r="W10" s="3">
        <v>38</v>
      </c>
      <c r="X10" s="20"/>
      <c r="Y10" s="9">
        <v>34</v>
      </c>
      <c r="Z10" s="3"/>
      <c r="AA10" s="3"/>
      <c r="AB10" s="3">
        <v>34</v>
      </c>
    </row>
    <row r="11" spans="1:29">
      <c r="A11" s="3"/>
      <c r="B11" s="37">
        <v>37</v>
      </c>
      <c r="C11" s="36">
        <v>39</v>
      </c>
      <c r="D11" s="36">
        <v>48</v>
      </c>
      <c r="E11" s="41">
        <v>82</v>
      </c>
      <c r="F11" s="41">
        <v>88</v>
      </c>
      <c r="G11" s="41">
        <v>89</v>
      </c>
      <c r="H11" s="41">
        <v>91</v>
      </c>
      <c r="I11" s="41">
        <v>91</v>
      </c>
      <c r="J11" s="41">
        <v>89</v>
      </c>
      <c r="K11" s="41">
        <v>84</v>
      </c>
      <c r="L11" s="41">
        <v>76</v>
      </c>
      <c r="M11" s="36">
        <v>40</v>
      </c>
      <c r="N11" s="3"/>
      <c r="O11" s="9"/>
      <c r="P11" s="3">
        <v>74</v>
      </c>
      <c r="Q11" s="3">
        <f t="shared" si="0"/>
        <v>74</v>
      </c>
      <c r="R11" s="3"/>
      <c r="S11" s="9"/>
      <c r="T11" s="9"/>
      <c r="U11" s="3"/>
      <c r="V11" s="3"/>
      <c r="W11" s="3">
        <v>38</v>
      </c>
      <c r="X11" s="20"/>
      <c r="Y11" s="9">
        <v>35</v>
      </c>
      <c r="Z11" s="3"/>
      <c r="AA11" s="3"/>
      <c r="AB11" s="3">
        <v>35</v>
      </c>
    </row>
    <row r="12" spans="1:29">
      <c r="A12" s="3"/>
      <c r="B12" s="37">
        <v>38</v>
      </c>
      <c r="C12" s="36">
        <v>40</v>
      </c>
      <c r="D12" s="36">
        <v>49</v>
      </c>
      <c r="E12" s="41">
        <v>82</v>
      </c>
      <c r="F12" s="41">
        <v>88</v>
      </c>
      <c r="G12" s="41">
        <v>90</v>
      </c>
      <c r="H12" s="41">
        <v>92</v>
      </c>
      <c r="I12" s="41">
        <v>91</v>
      </c>
      <c r="J12" s="41">
        <v>89</v>
      </c>
      <c r="K12" s="41">
        <v>85</v>
      </c>
      <c r="L12" s="41">
        <v>77</v>
      </c>
      <c r="M12" s="36">
        <v>41</v>
      </c>
      <c r="N12" s="3"/>
      <c r="O12" s="9"/>
      <c r="P12" s="3">
        <v>76</v>
      </c>
      <c r="Q12" s="3">
        <f t="shared" si="0"/>
        <v>76</v>
      </c>
      <c r="R12" s="3"/>
      <c r="S12" s="9"/>
      <c r="T12" s="9">
        <v>37</v>
      </c>
      <c r="U12" s="3"/>
      <c r="V12" s="3"/>
      <c r="W12" s="3">
        <v>42</v>
      </c>
      <c r="X12" s="20"/>
      <c r="Y12" s="9">
        <v>37</v>
      </c>
      <c r="Z12" s="3"/>
      <c r="AA12" s="3"/>
      <c r="AB12" s="3">
        <v>37</v>
      </c>
    </row>
    <row r="13" spans="1:29">
      <c r="A13" s="3"/>
      <c r="B13" s="37">
        <v>39</v>
      </c>
      <c r="C13" s="36">
        <v>40</v>
      </c>
      <c r="D13" s="36">
        <v>49</v>
      </c>
      <c r="E13" s="41">
        <v>83</v>
      </c>
      <c r="F13" s="41">
        <v>88</v>
      </c>
      <c r="G13" s="41">
        <v>90</v>
      </c>
      <c r="H13" s="41">
        <v>92</v>
      </c>
      <c r="I13" s="41">
        <v>91</v>
      </c>
      <c r="J13" s="41">
        <v>90</v>
      </c>
      <c r="K13" s="41">
        <v>86</v>
      </c>
      <c r="L13" s="41">
        <v>78</v>
      </c>
      <c r="M13" s="36">
        <v>41</v>
      </c>
      <c r="N13" s="3"/>
      <c r="O13" s="9"/>
      <c r="P13" s="3">
        <v>77</v>
      </c>
      <c r="Q13" s="3">
        <f t="shared" si="0"/>
        <v>77</v>
      </c>
      <c r="R13" s="3"/>
      <c r="S13" s="9"/>
      <c r="T13" s="9">
        <v>38</v>
      </c>
      <c r="U13" s="3"/>
      <c r="V13" s="3"/>
      <c r="W13" s="3">
        <v>44</v>
      </c>
      <c r="X13" s="20"/>
      <c r="Y13" s="9">
        <v>37</v>
      </c>
      <c r="Z13" s="3"/>
      <c r="AA13" s="3"/>
      <c r="AB13" s="3">
        <v>37</v>
      </c>
    </row>
    <row r="14" spans="1:29">
      <c r="A14" s="3"/>
      <c r="B14" s="37">
        <v>39</v>
      </c>
      <c r="C14" s="36">
        <v>40</v>
      </c>
      <c r="D14" s="36">
        <v>49</v>
      </c>
      <c r="E14" s="41">
        <v>83</v>
      </c>
      <c r="F14" s="41">
        <v>90</v>
      </c>
      <c r="G14" s="41">
        <v>90</v>
      </c>
      <c r="H14" s="41">
        <v>92</v>
      </c>
      <c r="I14" s="41">
        <v>91</v>
      </c>
      <c r="J14" s="41">
        <v>90</v>
      </c>
      <c r="K14" s="41">
        <v>87</v>
      </c>
      <c r="L14" s="41">
        <v>78</v>
      </c>
      <c r="M14" s="36">
        <v>44</v>
      </c>
      <c r="N14" s="3"/>
      <c r="O14" s="9"/>
      <c r="P14" s="3">
        <v>78</v>
      </c>
      <c r="Q14" s="3">
        <f t="shared" si="0"/>
        <v>78</v>
      </c>
      <c r="R14" s="3"/>
      <c r="S14" s="9"/>
      <c r="T14" s="9">
        <v>38</v>
      </c>
      <c r="U14" s="3"/>
      <c r="V14" s="3"/>
      <c r="W14" s="3">
        <v>44</v>
      </c>
      <c r="X14" s="20"/>
      <c r="Y14" s="9">
        <v>37</v>
      </c>
      <c r="Z14" s="3"/>
      <c r="AA14" s="3"/>
      <c r="AB14" s="3">
        <v>37</v>
      </c>
    </row>
    <row r="15" spans="1:29">
      <c r="A15" s="3"/>
      <c r="B15" s="37">
        <v>41</v>
      </c>
      <c r="C15" s="36">
        <v>42</v>
      </c>
      <c r="D15" s="36">
        <v>51</v>
      </c>
      <c r="E15" s="41">
        <v>85</v>
      </c>
      <c r="F15" s="41">
        <v>90</v>
      </c>
      <c r="G15" s="41">
        <v>90</v>
      </c>
      <c r="H15" s="41">
        <v>92</v>
      </c>
      <c r="I15" s="41">
        <v>92</v>
      </c>
      <c r="J15" s="41">
        <v>90</v>
      </c>
      <c r="K15" s="41">
        <v>87</v>
      </c>
      <c r="L15" s="41">
        <v>78</v>
      </c>
      <c r="M15" s="36">
        <v>45</v>
      </c>
      <c r="N15" s="3"/>
      <c r="O15" s="9"/>
      <c r="P15" s="3">
        <v>78</v>
      </c>
      <c r="Q15" s="3">
        <f t="shared" si="0"/>
        <v>78</v>
      </c>
      <c r="R15" s="3"/>
      <c r="S15" s="9"/>
      <c r="T15" s="9">
        <v>42</v>
      </c>
      <c r="U15" s="3"/>
      <c r="V15" s="3"/>
      <c r="W15" s="3">
        <v>45</v>
      </c>
      <c r="X15" s="20"/>
      <c r="Y15" s="9">
        <v>40</v>
      </c>
      <c r="Z15" s="3"/>
      <c r="AA15" s="3"/>
      <c r="AB15" s="3">
        <v>40</v>
      </c>
    </row>
    <row r="16" spans="1:29">
      <c r="A16" s="3"/>
      <c r="B16" s="37">
        <v>43</v>
      </c>
      <c r="C16" s="36">
        <v>44</v>
      </c>
      <c r="D16" s="36">
        <v>51</v>
      </c>
      <c r="E16" s="41">
        <v>86</v>
      </c>
      <c r="F16" s="41">
        <v>90</v>
      </c>
      <c r="G16" s="41">
        <v>91</v>
      </c>
      <c r="H16" s="41">
        <v>92</v>
      </c>
      <c r="I16" s="41">
        <v>92</v>
      </c>
      <c r="J16" s="41">
        <v>91</v>
      </c>
      <c r="K16" s="41">
        <v>87</v>
      </c>
      <c r="L16" s="41">
        <v>78</v>
      </c>
      <c r="M16" s="36">
        <v>46</v>
      </c>
      <c r="N16" s="3"/>
      <c r="O16" s="9"/>
      <c r="P16" s="3">
        <v>78</v>
      </c>
      <c r="Q16" s="3">
        <f t="shared" si="0"/>
        <v>78</v>
      </c>
      <c r="R16" s="3"/>
      <c r="S16" s="9"/>
      <c r="T16" s="9">
        <v>44</v>
      </c>
      <c r="U16" s="3">
        <v>48</v>
      </c>
      <c r="V16" s="3"/>
      <c r="W16" s="3">
        <v>48</v>
      </c>
      <c r="X16" s="20"/>
      <c r="Y16" s="9">
        <v>41</v>
      </c>
      <c r="Z16" s="3"/>
      <c r="AA16" s="3"/>
      <c r="AB16" s="3">
        <v>41</v>
      </c>
    </row>
    <row r="17" spans="1:29">
      <c r="A17" s="3"/>
      <c r="B17" s="37">
        <v>43</v>
      </c>
      <c r="C17" s="36">
        <v>44</v>
      </c>
      <c r="D17" s="36">
        <v>51</v>
      </c>
      <c r="E17" s="41">
        <v>86</v>
      </c>
      <c r="F17" s="41">
        <v>90</v>
      </c>
      <c r="G17" s="41">
        <v>91</v>
      </c>
      <c r="H17" s="41">
        <v>93</v>
      </c>
      <c r="I17" s="41">
        <v>92</v>
      </c>
      <c r="J17" s="41">
        <v>91</v>
      </c>
      <c r="K17" s="41">
        <v>89</v>
      </c>
      <c r="L17" s="41">
        <v>79</v>
      </c>
      <c r="M17" s="36">
        <v>46</v>
      </c>
      <c r="N17" s="3"/>
      <c r="O17" s="9"/>
      <c r="P17" s="3">
        <v>78</v>
      </c>
      <c r="Q17" s="3">
        <f t="shared" si="0"/>
        <v>78</v>
      </c>
      <c r="R17" s="3"/>
      <c r="S17" s="9"/>
      <c r="T17" s="9">
        <v>44</v>
      </c>
      <c r="U17" s="3">
        <v>51</v>
      </c>
      <c r="V17" s="3"/>
      <c r="W17" s="3">
        <v>49</v>
      </c>
      <c r="X17" s="20"/>
      <c r="Y17" s="9">
        <v>41</v>
      </c>
      <c r="Z17" s="3"/>
      <c r="AA17" s="3"/>
      <c r="AB17" s="3">
        <v>41</v>
      </c>
    </row>
    <row r="18" spans="1:29">
      <c r="A18" s="3"/>
      <c r="B18" s="37">
        <v>43</v>
      </c>
      <c r="C18" s="36">
        <v>44</v>
      </c>
      <c r="D18" s="36">
        <v>53</v>
      </c>
      <c r="E18" s="41">
        <v>86</v>
      </c>
      <c r="F18" s="41">
        <v>90</v>
      </c>
      <c r="G18" s="41">
        <v>91</v>
      </c>
      <c r="H18" s="41">
        <v>93</v>
      </c>
      <c r="I18" s="41">
        <v>92</v>
      </c>
      <c r="J18" s="41">
        <v>91</v>
      </c>
      <c r="K18" s="41">
        <v>89</v>
      </c>
      <c r="L18" s="41">
        <v>79</v>
      </c>
      <c r="M18" s="36">
        <v>46</v>
      </c>
      <c r="N18" s="3"/>
      <c r="O18" s="9"/>
      <c r="P18" s="3">
        <v>79</v>
      </c>
      <c r="Q18" s="3">
        <f t="shared" si="0"/>
        <v>79</v>
      </c>
      <c r="R18" s="3"/>
      <c r="S18" s="9"/>
      <c r="T18" s="9">
        <v>45</v>
      </c>
      <c r="U18" s="3">
        <v>53</v>
      </c>
      <c r="V18" s="3"/>
      <c r="W18" s="3">
        <v>49</v>
      </c>
      <c r="X18" s="20"/>
      <c r="Y18" s="9">
        <v>44</v>
      </c>
      <c r="Z18" s="29"/>
      <c r="AA18" s="3"/>
      <c r="AB18" s="3">
        <v>44</v>
      </c>
    </row>
    <row r="19" spans="1:29">
      <c r="A19" s="3"/>
      <c r="B19" s="37">
        <v>44</v>
      </c>
      <c r="C19" s="36">
        <v>45</v>
      </c>
      <c r="D19" s="41">
        <v>74</v>
      </c>
      <c r="E19" s="41">
        <v>86</v>
      </c>
      <c r="F19" s="41">
        <v>90</v>
      </c>
      <c r="G19" s="41">
        <v>92</v>
      </c>
      <c r="H19" s="41">
        <v>93</v>
      </c>
      <c r="I19" s="41">
        <v>92</v>
      </c>
      <c r="J19" s="41">
        <v>91</v>
      </c>
      <c r="K19" s="41">
        <v>89</v>
      </c>
      <c r="L19" s="41">
        <v>81</v>
      </c>
      <c r="M19" s="36">
        <v>54</v>
      </c>
      <c r="N19" s="3"/>
      <c r="O19" s="9"/>
      <c r="P19" s="3">
        <v>79</v>
      </c>
      <c r="Q19" s="3">
        <f t="shared" si="0"/>
        <v>79</v>
      </c>
      <c r="R19" s="3"/>
      <c r="S19" s="9"/>
      <c r="T19" s="9">
        <v>49</v>
      </c>
      <c r="U19" s="3">
        <v>74</v>
      </c>
      <c r="V19" s="3">
        <f>U19</f>
        <v>74</v>
      </c>
      <c r="W19" s="3">
        <v>49</v>
      </c>
      <c r="X19" s="46"/>
      <c r="Y19" s="9">
        <v>45</v>
      </c>
      <c r="Z19" s="3">
        <v>32</v>
      </c>
      <c r="AA19" s="3"/>
      <c r="AB19" s="3">
        <v>45</v>
      </c>
    </row>
    <row r="20" spans="1:29">
      <c r="A20" s="3"/>
      <c r="B20" s="37">
        <v>44</v>
      </c>
      <c r="C20" s="36">
        <v>47</v>
      </c>
      <c r="D20" s="41">
        <v>77</v>
      </c>
      <c r="E20" s="41">
        <v>87</v>
      </c>
      <c r="F20" s="41">
        <v>91</v>
      </c>
      <c r="G20" s="41">
        <v>93</v>
      </c>
      <c r="H20" s="41">
        <v>93</v>
      </c>
      <c r="I20" s="41">
        <v>92</v>
      </c>
      <c r="J20" s="41">
        <v>91</v>
      </c>
      <c r="K20" s="41">
        <v>89</v>
      </c>
      <c r="L20" s="41">
        <v>82</v>
      </c>
      <c r="M20" s="41">
        <v>67</v>
      </c>
      <c r="N20" s="3"/>
      <c r="O20" s="9">
        <v>40</v>
      </c>
      <c r="P20" s="3">
        <v>82</v>
      </c>
      <c r="Q20" s="3">
        <f t="shared" si="0"/>
        <v>82</v>
      </c>
      <c r="R20" s="3">
        <v>40</v>
      </c>
      <c r="S20" s="9"/>
      <c r="T20" s="9">
        <v>49</v>
      </c>
      <c r="U20" s="3">
        <v>77</v>
      </c>
      <c r="V20" s="3">
        <f>U20</f>
        <v>77</v>
      </c>
      <c r="W20" s="3">
        <v>51</v>
      </c>
      <c r="X20" s="20"/>
      <c r="Y20" s="9">
        <v>46</v>
      </c>
      <c r="Z20" s="3">
        <v>54</v>
      </c>
      <c r="AA20" s="74">
        <v>67</v>
      </c>
      <c r="AB20" s="3">
        <v>46</v>
      </c>
    </row>
    <row r="21" spans="1:29">
      <c r="A21" s="3"/>
      <c r="B21" s="37">
        <v>44</v>
      </c>
      <c r="C21" s="36">
        <v>47</v>
      </c>
      <c r="D21" s="41">
        <v>82</v>
      </c>
      <c r="E21" s="41">
        <v>88</v>
      </c>
      <c r="F21" s="41">
        <v>93</v>
      </c>
      <c r="G21" s="41">
        <v>94</v>
      </c>
      <c r="H21" s="41">
        <v>94</v>
      </c>
      <c r="I21" s="41">
        <v>93</v>
      </c>
      <c r="J21" s="41">
        <v>92</v>
      </c>
      <c r="K21" s="41">
        <v>90</v>
      </c>
      <c r="L21" s="41">
        <v>82</v>
      </c>
      <c r="M21" s="41">
        <v>71</v>
      </c>
      <c r="N21" s="3"/>
      <c r="O21" s="9">
        <v>45</v>
      </c>
      <c r="P21" s="3">
        <v>82</v>
      </c>
      <c r="Q21" s="3">
        <f t="shared" si="0"/>
        <v>82</v>
      </c>
      <c r="R21" s="3">
        <v>45</v>
      </c>
      <c r="S21" s="9"/>
      <c r="T21" s="9">
        <v>49</v>
      </c>
      <c r="U21" s="3">
        <v>82</v>
      </c>
      <c r="V21" s="3">
        <f>U21</f>
        <v>82</v>
      </c>
      <c r="W21" s="3">
        <v>51</v>
      </c>
      <c r="X21" s="20"/>
      <c r="Y21" s="9">
        <v>46</v>
      </c>
      <c r="Z21" s="3">
        <v>71</v>
      </c>
      <c r="AA21" s="3">
        <v>71</v>
      </c>
      <c r="AB21" s="3">
        <v>46</v>
      </c>
    </row>
    <row r="22" spans="1:29">
      <c r="A22" s="3"/>
      <c r="B22" s="37">
        <v>47</v>
      </c>
      <c r="C22" s="36">
        <v>51</v>
      </c>
      <c r="D22" s="41">
        <v>82</v>
      </c>
      <c r="E22" s="41">
        <v>89</v>
      </c>
      <c r="F22" s="41">
        <v>93</v>
      </c>
      <c r="G22" s="41">
        <v>94</v>
      </c>
      <c r="H22" s="41">
        <v>94</v>
      </c>
      <c r="I22" s="41">
        <v>95</v>
      </c>
      <c r="J22" s="41">
        <v>93</v>
      </c>
      <c r="K22" s="41">
        <v>90</v>
      </c>
      <c r="L22" s="41">
        <v>83</v>
      </c>
      <c r="M22" s="41">
        <v>75</v>
      </c>
      <c r="N22" s="3"/>
      <c r="O22" s="9">
        <v>46</v>
      </c>
      <c r="P22" s="3">
        <v>83</v>
      </c>
      <c r="Q22" s="3">
        <f t="shared" si="0"/>
        <v>83</v>
      </c>
      <c r="R22" s="3">
        <v>46</v>
      </c>
      <c r="S22" s="9"/>
      <c r="T22" s="9">
        <v>51</v>
      </c>
      <c r="U22" s="3">
        <v>82</v>
      </c>
      <c r="V22" s="3">
        <f>U22</f>
        <v>82</v>
      </c>
      <c r="W22" s="3">
        <v>51</v>
      </c>
      <c r="X22" s="20"/>
      <c r="Y22" s="9">
        <v>46</v>
      </c>
      <c r="Z22" s="3">
        <v>75</v>
      </c>
      <c r="AA22" s="3">
        <v>75</v>
      </c>
      <c r="AB22" s="3">
        <v>46</v>
      </c>
    </row>
    <row r="23" spans="1:29">
      <c r="A23" s="3"/>
      <c r="B23" s="37">
        <v>50</v>
      </c>
      <c r="C23" s="36">
        <v>56</v>
      </c>
      <c r="D23" s="41">
        <v>83</v>
      </c>
      <c r="E23" s="41">
        <v>89</v>
      </c>
      <c r="F23" s="41">
        <v>95</v>
      </c>
      <c r="G23" s="41">
        <v>96</v>
      </c>
      <c r="H23" s="41">
        <v>94</v>
      </c>
      <c r="I23" s="41">
        <v>97</v>
      </c>
      <c r="J23" s="41">
        <v>94</v>
      </c>
      <c r="K23" s="41">
        <v>91</v>
      </c>
      <c r="L23" s="41">
        <v>83</v>
      </c>
      <c r="M23" s="41">
        <v>81</v>
      </c>
      <c r="N23" s="3"/>
      <c r="O23" s="9">
        <v>47</v>
      </c>
      <c r="P23" s="3">
        <v>83</v>
      </c>
      <c r="Q23" s="3">
        <f t="shared" si="0"/>
        <v>83</v>
      </c>
      <c r="R23" s="3">
        <v>47</v>
      </c>
      <c r="S23" s="9"/>
      <c r="T23" s="9">
        <v>51</v>
      </c>
      <c r="U23" s="3">
        <v>83</v>
      </c>
      <c r="V23" s="3">
        <f>U23</f>
        <v>83</v>
      </c>
      <c r="W23" s="3">
        <v>53</v>
      </c>
      <c r="X23" s="20"/>
      <c r="Y23" s="73">
        <v>67</v>
      </c>
      <c r="Z23" s="3">
        <v>81</v>
      </c>
      <c r="AA23" s="3">
        <v>81</v>
      </c>
      <c r="AB23" s="1">
        <v>54</v>
      </c>
    </row>
    <row r="24" spans="1:29">
      <c r="A24" s="10"/>
      <c r="B24" s="46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3"/>
      <c r="O24" s="9"/>
      <c r="P24" s="3"/>
      <c r="Q24" s="3"/>
      <c r="R24" s="3"/>
      <c r="S24" s="9"/>
      <c r="T24" s="9"/>
      <c r="U24" s="3"/>
      <c r="V24" s="3"/>
      <c r="W24" s="3"/>
      <c r="X24" s="20"/>
      <c r="Y24" s="9"/>
      <c r="Z24" s="3"/>
      <c r="AA24" s="3"/>
      <c r="AB24" s="3"/>
      <c r="AC24" s="20"/>
    </row>
    <row r="25" spans="1:29">
      <c r="A25" s="10"/>
      <c r="B25" s="46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3"/>
      <c r="O25" s="9"/>
      <c r="P25" s="3"/>
      <c r="Q25" s="3"/>
      <c r="R25" s="3"/>
      <c r="S25" s="9"/>
      <c r="T25" s="9"/>
      <c r="U25" s="3"/>
      <c r="V25" s="3"/>
      <c r="W25" s="3"/>
      <c r="X25" s="20"/>
      <c r="Y25" s="9"/>
      <c r="Z25" s="3"/>
      <c r="AA25" s="3"/>
      <c r="AB25" s="3"/>
      <c r="AC25" s="20"/>
    </row>
    <row r="26" spans="1:29">
      <c r="N26" s="3"/>
      <c r="O26" s="9"/>
      <c r="P26" s="3"/>
      <c r="Q26" s="3"/>
      <c r="R26" s="3"/>
      <c r="S26" s="9"/>
      <c r="T26" s="9"/>
      <c r="U26" s="3"/>
      <c r="V26" s="3"/>
      <c r="W26" s="3"/>
      <c r="X26" s="20"/>
      <c r="Y26" s="9"/>
      <c r="Z26" s="3"/>
      <c r="AA26" s="3"/>
      <c r="AB26" s="3"/>
      <c r="AC26" s="20"/>
    </row>
    <row r="27" spans="1:29">
      <c r="O27" s="31"/>
      <c r="P27" s="31"/>
      <c r="Q27" s="31"/>
      <c r="R27" s="31"/>
      <c r="T27" s="31"/>
      <c r="U27" s="31" t="s">
        <v>86</v>
      </c>
      <c r="V27" s="31"/>
      <c r="W27" s="31"/>
      <c r="Y27" s="31"/>
      <c r="Z27" s="31" t="s">
        <v>86</v>
      </c>
      <c r="AA27" s="31"/>
      <c r="AB27" s="31"/>
    </row>
    <row r="28" spans="1:29">
      <c r="A28" s="75" t="s">
        <v>117</v>
      </c>
      <c r="B28" s="76">
        <f>B23</f>
        <v>50</v>
      </c>
      <c r="C28" s="68">
        <f>C23</f>
        <v>56</v>
      </c>
      <c r="D28" s="77" t="s">
        <v>106</v>
      </c>
      <c r="E28" s="68">
        <f>E5</f>
        <v>79</v>
      </c>
      <c r="F28" s="68">
        <f t="shared" ref="F28:K28" si="1">F4</f>
        <v>81</v>
      </c>
      <c r="G28" s="68">
        <f t="shared" si="1"/>
        <v>86</v>
      </c>
      <c r="H28" s="68">
        <f t="shared" si="1"/>
        <v>87</v>
      </c>
      <c r="I28" s="68">
        <f t="shared" si="1"/>
        <v>87</v>
      </c>
      <c r="J28" s="68">
        <f t="shared" si="1"/>
        <v>84</v>
      </c>
      <c r="K28" s="68">
        <f t="shared" si="1"/>
        <v>79</v>
      </c>
      <c r="L28" s="77" t="s">
        <v>106</v>
      </c>
      <c r="M28" s="77" t="s">
        <v>106</v>
      </c>
      <c r="O28" s="1">
        <f>O23</f>
        <v>47</v>
      </c>
      <c r="P28" s="1" t="s">
        <v>86</v>
      </c>
      <c r="Q28" s="1">
        <f>Q9</f>
        <v>73</v>
      </c>
      <c r="R28" s="1" t="s">
        <v>86</v>
      </c>
      <c r="T28" s="1">
        <f>T23</f>
        <v>51</v>
      </c>
      <c r="V28" s="1">
        <f>V19</f>
        <v>74</v>
      </c>
      <c r="W28" s="1" t="s">
        <v>86</v>
      </c>
      <c r="Y28" s="1">
        <f>Y22</f>
        <v>46</v>
      </c>
      <c r="AA28" s="1">
        <f>AA21</f>
        <v>71</v>
      </c>
    </row>
    <row r="29" spans="1:29">
      <c r="A29" s="1" t="s">
        <v>118</v>
      </c>
      <c r="B29" s="68">
        <f>B4</f>
        <v>26</v>
      </c>
      <c r="C29" s="68">
        <f>C4</f>
        <v>26</v>
      </c>
      <c r="D29" s="77" t="s">
        <v>106</v>
      </c>
      <c r="E29" s="68">
        <f t="shared" ref="E29:K29" si="2">E23</f>
        <v>89</v>
      </c>
      <c r="F29" s="68">
        <f t="shared" si="2"/>
        <v>95</v>
      </c>
      <c r="G29" s="68">
        <f t="shared" si="2"/>
        <v>96</v>
      </c>
      <c r="H29" s="68">
        <f t="shared" si="2"/>
        <v>94</v>
      </c>
      <c r="I29" s="68">
        <f t="shared" si="2"/>
        <v>97</v>
      </c>
      <c r="J29" s="68">
        <f t="shared" si="2"/>
        <v>94</v>
      </c>
      <c r="K29" s="68">
        <f t="shared" si="2"/>
        <v>91</v>
      </c>
      <c r="L29" s="77" t="s">
        <v>106</v>
      </c>
      <c r="M29" s="77" t="s">
        <v>106</v>
      </c>
      <c r="O29" s="1">
        <f>O20</f>
        <v>40</v>
      </c>
      <c r="P29" s="1" t="s">
        <v>86</v>
      </c>
      <c r="Q29" s="1">
        <f>Q23</f>
        <v>83</v>
      </c>
      <c r="R29" s="1" t="s">
        <v>86</v>
      </c>
      <c r="T29" s="1">
        <f>T12</f>
        <v>37</v>
      </c>
      <c r="U29" s="3"/>
      <c r="V29" s="3">
        <f>V23</f>
        <v>83</v>
      </c>
      <c r="W29" s="1" t="s">
        <v>86</v>
      </c>
      <c r="Y29" s="1">
        <f>Y10</f>
        <v>34</v>
      </c>
      <c r="Z29" s="3"/>
      <c r="AA29" s="3">
        <f>AA23</f>
        <v>81</v>
      </c>
    </row>
    <row r="30" spans="1:29">
      <c r="A30" s="29" t="s">
        <v>103</v>
      </c>
      <c r="B30" s="68">
        <f>MEDIAN(B4:B24)</f>
        <v>39</v>
      </c>
      <c r="C30" s="78">
        <f>MEDIAN(C4:C24)</f>
        <v>40</v>
      </c>
      <c r="D30" s="77" t="s">
        <v>106</v>
      </c>
      <c r="E30" s="78">
        <f>MEDIAN(E5:E24)</f>
        <v>83</v>
      </c>
      <c r="F30" s="78">
        <f t="shared" ref="F30:K30" si="3">MEDIAN(F4:F24)</f>
        <v>89</v>
      </c>
      <c r="G30" s="78">
        <f t="shared" si="3"/>
        <v>90</v>
      </c>
      <c r="H30" s="78">
        <f t="shared" si="3"/>
        <v>92</v>
      </c>
      <c r="I30" s="78">
        <f t="shared" si="3"/>
        <v>91</v>
      </c>
      <c r="J30" s="78">
        <f t="shared" si="3"/>
        <v>90</v>
      </c>
      <c r="K30" s="78">
        <f t="shared" si="3"/>
        <v>86.5</v>
      </c>
      <c r="L30" s="77" t="s">
        <v>106</v>
      </c>
      <c r="M30" s="77" t="s">
        <v>106</v>
      </c>
      <c r="N30" s="68"/>
      <c r="O30" s="78">
        <f>MEDIAN(O4:O24)</f>
        <v>45.5</v>
      </c>
      <c r="P30" s="68">
        <f>MEDIAN(P4:P24)</f>
        <v>78</v>
      </c>
      <c r="Q30" s="78">
        <f>MEDIAN(Q4:Q24)</f>
        <v>78</v>
      </c>
      <c r="R30" s="68">
        <f>MEDIAN(R4:R24)</f>
        <v>45.5</v>
      </c>
      <c r="S30" s="68"/>
      <c r="T30" s="78">
        <f>MEDIAN(T4:T24)</f>
        <v>44.5</v>
      </c>
      <c r="U30" s="68">
        <f>MEDIAN(U4:U24)</f>
        <v>75.5</v>
      </c>
      <c r="V30" s="78">
        <f>AVERAGE(V4:V24)</f>
        <v>79.599999999999994</v>
      </c>
      <c r="W30" s="68">
        <f>MEDIAN(W4:W24)</f>
        <v>48</v>
      </c>
      <c r="Y30" s="78">
        <f>MEDIAN(Y10:Y22)</f>
        <v>41</v>
      </c>
      <c r="Z30" s="68">
        <f>MEDIAN(Z4:Z24)</f>
        <v>71</v>
      </c>
      <c r="AA30" s="78">
        <f>MEDIAN(AA21:AA24)</f>
        <v>75</v>
      </c>
      <c r="AB30" s="68">
        <f>MEDIAN(AB4:AB24)</f>
        <v>40.5</v>
      </c>
    </row>
    <row r="31" spans="1:29" ht="15.75">
      <c r="A31" s="79" t="s">
        <v>119</v>
      </c>
      <c r="B31" s="78"/>
      <c r="C31" s="78"/>
      <c r="D31" s="77"/>
      <c r="E31" s="68"/>
      <c r="F31" s="68"/>
      <c r="G31" s="68"/>
      <c r="H31" s="68"/>
      <c r="I31" s="68"/>
      <c r="J31" s="68"/>
      <c r="K31" s="68"/>
      <c r="L31" s="77"/>
      <c r="M31" s="77"/>
      <c r="N31" s="68"/>
      <c r="O31" s="68"/>
      <c r="P31" s="68"/>
      <c r="Q31" s="68"/>
      <c r="R31" s="68"/>
      <c r="S31" s="68"/>
      <c r="T31" s="68"/>
      <c r="U31" s="68"/>
      <c r="V31" s="68" t="s">
        <v>121</v>
      </c>
      <c r="W31" s="68"/>
      <c r="Y31" s="68"/>
      <c r="Z31" s="68"/>
      <c r="AA31" s="68"/>
      <c r="AB31" s="68"/>
    </row>
    <row r="32" spans="1:29">
      <c r="A32" s="70" t="s">
        <v>120</v>
      </c>
      <c r="V32" s="1" t="s">
        <v>122</v>
      </c>
    </row>
    <row r="33" spans="22:22">
      <c r="V33" s="29" t="s">
        <v>123</v>
      </c>
    </row>
  </sheetData>
  <phoneticPr fontId="9" type="noConversion"/>
  <pageMargins left="0.25" right="0.25694444444444442" top="0.25" bottom="0.25" header="0" footer="0"/>
  <pageSetup scale="71" orientation="landscape" horizontalDpi="0" verticalDpi="0" copies="0"/>
  <headerFooter alignWithMargins="0"/>
  <customProperties>
    <customPr name="_pios_id" r:id="rId1"/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9"/>
  <sheetViews>
    <sheetView showGridLines="0" zoomScale="70" zoomScaleNormal="70" workbookViewId="0">
      <pane ySplit="5" topLeftCell="A6" activePane="bottomLeft" state="frozen"/>
      <selection activeCell="B1" sqref="B1:M1048576"/>
      <selection pane="bottomLeft" activeCell="Q47" sqref="Q47"/>
    </sheetView>
  </sheetViews>
  <sheetFormatPr defaultColWidth="9.6640625" defaultRowHeight="15"/>
  <cols>
    <col min="1" max="1" width="8.5546875" style="1" customWidth="1"/>
    <col min="2" max="13" width="7.6640625" style="1" customWidth="1"/>
    <col min="14" max="16384" width="9.6640625" style="1"/>
  </cols>
  <sheetData>
    <row r="1" spans="1:13" ht="15" customHeight="1">
      <c r="A1" s="29" t="s">
        <v>125</v>
      </c>
      <c r="F1" s="29" t="s">
        <v>129</v>
      </c>
    </row>
    <row r="2" spans="1:13" ht="15" customHeight="1">
      <c r="A2" s="29" t="s">
        <v>126</v>
      </c>
    </row>
    <row r="3" spans="1:13" ht="15" customHeight="1"/>
    <row r="4" spans="1:13" ht="15" customHeight="1">
      <c r="A4" s="3"/>
      <c r="B4" s="13" t="s">
        <v>127</v>
      </c>
      <c r="C4" s="13" t="s">
        <v>127</v>
      </c>
      <c r="D4" s="13" t="s">
        <v>127</v>
      </c>
      <c r="E4" s="13" t="s">
        <v>128</v>
      </c>
      <c r="F4" s="13" t="s">
        <v>128</v>
      </c>
      <c r="G4" s="13" t="s">
        <v>128</v>
      </c>
      <c r="H4" s="13" t="s">
        <v>128</v>
      </c>
      <c r="I4" s="13" t="s">
        <v>128</v>
      </c>
      <c r="J4" s="13" t="s">
        <v>128</v>
      </c>
      <c r="K4" s="13" t="s">
        <v>128</v>
      </c>
      <c r="L4" s="13" t="s">
        <v>127</v>
      </c>
      <c r="M4" s="13" t="s">
        <v>127</v>
      </c>
    </row>
    <row r="5" spans="1:13" ht="15.75">
      <c r="A5" s="10"/>
      <c r="B5" s="90" t="s">
        <v>4</v>
      </c>
      <c r="C5" s="90" t="s">
        <v>8</v>
      </c>
      <c r="D5" s="90" t="s">
        <v>9</v>
      </c>
      <c r="E5" s="90" t="s">
        <v>10</v>
      </c>
      <c r="F5" s="90" t="s">
        <v>11</v>
      </c>
      <c r="G5" s="90" t="s">
        <v>12</v>
      </c>
      <c r="H5" s="90" t="s">
        <v>13</v>
      </c>
      <c r="I5" s="90" t="s">
        <v>15</v>
      </c>
      <c r="J5" s="90" t="s">
        <v>16</v>
      </c>
      <c r="K5" s="90" t="s">
        <v>17</v>
      </c>
      <c r="L5" s="90" t="s">
        <v>18</v>
      </c>
      <c r="M5" s="90" t="s">
        <v>19</v>
      </c>
    </row>
    <row r="6" spans="1:13" ht="15" customHeight="1">
      <c r="A6" s="3">
        <f>'Instant Old no Delete'!A7</f>
        <v>1973</v>
      </c>
      <c r="B6" s="6"/>
      <c r="C6" s="170"/>
      <c r="D6" s="14"/>
      <c r="E6" s="14"/>
      <c r="F6" s="14"/>
      <c r="G6" s="14"/>
      <c r="H6" s="14"/>
      <c r="I6" s="14"/>
      <c r="J6" s="23"/>
      <c r="K6" s="15"/>
      <c r="L6" s="14"/>
      <c r="M6" s="169"/>
    </row>
    <row r="7" spans="1:13" ht="15" customHeight="1">
      <c r="A7" s="3">
        <f>'Instant Old no Delete'!A8</f>
        <v>1974</v>
      </c>
      <c r="B7" s="9"/>
      <c r="C7" s="3"/>
      <c r="D7" s="3"/>
      <c r="E7" s="3"/>
      <c r="F7" s="3"/>
      <c r="G7" s="3"/>
      <c r="H7" s="3"/>
      <c r="I7" s="3"/>
      <c r="J7" s="22"/>
      <c r="K7" s="3"/>
      <c r="L7" s="3"/>
      <c r="M7" s="3"/>
    </row>
    <row r="8" spans="1:13" ht="15" customHeight="1">
      <c r="A8" s="3">
        <f>'Instant Old no Delete'!A9</f>
        <v>1975</v>
      </c>
      <c r="B8" s="27">
        <v>145</v>
      </c>
      <c r="C8" s="3">
        <v>146</v>
      </c>
      <c r="D8" s="3">
        <v>128</v>
      </c>
      <c r="E8" s="3">
        <v>144</v>
      </c>
      <c r="F8" s="3">
        <v>182</v>
      </c>
      <c r="G8" s="22">
        <v>147</v>
      </c>
      <c r="H8" s="3">
        <v>170</v>
      </c>
      <c r="I8" s="3">
        <v>163</v>
      </c>
      <c r="J8" s="3">
        <v>157</v>
      </c>
      <c r="K8" s="3">
        <v>155</v>
      </c>
      <c r="L8" s="3">
        <v>149</v>
      </c>
      <c r="M8" s="3">
        <v>165</v>
      </c>
    </row>
    <row r="9" spans="1:13" ht="15" customHeight="1">
      <c r="A9" s="3">
        <f>'Instant Old no Delete'!A10</f>
        <v>1976</v>
      </c>
      <c r="B9" s="27">
        <v>155</v>
      </c>
      <c r="C9" s="3">
        <v>155</v>
      </c>
      <c r="D9" s="3">
        <v>146</v>
      </c>
      <c r="E9" s="3">
        <v>169</v>
      </c>
      <c r="F9" s="3">
        <v>149</v>
      </c>
      <c r="G9" s="3">
        <v>132</v>
      </c>
      <c r="H9" s="3">
        <v>183</v>
      </c>
      <c r="I9" s="3">
        <v>163</v>
      </c>
      <c r="J9" s="22">
        <v>134</v>
      </c>
      <c r="K9" s="3">
        <v>207</v>
      </c>
      <c r="L9" s="3">
        <v>129</v>
      </c>
      <c r="M9" s="3">
        <v>180</v>
      </c>
    </row>
    <row r="10" spans="1:13" ht="15" customHeight="1">
      <c r="A10" s="3">
        <f>'Instant Old no Delete'!A11</f>
        <v>1977</v>
      </c>
      <c r="B10" s="27">
        <v>178</v>
      </c>
      <c r="C10" s="3">
        <v>206</v>
      </c>
      <c r="D10" s="3">
        <v>196</v>
      </c>
      <c r="E10" s="3">
        <v>227</v>
      </c>
      <c r="F10" s="3">
        <v>227</v>
      </c>
      <c r="G10" s="22">
        <v>193</v>
      </c>
      <c r="H10" s="3">
        <v>192</v>
      </c>
      <c r="I10" s="3">
        <v>191</v>
      </c>
      <c r="J10" s="3">
        <v>184</v>
      </c>
      <c r="K10" s="3">
        <v>213</v>
      </c>
      <c r="L10" s="3">
        <v>213</v>
      </c>
      <c r="M10" s="3">
        <v>169</v>
      </c>
    </row>
    <row r="11" spans="1:13" ht="15" customHeight="1">
      <c r="A11" s="3">
        <f>'Instant Old no Delete'!A12</f>
        <v>1978</v>
      </c>
      <c r="B11" s="9">
        <v>185</v>
      </c>
      <c r="C11" s="21">
        <v>185</v>
      </c>
      <c r="D11" s="3">
        <v>155</v>
      </c>
      <c r="E11" s="3">
        <v>195</v>
      </c>
      <c r="F11" s="3">
        <v>224</v>
      </c>
      <c r="G11" s="22">
        <v>221</v>
      </c>
      <c r="H11" s="3">
        <v>242</v>
      </c>
      <c r="I11" s="3">
        <v>183</v>
      </c>
      <c r="J11" s="3">
        <v>219</v>
      </c>
      <c r="K11" s="3">
        <v>198</v>
      </c>
      <c r="L11" s="3">
        <v>239</v>
      </c>
      <c r="M11" s="3">
        <v>226</v>
      </c>
    </row>
    <row r="12" spans="1:13" ht="15" customHeight="1">
      <c r="A12" s="3">
        <f>'Instant Old no Delete'!A13</f>
        <v>1979</v>
      </c>
      <c r="B12" s="27">
        <v>173</v>
      </c>
      <c r="C12" s="3">
        <v>153</v>
      </c>
      <c r="D12" s="3">
        <v>198</v>
      </c>
      <c r="E12" s="3">
        <v>220</v>
      </c>
      <c r="F12" s="3">
        <v>213</v>
      </c>
      <c r="G12" s="3">
        <v>188</v>
      </c>
      <c r="H12" s="22">
        <v>182</v>
      </c>
      <c r="I12" s="3">
        <v>215</v>
      </c>
      <c r="J12" s="3">
        <v>193</v>
      </c>
      <c r="K12" s="3">
        <v>198</v>
      </c>
      <c r="L12" s="3">
        <v>233</v>
      </c>
      <c r="M12" s="3">
        <v>224</v>
      </c>
    </row>
    <row r="13" spans="1:13" ht="15" customHeight="1">
      <c r="A13" s="3">
        <f>'Instant Old no Delete'!A14</f>
        <v>1980</v>
      </c>
      <c r="B13" s="9">
        <v>245</v>
      </c>
      <c r="C13" s="3">
        <v>209</v>
      </c>
      <c r="D13" s="21">
        <v>224</v>
      </c>
      <c r="E13" s="3">
        <v>237</v>
      </c>
      <c r="F13" s="3">
        <v>200</v>
      </c>
      <c r="G13" s="3">
        <v>247</v>
      </c>
      <c r="H13" s="3">
        <v>258</v>
      </c>
      <c r="I13" s="22">
        <v>210</v>
      </c>
      <c r="J13" s="3">
        <v>213</v>
      </c>
      <c r="K13" s="3">
        <v>239</v>
      </c>
      <c r="L13" s="3">
        <v>242</v>
      </c>
      <c r="M13" s="3">
        <v>212</v>
      </c>
    </row>
    <row r="14" spans="1:13" ht="15" customHeight="1">
      <c r="A14" s="3">
        <f>'Instant Old no Delete'!A15</f>
        <v>1981</v>
      </c>
      <c r="B14" s="27">
        <v>198</v>
      </c>
      <c r="C14" s="3">
        <v>232</v>
      </c>
      <c r="D14" s="3">
        <v>257</v>
      </c>
      <c r="E14" s="3">
        <v>241</v>
      </c>
      <c r="F14" s="3">
        <v>228</v>
      </c>
      <c r="G14" s="22">
        <v>221</v>
      </c>
      <c r="H14" s="3">
        <v>220</v>
      </c>
      <c r="I14" s="3">
        <v>212</v>
      </c>
      <c r="J14" s="3">
        <v>196</v>
      </c>
      <c r="K14" s="3">
        <v>246</v>
      </c>
      <c r="L14" s="3">
        <v>147</v>
      </c>
      <c r="M14" s="3">
        <v>172</v>
      </c>
    </row>
    <row r="15" spans="1:13" ht="15" customHeight="1">
      <c r="A15" s="3">
        <f>'Instant Old no Delete'!A16</f>
        <v>1982</v>
      </c>
      <c r="B15" s="27">
        <v>128</v>
      </c>
      <c r="C15" s="3">
        <v>241</v>
      </c>
      <c r="D15" s="3">
        <v>176</v>
      </c>
      <c r="E15" s="3">
        <v>275</v>
      </c>
      <c r="F15" s="3">
        <v>155</v>
      </c>
      <c r="G15" s="3">
        <v>145</v>
      </c>
      <c r="H15" s="3">
        <v>195</v>
      </c>
      <c r="I15" s="3">
        <v>131</v>
      </c>
      <c r="J15" s="22">
        <v>146</v>
      </c>
      <c r="K15" s="3">
        <v>194</v>
      </c>
      <c r="L15" s="3">
        <v>179</v>
      </c>
      <c r="M15" s="3">
        <v>120</v>
      </c>
    </row>
    <row r="16" spans="1:13" ht="15" customHeight="1">
      <c r="A16" s="3">
        <f>'Instant Old no Delete'!A17</f>
        <v>1983</v>
      </c>
      <c r="B16" s="27">
        <v>192</v>
      </c>
      <c r="C16" s="3">
        <v>132</v>
      </c>
      <c r="D16" s="3">
        <v>158</v>
      </c>
      <c r="E16" s="3">
        <v>166</v>
      </c>
      <c r="F16" s="3">
        <v>202</v>
      </c>
      <c r="G16" s="3">
        <v>204</v>
      </c>
      <c r="H16" s="22">
        <v>215</v>
      </c>
      <c r="I16" s="3">
        <v>217</v>
      </c>
      <c r="J16" s="3">
        <v>182</v>
      </c>
      <c r="K16" s="3">
        <v>209</v>
      </c>
      <c r="L16" s="3">
        <v>187</v>
      </c>
      <c r="M16" s="3">
        <v>25</v>
      </c>
    </row>
    <row r="17" spans="1:20" ht="15" customHeight="1">
      <c r="A17" s="3">
        <f>'Instant Old no Delete'!A18</f>
        <v>1984</v>
      </c>
      <c r="B17" s="9">
        <v>194</v>
      </c>
      <c r="C17" s="21">
        <v>175</v>
      </c>
      <c r="D17" s="3">
        <v>215</v>
      </c>
      <c r="E17" s="3">
        <v>199</v>
      </c>
      <c r="F17" s="3">
        <v>206</v>
      </c>
      <c r="G17" s="3">
        <v>236</v>
      </c>
      <c r="H17" s="22">
        <v>253</v>
      </c>
      <c r="I17" s="3">
        <v>248</v>
      </c>
      <c r="J17" s="3">
        <v>235</v>
      </c>
      <c r="K17" s="3">
        <v>256</v>
      </c>
      <c r="L17" s="3">
        <v>206</v>
      </c>
      <c r="M17" s="3">
        <v>228</v>
      </c>
    </row>
    <row r="18" spans="1:20" ht="15" customHeight="1">
      <c r="A18" s="3">
        <f>'Instant Old no Delete'!A19</f>
        <v>1985</v>
      </c>
      <c r="B18" s="27">
        <v>204</v>
      </c>
      <c r="C18" s="3">
        <v>230</v>
      </c>
      <c r="D18" s="3">
        <v>210</v>
      </c>
      <c r="E18" s="3">
        <v>285</v>
      </c>
      <c r="F18" s="3">
        <v>210</v>
      </c>
      <c r="G18" s="22">
        <v>273</v>
      </c>
      <c r="H18" s="3">
        <v>217</v>
      </c>
      <c r="I18" s="3">
        <v>269</v>
      </c>
      <c r="J18" s="3">
        <v>245</v>
      </c>
      <c r="K18" s="3">
        <v>255</v>
      </c>
      <c r="L18" s="3">
        <v>268</v>
      </c>
      <c r="M18" s="3">
        <v>145</v>
      </c>
    </row>
    <row r="19" spans="1:20" ht="15" customHeight="1">
      <c r="A19" s="3">
        <f>'Instant Old no Delete'!A20</f>
        <v>1986</v>
      </c>
      <c r="B19" s="27">
        <v>170</v>
      </c>
      <c r="C19" s="3">
        <v>297</v>
      </c>
      <c r="D19" s="3">
        <v>138</v>
      </c>
      <c r="E19" s="3">
        <v>170</v>
      </c>
      <c r="F19" s="3">
        <v>194</v>
      </c>
      <c r="G19" s="3">
        <v>208</v>
      </c>
      <c r="H19" s="3">
        <v>142</v>
      </c>
      <c r="I19" s="22">
        <v>151</v>
      </c>
      <c r="J19" s="3">
        <v>207</v>
      </c>
      <c r="K19" s="3">
        <v>184</v>
      </c>
      <c r="L19" s="3">
        <v>198</v>
      </c>
      <c r="M19" s="3">
        <v>208</v>
      </c>
    </row>
    <row r="20" spans="1:20" ht="15" customHeight="1">
      <c r="A20" s="3">
        <f>'Instant Old no Delete'!A21</f>
        <v>1987</v>
      </c>
      <c r="B20" s="9">
        <v>207</v>
      </c>
      <c r="C20" s="21">
        <v>152</v>
      </c>
      <c r="D20" s="3">
        <v>167</v>
      </c>
      <c r="E20" s="3">
        <v>193</v>
      </c>
      <c r="F20" s="3">
        <v>220</v>
      </c>
      <c r="G20" s="3">
        <v>215</v>
      </c>
      <c r="H20" s="3">
        <v>199</v>
      </c>
      <c r="I20" s="22">
        <v>244</v>
      </c>
      <c r="J20" s="3">
        <v>216</v>
      </c>
      <c r="K20" s="3">
        <v>227</v>
      </c>
      <c r="L20" s="3">
        <v>236</v>
      </c>
      <c r="M20" s="3">
        <v>224</v>
      </c>
    </row>
    <row r="21" spans="1:20" ht="15" customHeight="1">
      <c r="A21" s="3">
        <f>'Instant Old no Delete'!A22</f>
        <v>1988</v>
      </c>
      <c r="B21" s="27">
        <v>205</v>
      </c>
      <c r="C21" s="3">
        <v>184</v>
      </c>
      <c r="D21" s="3">
        <v>206</v>
      </c>
      <c r="E21" s="3">
        <v>223</v>
      </c>
      <c r="F21" s="3">
        <v>240</v>
      </c>
      <c r="G21" s="3">
        <v>202</v>
      </c>
      <c r="H21" s="22">
        <v>221</v>
      </c>
      <c r="I21" s="3">
        <v>242</v>
      </c>
      <c r="J21" s="3">
        <v>235</v>
      </c>
      <c r="K21" s="3">
        <v>210</v>
      </c>
      <c r="L21" s="3">
        <v>232</v>
      </c>
      <c r="M21" s="3">
        <v>159</v>
      </c>
    </row>
    <row r="22" spans="1:20" ht="15" customHeight="1">
      <c r="A22" s="3">
        <f>'Instant Old no Delete'!A23</f>
        <v>1989</v>
      </c>
      <c r="B22" s="9">
        <v>221</v>
      </c>
      <c r="C22" s="21">
        <v>242</v>
      </c>
      <c r="D22" s="3">
        <v>248</v>
      </c>
      <c r="E22" s="3">
        <v>265</v>
      </c>
      <c r="F22" s="3">
        <v>247</v>
      </c>
      <c r="G22" s="22">
        <v>315</v>
      </c>
      <c r="H22" s="3">
        <v>275</v>
      </c>
      <c r="I22" s="3">
        <v>259</v>
      </c>
      <c r="J22" s="3">
        <v>255</v>
      </c>
      <c r="K22" s="3">
        <v>253</v>
      </c>
      <c r="L22" s="3">
        <v>234</v>
      </c>
      <c r="M22" s="21">
        <v>178</v>
      </c>
    </row>
    <row r="23" spans="1:20" ht="15" customHeight="1">
      <c r="A23" s="3">
        <f>'Instant Old no Delete'!A24</f>
        <v>1990</v>
      </c>
      <c r="B23" s="9">
        <v>189</v>
      </c>
      <c r="C23" s="3">
        <v>237</v>
      </c>
      <c r="D23" s="3">
        <v>259</v>
      </c>
      <c r="E23" s="3">
        <v>269</v>
      </c>
      <c r="F23" s="3">
        <v>305</v>
      </c>
      <c r="G23" s="22">
        <v>311</v>
      </c>
      <c r="H23" s="3">
        <v>294</v>
      </c>
      <c r="I23" s="3">
        <v>261</v>
      </c>
      <c r="J23" s="3">
        <v>317</v>
      </c>
      <c r="K23" s="3">
        <v>285</v>
      </c>
      <c r="L23" s="3">
        <v>303</v>
      </c>
      <c r="M23" s="172">
        <v>243</v>
      </c>
    </row>
    <row r="24" spans="1:20" ht="15" customHeight="1">
      <c r="A24" s="3">
        <f>'Instant Old no Delete'!A25</f>
        <v>1991</v>
      </c>
      <c r="B24" s="9">
        <v>211</v>
      </c>
      <c r="C24" s="21">
        <v>227</v>
      </c>
      <c r="D24" s="3">
        <v>266</v>
      </c>
      <c r="E24" s="3">
        <v>229</v>
      </c>
      <c r="F24" s="3">
        <v>290</v>
      </c>
      <c r="G24" s="3">
        <v>264</v>
      </c>
      <c r="H24" s="3">
        <v>196</v>
      </c>
      <c r="I24" s="22">
        <v>265</v>
      </c>
      <c r="J24" s="3">
        <v>259</v>
      </c>
      <c r="K24" s="3">
        <v>279</v>
      </c>
      <c r="L24" s="3">
        <v>276</v>
      </c>
      <c r="M24" s="3">
        <v>214</v>
      </c>
    </row>
    <row r="25" spans="1:20" ht="15" customHeight="1">
      <c r="A25" s="3">
        <f>'Instant Old no Delete'!A26</f>
        <v>1992</v>
      </c>
      <c r="B25" s="27">
        <v>294</v>
      </c>
      <c r="C25" s="3">
        <v>302</v>
      </c>
      <c r="D25" s="3">
        <v>334</v>
      </c>
      <c r="E25" s="3">
        <v>339</v>
      </c>
      <c r="F25" s="3">
        <v>311</v>
      </c>
      <c r="G25" s="3">
        <v>266</v>
      </c>
      <c r="H25" s="22">
        <v>294</v>
      </c>
      <c r="I25" s="3">
        <v>278</v>
      </c>
      <c r="J25" s="3">
        <v>285</v>
      </c>
      <c r="K25" s="3">
        <v>277</v>
      </c>
      <c r="L25" s="3">
        <v>233</v>
      </c>
      <c r="M25" s="3">
        <v>222</v>
      </c>
    </row>
    <row r="26" spans="1:20" ht="15" customHeight="1">
      <c r="A26" s="3">
        <f>'Instant Old no Delete'!A27</f>
        <v>1993</v>
      </c>
      <c r="B26" s="9">
        <v>214</v>
      </c>
      <c r="C26" s="3">
        <v>229</v>
      </c>
      <c r="D26" s="21">
        <v>281</v>
      </c>
      <c r="E26" s="3">
        <v>224</v>
      </c>
      <c r="F26" s="3">
        <v>207</v>
      </c>
      <c r="G26" s="3">
        <v>155</v>
      </c>
      <c r="H26" s="3">
        <v>233</v>
      </c>
      <c r="I26" s="22">
        <v>229</v>
      </c>
      <c r="J26" s="3">
        <v>196</v>
      </c>
      <c r="K26" s="3">
        <v>190</v>
      </c>
      <c r="L26" s="3">
        <v>235</v>
      </c>
      <c r="M26" s="3">
        <v>146</v>
      </c>
    </row>
    <row r="27" spans="1:20" ht="15" customHeight="1">
      <c r="A27" s="3">
        <f>'Instant Old no Delete'!A28</f>
        <v>1994</v>
      </c>
      <c r="B27" s="9">
        <v>148</v>
      </c>
      <c r="C27" s="21">
        <v>181</v>
      </c>
      <c r="D27" s="3">
        <v>271</v>
      </c>
      <c r="E27" s="3">
        <v>220</v>
      </c>
      <c r="F27" s="3">
        <v>198</v>
      </c>
      <c r="G27" s="22">
        <v>200</v>
      </c>
      <c r="H27" s="3">
        <v>187</v>
      </c>
      <c r="I27" s="3">
        <v>183</v>
      </c>
      <c r="J27" s="3">
        <v>205</v>
      </c>
      <c r="K27" s="3">
        <v>213</v>
      </c>
      <c r="L27" s="3">
        <v>233</v>
      </c>
      <c r="M27" s="3">
        <v>237</v>
      </c>
      <c r="P27"/>
      <c r="Q27" s="453" t="s">
        <v>277</v>
      </c>
      <c r="R27" s="454"/>
      <c r="S27" s="453" t="s">
        <v>278</v>
      </c>
      <c r="T27" s="454"/>
    </row>
    <row r="28" spans="1:20" ht="15" customHeight="1">
      <c r="A28" s="3">
        <f>'Instant Old no Delete'!A29</f>
        <v>1995</v>
      </c>
      <c r="B28" s="9">
        <v>212</v>
      </c>
      <c r="C28" s="21">
        <v>240</v>
      </c>
      <c r="D28" s="3">
        <v>240</v>
      </c>
      <c r="E28" s="3">
        <v>207</v>
      </c>
      <c r="F28" s="3">
        <v>277</v>
      </c>
      <c r="G28" s="3">
        <v>190</v>
      </c>
      <c r="H28" s="3">
        <v>193</v>
      </c>
      <c r="I28" s="22">
        <v>170</v>
      </c>
      <c r="J28" s="3">
        <v>205</v>
      </c>
      <c r="K28" s="3">
        <v>254</v>
      </c>
      <c r="L28" s="3">
        <v>234</v>
      </c>
      <c r="M28" s="3">
        <v>229</v>
      </c>
      <c r="O28" s="252"/>
      <c r="P28">
        <v>1995</v>
      </c>
      <c r="Q28" s="244">
        <f>+C28</f>
        <v>240</v>
      </c>
      <c r="R28" s="245" t="s">
        <v>268</v>
      </c>
      <c r="S28" s="244">
        <f>+I28</f>
        <v>170</v>
      </c>
      <c r="T28" s="246" t="s">
        <v>271</v>
      </c>
    </row>
    <row r="29" spans="1:20" ht="15" customHeight="1">
      <c r="A29" s="3">
        <f>'Instant Old no Delete'!A30</f>
        <v>1996</v>
      </c>
      <c r="B29" s="9">
        <v>174</v>
      </c>
      <c r="C29" s="21">
        <v>152</v>
      </c>
      <c r="D29" s="3">
        <v>188</v>
      </c>
      <c r="E29" s="3">
        <v>268</v>
      </c>
      <c r="F29" s="3">
        <v>196</v>
      </c>
      <c r="G29" s="3">
        <v>209</v>
      </c>
      <c r="H29" s="22">
        <v>234</v>
      </c>
      <c r="I29" s="3">
        <v>242</v>
      </c>
      <c r="J29" s="3">
        <v>232</v>
      </c>
      <c r="K29" s="3">
        <v>237</v>
      </c>
      <c r="L29" s="3">
        <v>379</v>
      </c>
      <c r="M29" s="3">
        <v>209</v>
      </c>
      <c r="O29" s="252"/>
      <c r="P29">
        <f>+P28+1</f>
        <v>1996</v>
      </c>
      <c r="Q29" s="247">
        <f>+C29</f>
        <v>152</v>
      </c>
      <c r="R29" s="248" t="s">
        <v>268</v>
      </c>
      <c r="S29" s="247">
        <f>+H29</f>
        <v>234</v>
      </c>
      <c r="T29" s="249" t="s">
        <v>272</v>
      </c>
    </row>
    <row r="30" spans="1:20" ht="15" customHeight="1">
      <c r="A30" s="3">
        <f>'Instant Old no Delete'!A31</f>
        <v>1997</v>
      </c>
      <c r="B30" s="27">
        <v>228</v>
      </c>
      <c r="C30" s="3">
        <v>186</v>
      </c>
      <c r="D30" s="3">
        <v>238</v>
      </c>
      <c r="E30" s="3">
        <v>251</v>
      </c>
      <c r="F30" s="22">
        <v>225</v>
      </c>
      <c r="G30" s="3">
        <v>205</v>
      </c>
      <c r="H30" s="3">
        <v>202</v>
      </c>
      <c r="I30" s="3">
        <v>212</v>
      </c>
      <c r="J30" s="3">
        <v>206</v>
      </c>
      <c r="K30" s="3">
        <v>187</v>
      </c>
      <c r="L30" s="3">
        <v>240</v>
      </c>
      <c r="M30" s="3">
        <v>221</v>
      </c>
      <c r="O30" s="252"/>
      <c r="P30">
        <f t="shared" ref="P30:P47" si="0">+P29+1</f>
        <v>1997</v>
      </c>
      <c r="Q30" s="247">
        <f>+B30</f>
        <v>228</v>
      </c>
      <c r="R30" s="248" t="s">
        <v>269</v>
      </c>
      <c r="S30" s="247">
        <f>+F30</f>
        <v>225</v>
      </c>
      <c r="T30" s="249" t="s">
        <v>273</v>
      </c>
    </row>
    <row r="31" spans="1:20" ht="15" customHeight="1">
      <c r="A31" s="3">
        <f>'Instant Old no Delete'!A32</f>
        <v>1998</v>
      </c>
      <c r="B31" s="9">
        <v>219</v>
      </c>
      <c r="C31" s="3">
        <v>190</v>
      </c>
      <c r="D31" s="21">
        <v>210</v>
      </c>
      <c r="E31" s="3">
        <v>230</v>
      </c>
      <c r="F31" s="3">
        <v>237</v>
      </c>
      <c r="G31" s="3">
        <v>267</v>
      </c>
      <c r="H31" s="3">
        <v>181</v>
      </c>
      <c r="I31" s="22">
        <v>204</v>
      </c>
      <c r="J31" s="3">
        <v>220</v>
      </c>
      <c r="K31" s="3">
        <v>243</v>
      </c>
      <c r="L31" s="3">
        <v>278</v>
      </c>
      <c r="M31" s="3">
        <v>210</v>
      </c>
      <c r="O31" s="252"/>
      <c r="P31">
        <f t="shared" si="0"/>
        <v>1998</v>
      </c>
      <c r="Q31" s="247">
        <f>+D31</f>
        <v>210</v>
      </c>
      <c r="R31" s="248" t="s">
        <v>270</v>
      </c>
      <c r="S31" s="247">
        <f>+I31</f>
        <v>204</v>
      </c>
      <c r="T31" s="249" t="s">
        <v>271</v>
      </c>
    </row>
    <row r="32" spans="1:20" ht="15" customHeight="1">
      <c r="A32" s="3">
        <f>'Instant Old no Delete'!A33</f>
        <v>1999</v>
      </c>
      <c r="B32" s="27">
        <v>152</v>
      </c>
      <c r="C32" s="3">
        <v>172</v>
      </c>
      <c r="D32" s="3">
        <v>191</v>
      </c>
      <c r="E32" s="3">
        <v>181</v>
      </c>
      <c r="F32" s="3">
        <v>204</v>
      </c>
      <c r="G32" s="3">
        <v>213</v>
      </c>
      <c r="H32" s="3">
        <v>223</v>
      </c>
      <c r="I32" s="22">
        <v>193</v>
      </c>
      <c r="J32" s="3">
        <v>206</v>
      </c>
      <c r="K32" s="3">
        <v>182</v>
      </c>
      <c r="L32" s="3">
        <v>179</v>
      </c>
      <c r="M32" s="3">
        <v>169</v>
      </c>
      <c r="O32" s="252"/>
      <c r="P32">
        <f t="shared" si="0"/>
        <v>1999</v>
      </c>
      <c r="Q32" s="247">
        <f>+B32</f>
        <v>152</v>
      </c>
      <c r="R32" s="248" t="s">
        <v>269</v>
      </c>
      <c r="S32" s="247">
        <f>+I32</f>
        <v>193</v>
      </c>
      <c r="T32" s="249" t="s">
        <v>271</v>
      </c>
    </row>
    <row r="33" spans="1:20" ht="15" customHeight="1">
      <c r="A33" s="3">
        <f>'Instant Old no Delete'!A34</f>
        <v>2000</v>
      </c>
      <c r="B33" s="27">
        <v>212</v>
      </c>
      <c r="C33" s="3">
        <v>225</v>
      </c>
      <c r="D33" s="3">
        <v>193</v>
      </c>
      <c r="E33" s="3">
        <v>192</v>
      </c>
      <c r="F33" s="3">
        <v>230</v>
      </c>
      <c r="G33" s="3">
        <v>233</v>
      </c>
      <c r="H33" s="3">
        <v>73</v>
      </c>
      <c r="I33" s="22">
        <v>182</v>
      </c>
      <c r="J33" s="3">
        <v>258</v>
      </c>
      <c r="K33" s="3">
        <v>180</v>
      </c>
      <c r="L33" s="3">
        <v>151</v>
      </c>
      <c r="M33" s="3">
        <v>153</v>
      </c>
      <c r="O33" s="252"/>
      <c r="P33">
        <f t="shared" si="0"/>
        <v>2000</v>
      </c>
      <c r="Q33" s="247">
        <f t="shared" ref="Q33:Q38" si="1">+B33</f>
        <v>212</v>
      </c>
      <c r="R33" s="248" t="s">
        <v>269</v>
      </c>
      <c r="S33" s="247">
        <f>+I33</f>
        <v>182</v>
      </c>
      <c r="T33" s="249" t="s">
        <v>271</v>
      </c>
    </row>
    <row r="34" spans="1:20" ht="15" customHeight="1">
      <c r="A34" s="3">
        <f>'Instant Old no Delete'!A35</f>
        <v>2001</v>
      </c>
      <c r="B34" s="27">
        <v>191</v>
      </c>
      <c r="C34" s="3">
        <v>218</v>
      </c>
      <c r="D34" s="3">
        <v>220</v>
      </c>
      <c r="E34" s="3">
        <v>228</v>
      </c>
      <c r="F34" s="3">
        <v>216</v>
      </c>
      <c r="G34" s="3">
        <v>227</v>
      </c>
      <c r="H34" s="3">
        <v>94</v>
      </c>
      <c r="I34" s="22">
        <v>181</v>
      </c>
      <c r="J34" s="3">
        <v>192</v>
      </c>
      <c r="K34" s="3">
        <v>185</v>
      </c>
      <c r="L34" s="3">
        <v>227</v>
      </c>
      <c r="M34" s="3">
        <v>95</v>
      </c>
      <c r="O34" s="252"/>
      <c r="P34">
        <f t="shared" si="0"/>
        <v>2001</v>
      </c>
      <c r="Q34" s="247">
        <f t="shared" si="1"/>
        <v>191</v>
      </c>
      <c r="R34" s="248" t="s">
        <v>269</v>
      </c>
      <c r="S34" s="247">
        <f>+I34</f>
        <v>181</v>
      </c>
      <c r="T34" s="249" t="s">
        <v>271</v>
      </c>
    </row>
    <row r="35" spans="1:20" ht="15" customHeight="1">
      <c r="A35" s="3">
        <f>'Instant Old no Delete'!A36</f>
        <v>2002</v>
      </c>
      <c r="B35" s="27">
        <v>168</v>
      </c>
      <c r="C35" s="3">
        <v>158</v>
      </c>
      <c r="D35" s="3">
        <v>185</v>
      </c>
      <c r="E35" s="3">
        <v>262</v>
      </c>
      <c r="F35" s="3">
        <v>258</v>
      </c>
      <c r="G35" s="3">
        <v>140</v>
      </c>
      <c r="H35" s="22">
        <v>206</v>
      </c>
      <c r="I35" s="3">
        <v>154</v>
      </c>
      <c r="J35" s="3">
        <v>183</v>
      </c>
      <c r="K35" s="3">
        <v>182</v>
      </c>
      <c r="L35" s="3">
        <v>218</v>
      </c>
      <c r="M35" s="3">
        <v>182</v>
      </c>
      <c r="O35" s="252"/>
      <c r="P35">
        <f t="shared" si="0"/>
        <v>2002</v>
      </c>
      <c r="Q35" s="247">
        <f t="shared" si="1"/>
        <v>168</v>
      </c>
      <c r="R35" s="248" t="s">
        <v>269</v>
      </c>
      <c r="S35" s="247">
        <f>+H35</f>
        <v>206</v>
      </c>
      <c r="T35" s="249" t="s">
        <v>272</v>
      </c>
    </row>
    <row r="36" spans="1:20" ht="15" customHeight="1">
      <c r="A36" s="3">
        <f>'Instant Old no Delete'!A37</f>
        <v>2003</v>
      </c>
      <c r="B36" s="27">
        <v>195</v>
      </c>
      <c r="C36" s="3">
        <v>219</v>
      </c>
      <c r="D36" s="3">
        <v>133</v>
      </c>
      <c r="E36" s="3">
        <v>210</v>
      </c>
      <c r="F36" s="3">
        <v>221</v>
      </c>
      <c r="G36" s="3">
        <v>216</v>
      </c>
      <c r="H36" s="22">
        <v>188</v>
      </c>
      <c r="I36" s="3">
        <v>179</v>
      </c>
      <c r="J36" s="3">
        <v>186</v>
      </c>
      <c r="K36" s="3">
        <v>184</v>
      </c>
      <c r="L36" s="3">
        <v>187</v>
      </c>
      <c r="M36" s="3">
        <v>209</v>
      </c>
      <c r="O36" s="252"/>
      <c r="P36">
        <f t="shared" si="0"/>
        <v>2003</v>
      </c>
      <c r="Q36" s="247">
        <f t="shared" si="1"/>
        <v>195</v>
      </c>
      <c r="R36" s="248" t="s">
        <v>269</v>
      </c>
      <c r="S36" s="247">
        <f>+H36</f>
        <v>188</v>
      </c>
      <c r="T36" s="249" t="s">
        <v>272</v>
      </c>
    </row>
    <row r="37" spans="1:20" ht="15" customHeight="1">
      <c r="A37" s="3">
        <f>'Instant Old no Delete'!A38</f>
        <v>2004</v>
      </c>
      <c r="B37" s="27">
        <v>254</v>
      </c>
      <c r="C37" s="3">
        <v>208</v>
      </c>
      <c r="D37" s="3">
        <v>220</v>
      </c>
      <c r="E37" s="3">
        <v>242</v>
      </c>
      <c r="F37" s="3">
        <v>141</v>
      </c>
      <c r="G37" s="22">
        <v>177</v>
      </c>
      <c r="H37" s="3">
        <v>151</v>
      </c>
      <c r="I37" s="3">
        <v>210</v>
      </c>
      <c r="J37" s="3">
        <v>169</v>
      </c>
      <c r="K37" s="3">
        <v>221</v>
      </c>
      <c r="L37" s="3">
        <v>166</v>
      </c>
      <c r="M37" s="3">
        <v>181</v>
      </c>
      <c r="O37" s="252"/>
      <c r="P37">
        <f t="shared" si="0"/>
        <v>2004</v>
      </c>
      <c r="Q37" s="247">
        <f t="shared" si="1"/>
        <v>254</v>
      </c>
      <c r="R37" s="248" t="s">
        <v>269</v>
      </c>
      <c r="S37" s="247">
        <f>+G37</f>
        <v>177</v>
      </c>
      <c r="T37" s="249" t="s">
        <v>274</v>
      </c>
    </row>
    <row r="38" spans="1:20" ht="15" customHeight="1">
      <c r="A38" s="3">
        <f>'Instant Old no Delete'!A39</f>
        <v>2005</v>
      </c>
      <c r="B38" s="27">
        <v>194</v>
      </c>
      <c r="C38" s="3">
        <v>208</v>
      </c>
      <c r="D38" s="3">
        <v>185</v>
      </c>
      <c r="E38" s="3">
        <v>155</v>
      </c>
      <c r="F38" s="3">
        <v>186</v>
      </c>
      <c r="G38" s="3">
        <v>188</v>
      </c>
      <c r="H38" s="3">
        <v>198</v>
      </c>
      <c r="I38" s="168">
        <v>144</v>
      </c>
      <c r="J38" s="3">
        <v>150</v>
      </c>
      <c r="K38" s="3">
        <v>171</v>
      </c>
      <c r="L38" s="3">
        <v>174</v>
      </c>
      <c r="M38" s="3">
        <v>174</v>
      </c>
      <c r="O38" s="252"/>
      <c r="P38">
        <f t="shared" si="0"/>
        <v>2005</v>
      </c>
      <c r="Q38" s="247">
        <f t="shared" si="1"/>
        <v>194</v>
      </c>
      <c r="R38" s="248" t="s">
        <v>269</v>
      </c>
      <c r="S38" s="247">
        <f>+I38</f>
        <v>144</v>
      </c>
      <c r="T38" s="249" t="s">
        <v>271</v>
      </c>
    </row>
    <row r="39" spans="1:20" ht="15" customHeight="1">
      <c r="A39" s="3">
        <f>'Instant Old no Delete'!A40</f>
        <v>2006</v>
      </c>
      <c r="B39" s="175">
        <v>165</v>
      </c>
      <c r="C39" s="174">
        <v>51</v>
      </c>
      <c r="D39" s="3">
        <v>187</v>
      </c>
      <c r="E39" s="3">
        <v>146</v>
      </c>
      <c r="F39" s="3">
        <v>154</v>
      </c>
      <c r="G39" s="3">
        <v>156</v>
      </c>
      <c r="H39" s="3">
        <v>142</v>
      </c>
      <c r="I39" s="168">
        <v>146</v>
      </c>
      <c r="J39" s="3">
        <v>163</v>
      </c>
      <c r="K39" s="3">
        <v>167</v>
      </c>
      <c r="L39" s="3">
        <v>174</v>
      </c>
      <c r="M39" s="3">
        <v>171</v>
      </c>
      <c r="O39" s="252"/>
      <c r="P39">
        <f t="shared" si="0"/>
        <v>2006</v>
      </c>
      <c r="Q39" s="247">
        <f>+C39</f>
        <v>51</v>
      </c>
      <c r="R39" s="248" t="s">
        <v>268</v>
      </c>
      <c r="S39" s="247">
        <f>+I39</f>
        <v>146</v>
      </c>
      <c r="T39" s="249" t="s">
        <v>271</v>
      </c>
    </row>
    <row r="40" spans="1:20" ht="15" customHeight="1">
      <c r="A40" s="184">
        <f>'Instant Old no Delete'!A41</f>
        <v>2007</v>
      </c>
      <c r="B40" s="1">
        <v>176</v>
      </c>
      <c r="C40" s="174">
        <v>157</v>
      </c>
      <c r="D40" s="3">
        <v>185</v>
      </c>
      <c r="E40" s="3">
        <v>179</v>
      </c>
      <c r="F40" s="1">
        <v>155</v>
      </c>
      <c r="G40" s="1">
        <v>152</v>
      </c>
      <c r="H40" s="1">
        <v>140</v>
      </c>
      <c r="I40" s="168">
        <v>159</v>
      </c>
      <c r="J40" s="1">
        <v>169</v>
      </c>
      <c r="K40" s="1">
        <v>173</v>
      </c>
      <c r="L40" s="1">
        <v>164</v>
      </c>
      <c r="M40" s="1">
        <v>160</v>
      </c>
      <c r="O40" s="252"/>
      <c r="P40">
        <f t="shared" si="0"/>
        <v>2007</v>
      </c>
      <c r="Q40" s="247">
        <f>+C40</f>
        <v>157</v>
      </c>
      <c r="R40" s="248" t="s">
        <v>268</v>
      </c>
      <c r="S40" s="247">
        <f>+I40</f>
        <v>159</v>
      </c>
      <c r="T40" s="249" t="s">
        <v>271</v>
      </c>
    </row>
    <row r="41" spans="1:20" ht="15" customHeight="1">
      <c r="A41" s="184">
        <f>'Instant Old no Delete'!A42</f>
        <v>2008</v>
      </c>
      <c r="B41" s="226">
        <v>120</v>
      </c>
      <c r="C41" s="1">
        <v>155</v>
      </c>
      <c r="D41" s="1">
        <v>145</v>
      </c>
      <c r="E41" s="1">
        <v>149</v>
      </c>
      <c r="F41" s="1">
        <v>160</v>
      </c>
      <c r="G41" s="168">
        <v>143</v>
      </c>
      <c r="H41" s="1">
        <v>136</v>
      </c>
      <c r="I41" s="1">
        <v>119</v>
      </c>
      <c r="J41" s="1">
        <v>136</v>
      </c>
      <c r="K41" s="1">
        <v>151</v>
      </c>
      <c r="L41" s="1">
        <v>155</v>
      </c>
      <c r="M41" s="1">
        <v>181</v>
      </c>
      <c r="O41" s="252"/>
      <c r="P41">
        <f t="shared" si="0"/>
        <v>2008</v>
      </c>
      <c r="Q41" s="247">
        <f>+B41</f>
        <v>120</v>
      </c>
      <c r="R41" s="248" t="s">
        <v>269</v>
      </c>
      <c r="S41" s="247">
        <f>+G41</f>
        <v>143</v>
      </c>
      <c r="T41" s="249" t="s">
        <v>274</v>
      </c>
    </row>
    <row r="42" spans="1:20" ht="15" customHeight="1">
      <c r="A42" s="184">
        <f>'Instant Old no Delete'!A43</f>
        <v>2009</v>
      </c>
      <c r="B42" s="232">
        <v>181</v>
      </c>
      <c r="C42" s="229">
        <v>196</v>
      </c>
      <c r="D42" s="229">
        <v>131</v>
      </c>
      <c r="E42" s="229">
        <v>141</v>
      </c>
      <c r="F42" s="229">
        <v>130</v>
      </c>
      <c r="G42" s="168">
        <v>120</v>
      </c>
      <c r="H42" s="229">
        <v>154</v>
      </c>
      <c r="I42" s="229">
        <v>129</v>
      </c>
      <c r="J42" s="229">
        <v>138</v>
      </c>
      <c r="K42" s="229">
        <v>153</v>
      </c>
      <c r="L42" s="229">
        <v>190</v>
      </c>
      <c r="M42" s="229">
        <v>151</v>
      </c>
      <c r="O42" s="252"/>
      <c r="P42">
        <f t="shared" si="0"/>
        <v>2009</v>
      </c>
      <c r="Q42" s="247">
        <f>+B42</f>
        <v>181</v>
      </c>
      <c r="R42" s="248" t="s">
        <v>269</v>
      </c>
      <c r="S42" s="247">
        <f>+G42</f>
        <v>120</v>
      </c>
      <c r="T42" s="249" t="s">
        <v>274</v>
      </c>
    </row>
    <row r="43" spans="1:20" ht="15" customHeight="1">
      <c r="A43" s="184">
        <f>'Instant Old no Delete'!A44</f>
        <v>2010</v>
      </c>
      <c r="B43" s="232">
        <v>117</v>
      </c>
      <c r="C43" s="229">
        <v>156</v>
      </c>
      <c r="D43" s="229">
        <v>143</v>
      </c>
      <c r="E43" s="229">
        <v>152</v>
      </c>
      <c r="F43" s="229">
        <v>153</v>
      </c>
      <c r="G43" s="168">
        <v>153</v>
      </c>
      <c r="H43" s="229">
        <v>106</v>
      </c>
      <c r="I43" s="229">
        <v>72.900000000000006</v>
      </c>
      <c r="J43" s="229">
        <v>111</v>
      </c>
      <c r="K43" s="229">
        <v>127</v>
      </c>
      <c r="L43" s="229">
        <v>120</v>
      </c>
      <c r="M43" s="232">
        <v>174</v>
      </c>
      <c r="O43" s="252"/>
      <c r="P43">
        <f t="shared" si="0"/>
        <v>2010</v>
      </c>
      <c r="Q43" s="247">
        <f>+B43</f>
        <v>117</v>
      </c>
      <c r="R43" s="248" t="s">
        <v>269</v>
      </c>
      <c r="S43" s="247">
        <f>+G43</f>
        <v>153</v>
      </c>
      <c r="T43" s="249" t="s">
        <v>274</v>
      </c>
    </row>
    <row r="44" spans="1:20" ht="15" customHeight="1">
      <c r="A44" s="184">
        <f>'Instant Old no Delete'!A45</f>
        <v>2011</v>
      </c>
      <c r="B44" s="229">
        <v>136</v>
      </c>
      <c r="C44" s="229">
        <v>109</v>
      </c>
      <c r="D44" s="229">
        <v>103.7</v>
      </c>
      <c r="E44" s="229">
        <v>146</v>
      </c>
      <c r="F44" s="229">
        <v>140</v>
      </c>
      <c r="G44" s="229">
        <v>114</v>
      </c>
      <c r="H44" s="229">
        <v>133</v>
      </c>
      <c r="I44" s="168">
        <v>109</v>
      </c>
      <c r="J44" s="229">
        <v>114</v>
      </c>
      <c r="K44" s="229">
        <v>117</v>
      </c>
      <c r="L44" s="229">
        <v>124</v>
      </c>
      <c r="M44" s="229">
        <v>135</v>
      </c>
      <c r="O44" s="252"/>
      <c r="P44">
        <f t="shared" si="0"/>
        <v>2011</v>
      </c>
      <c r="Q44" s="247">
        <f>+M43</f>
        <v>174</v>
      </c>
      <c r="R44" s="248" t="s">
        <v>275</v>
      </c>
      <c r="S44" s="247">
        <f>+I44</f>
        <v>109</v>
      </c>
      <c r="T44" s="249" t="s">
        <v>271</v>
      </c>
    </row>
    <row r="45" spans="1:20" ht="15" customHeight="1">
      <c r="A45" s="184">
        <f>'Instant Old no Delete'!A46</f>
        <v>2012</v>
      </c>
      <c r="B45" s="232">
        <v>105</v>
      </c>
      <c r="C45" s="229">
        <v>131</v>
      </c>
      <c r="D45" s="229">
        <v>119</v>
      </c>
      <c r="E45" s="229">
        <v>127</v>
      </c>
      <c r="F45" s="229">
        <v>138</v>
      </c>
      <c r="G45" s="229">
        <v>138</v>
      </c>
      <c r="H45" s="229">
        <v>145</v>
      </c>
      <c r="I45" s="168">
        <v>133</v>
      </c>
      <c r="J45" s="229">
        <v>163</v>
      </c>
      <c r="K45" s="229">
        <v>115</v>
      </c>
      <c r="L45" s="229">
        <v>149</v>
      </c>
      <c r="M45" s="229">
        <v>135</v>
      </c>
      <c r="O45" s="252"/>
      <c r="P45">
        <f t="shared" si="0"/>
        <v>2012</v>
      </c>
      <c r="Q45" s="247">
        <f>+B45</f>
        <v>105</v>
      </c>
      <c r="R45" s="248" t="s">
        <v>269</v>
      </c>
      <c r="S45" s="247">
        <f>+I45</f>
        <v>133</v>
      </c>
      <c r="T45" s="249" t="s">
        <v>271</v>
      </c>
    </row>
    <row r="46" spans="1:20" ht="15" customHeight="1">
      <c r="A46" s="184">
        <f>'Instant Old no Delete'!A47</f>
        <v>2013</v>
      </c>
      <c r="B46" s="229">
        <v>109</v>
      </c>
      <c r="C46" s="232">
        <v>130</v>
      </c>
      <c r="D46" s="229">
        <v>129</v>
      </c>
      <c r="E46" s="229">
        <v>167</v>
      </c>
      <c r="F46" s="229">
        <v>125</v>
      </c>
      <c r="G46" s="229">
        <v>166.99380625000001</v>
      </c>
      <c r="H46" s="229">
        <v>153</v>
      </c>
      <c r="I46" s="168">
        <v>131</v>
      </c>
      <c r="J46" s="229">
        <v>153</v>
      </c>
      <c r="K46" s="229">
        <v>161</v>
      </c>
      <c r="L46" s="229">
        <v>137</v>
      </c>
      <c r="M46" s="229">
        <v>195</v>
      </c>
      <c r="O46" s="252"/>
      <c r="P46">
        <f t="shared" si="0"/>
        <v>2013</v>
      </c>
      <c r="Q46" s="247">
        <f>+C46</f>
        <v>130</v>
      </c>
      <c r="R46" s="248" t="s">
        <v>268</v>
      </c>
      <c r="S46" s="247">
        <f>+I46</f>
        <v>131</v>
      </c>
      <c r="T46" s="249" t="s">
        <v>271</v>
      </c>
    </row>
    <row r="47" spans="1:20" ht="15" customHeight="1">
      <c r="A47" s="184">
        <f>'Instant Old no Delete'!A48</f>
        <v>2014</v>
      </c>
      <c r="B47" s="68">
        <v>61</v>
      </c>
      <c r="C47" s="68">
        <v>126</v>
      </c>
      <c r="D47" s="68">
        <v>128</v>
      </c>
      <c r="E47" s="68">
        <v>155</v>
      </c>
      <c r="F47" s="68">
        <v>111</v>
      </c>
      <c r="G47" s="68">
        <v>141</v>
      </c>
      <c r="H47" s="68">
        <v>172</v>
      </c>
      <c r="I47" s="68">
        <v>170</v>
      </c>
      <c r="J47" s="68">
        <v>136</v>
      </c>
      <c r="K47" s="68">
        <v>120</v>
      </c>
      <c r="L47" s="68">
        <v>117</v>
      </c>
      <c r="M47" s="68">
        <v>67</v>
      </c>
      <c r="N47" s="1" t="s">
        <v>331</v>
      </c>
      <c r="O47" s="252"/>
      <c r="P47">
        <f t="shared" si="0"/>
        <v>2014</v>
      </c>
      <c r="Q47" s="247">
        <f>+B47</f>
        <v>61</v>
      </c>
      <c r="R47" s="248" t="s">
        <v>269</v>
      </c>
      <c r="S47" s="247"/>
      <c r="T47" s="249"/>
    </row>
    <row r="48" spans="1:20" ht="15" customHeight="1">
      <c r="A48" s="184">
        <f>'Instant Old no Delete'!A49</f>
        <v>2015</v>
      </c>
      <c r="B48" s="68">
        <v>101</v>
      </c>
      <c r="C48" s="68">
        <v>79</v>
      </c>
      <c r="D48" s="68">
        <v>96</v>
      </c>
      <c r="E48" s="68">
        <v>170</v>
      </c>
      <c r="F48" s="68">
        <v>112</v>
      </c>
      <c r="G48" s="68">
        <v>87</v>
      </c>
      <c r="H48" s="68">
        <v>80.095741271972656</v>
      </c>
      <c r="I48" s="68">
        <v>110.51470947265625</v>
      </c>
      <c r="J48" s="68">
        <v>54</v>
      </c>
      <c r="K48" s="68">
        <v>55</v>
      </c>
      <c r="L48" s="68">
        <v>145</v>
      </c>
      <c r="M48" s="68">
        <v>113</v>
      </c>
      <c r="N48" s="1" t="s">
        <v>331</v>
      </c>
    </row>
    <row r="49" spans="1:16" ht="15" customHeight="1">
      <c r="A49" s="184">
        <f>'Instant Old no Delete'!A50</f>
        <v>2016</v>
      </c>
    </row>
    <row r="50" spans="1:16" ht="15" customHeight="1">
      <c r="A50" s="184">
        <f>'Instant Old no Delete'!A51</f>
        <v>2017</v>
      </c>
    </row>
    <row r="51" spans="1:16" ht="15" customHeight="1">
      <c r="A51" s="184">
        <f>'Instant Old no Delete'!A52</f>
        <v>2018</v>
      </c>
    </row>
    <row r="52" spans="1:16" ht="15" customHeight="1">
      <c r="A52" s="184">
        <f>'Instant Old no Delete'!A53</f>
        <v>2019</v>
      </c>
    </row>
    <row r="53" spans="1:16" ht="15" customHeight="1">
      <c r="A53" s="184">
        <f>'Instant Old no Delete'!A54</f>
        <v>2020</v>
      </c>
    </row>
    <row r="54" spans="1:16" ht="15" customHeight="1">
      <c r="A54" s="184">
        <f>'Instant Old no Delete'!A55</f>
        <v>2021</v>
      </c>
    </row>
    <row r="55" spans="1:16" ht="15" customHeight="1">
      <c r="A55" s="184">
        <f>'Instant Old no Delete'!A56</f>
        <v>2022</v>
      </c>
      <c r="B55" s="68">
        <v>158.31021909367604</v>
      </c>
      <c r="C55" s="68">
        <v>109.21703093751283</v>
      </c>
      <c r="D55" s="68">
        <v>103.05687384656653</v>
      </c>
      <c r="E55" s="68">
        <v>126.76273139983908</v>
      </c>
      <c r="F55" s="68">
        <v>141.72817213876769</v>
      </c>
      <c r="G55" s="68">
        <v>203.7998703160693</v>
      </c>
      <c r="H55" s="68">
        <v>158.92911610340965</v>
      </c>
      <c r="I55" s="68">
        <v>142.99832201653876</v>
      </c>
      <c r="J55" s="68">
        <v>184.94114955324366</v>
      </c>
      <c r="K55" s="68">
        <v>157.10549954215591</v>
      </c>
      <c r="L55" s="68">
        <v>161.82320988942726</v>
      </c>
      <c r="M55" s="68">
        <v>85.35286089401319</v>
      </c>
      <c r="N55" s="1" t="s">
        <v>331</v>
      </c>
    </row>
    <row r="56" spans="1:16">
      <c r="A56" s="184">
        <f>'Instant Old no Delete'!A57</f>
        <v>2023</v>
      </c>
    </row>
    <row r="57" spans="1:1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</sheetData>
  <mergeCells count="2">
    <mergeCell ref="Q27:R27"/>
    <mergeCell ref="S27:T27"/>
  </mergeCells>
  <phoneticPr fontId="9" type="noConversion"/>
  <pageMargins left="0.25" right="0.25694444444444442" top="0.25" bottom="0.25" header="0" footer="0"/>
  <pageSetup scale="71" orientation="landscape" r:id="rId1"/>
  <headerFooter alignWithMargins="0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017C4D-21B8-46E5-B7BE-63A269C0A498}"/>
</file>

<file path=customXml/itemProps2.xml><?xml version="1.0" encoding="utf-8"?>
<ds:datastoreItem xmlns:ds="http://schemas.openxmlformats.org/officeDocument/2006/customXml" ds:itemID="{07323813-B245-4C87-94F8-F22608525FBF}"/>
</file>

<file path=customXml/itemProps3.xml><?xml version="1.0" encoding="utf-8"?>
<ds:datastoreItem xmlns:ds="http://schemas.openxmlformats.org/officeDocument/2006/customXml" ds:itemID="{A98E3AB1-C033-441E-9F3F-B9520CB89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Instant Old no Delete</vt:lpstr>
      <vt:lpstr>Instant</vt:lpstr>
      <vt:lpstr>Total Retail</vt:lpstr>
      <vt:lpstr>graphs</vt:lpstr>
      <vt:lpstr>NormalTemps</vt:lpstr>
      <vt:lpstr>Load Served</vt:lpstr>
      <vt:lpstr>30yrs</vt:lpstr>
      <vt:lpstr>20yrs</vt:lpstr>
      <vt:lpstr>Interruptible</vt:lpstr>
      <vt:lpstr>LM</vt:lpstr>
      <vt:lpstr>Firm Calculated</vt:lpstr>
      <vt:lpstr>Firm Retail</vt:lpstr>
      <vt:lpstr>Distr. Factors</vt:lpstr>
      <vt:lpstr>Conversion Fact</vt:lpstr>
      <vt:lpstr>LoadFactors</vt:lpstr>
      <vt:lpstr>README!!!!</vt:lpstr>
      <vt:lpstr>\A</vt:lpstr>
      <vt:lpstr>\S</vt:lpstr>
      <vt:lpstr>\Z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Cifuentes, Lori L.</dc:creator>
  <cp:lastModifiedBy>Allport, Melissa M.</cp:lastModifiedBy>
  <cp:lastPrinted>2023-08-11T17:38:57Z</cp:lastPrinted>
  <dcterms:created xsi:type="dcterms:W3CDTF">2007-01-26T13:54:51Z</dcterms:created>
  <dcterms:modified xsi:type="dcterms:W3CDTF">2024-03-18T17:08:40Z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2021-07-26T14:42:51Z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7261cc6e-bb01-4fed-a440-45345fdf25c5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759100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