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-15" windowWidth="966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Sheet1!$B$6:$I$111</definedName>
    <definedName name="_xlnm.Print_Area" localSheetId="0">Sheet1!$B$1:$P$114</definedName>
    <definedName name="_xlnm.Print_Titles" localSheetId="0">Sheet1!$B:$D,Sheet1!$1:$6</definedName>
  </definedNames>
  <calcPr calcId="125725" calcOnSave="0"/>
</workbook>
</file>

<file path=xl/calcChain.xml><?xml version="1.0" encoding="utf-8"?>
<calcChain xmlns="http://schemas.openxmlformats.org/spreadsheetml/2006/main">
  <c r="O104" i="1"/>
  <c r="N104"/>
  <c r="M104"/>
  <c r="L104"/>
  <c r="P99"/>
  <c r="O99"/>
  <c r="N99"/>
  <c r="M99"/>
  <c r="L99"/>
  <c r="P98"/>
  <c r="O98"/>
  <c r="N98"/>
  <c r="M98"/>
  <c r="L98"/>
  <c r="P96"/>
  <c r="O96"/>
  <c r="N96"/>
  <c r="M96"/>
  <c r="L96"/>
  <c r="P90"/>
  <c r="O90"/>
  <c r="N90"/>
  <c r="M90"/>
  <c r="L90"/>
  <c r="P88"/>
  <c r="O88"/>
  <c r="N88"/>
  <c r="M88"/>
  <c r="L88"/>
  <c r="P86"/>
  <c r="O86"/>
  <c r="N86"/>
  <c r="M86"/>
  <c r="L86"/>
  <c r="P85"/>
  <c r="O85"/>
  <c r="N85"/>
  <c r="M85"/>
  <c r="L85"/>
  <c r="P84"/>
  <c r="O84"/>
  <c r="N84"/>
  <c r="M84"/>
  <c r="L84"/>
  <c r="P83"/>
  <c r="O83"/>
  <c r="N83"/>
  <c r="M83"/>
  <c r="L83"/>
  <c r="P82"/>
  <c r="M82"/>
  <c r="L82"/>
  <c r="P81"/>
  <c r="O81"/>
  <c r="N81"/>
  <c r="M81"/>
  <c r="L81"/>
  <c r="P80"/>
  <c r="O80"/>
  <c r="N80"/>
  <c r="M80"/>
  <c r="L80"/>
  <c r="P79"/>
  <c r="O79"/>
  <c r="N79"/>
  <c r="M79"/>
  <c r="L79"/>
  <c r="O45"/>
  <c r="M45"/>
  <c r="L45"/>
  <c r="O34"/>
  <c r="N34"/>
  <c r="M34"/>
  <c r="L34"/>
  <c r="O33"/>
  <c r="N33"/>
  <c r="M33"/>
  <c r="L33"/>
  <c r="O21"/>
  <c r="M21"/>
  <c r="L21"/>
  <c r="O12"/>
  <c r="N12"/>
  <c r="M12"/>
  <c r="L12"/>
  <c r="F107" l="1"/>
  <c r="G107"/>
  <c r="H107"/>
  <c r="E107"/>
  <c r="F101"/>
  <c r="G101"/>
  <c r="I101" s="1"/>
  <c r="H101"/>
  <c r="E101"/>
  <c r="F93"/>
  <c r="E93"/>
  <c r="F77"/>
  <c r="G77"/>
  <c r="H77"/>
  <c r="E77"/>
  <c r="F53"/>
  <c r="G53"/>
  <c r="H53"/>
  <c r="E53"/>
  <c r="F47"/>
  <c r="H47"/>
  <c r="E47"/>
  <c r="F19"/>
  <c r="G19"/>
  <c r="H19"/>
  <c r="E19"/>
  <c r="F10"/>
  <c r="F111" s="1"/>
  <c r="G10"/>
  <c r="H10"/>
  <c r="E10"/>
  <c r="E111" s="1"/>
  <c r="I49"/>
  <c r="I67"/>
  <c r="I70"/>
  <c r="I33"/>
  <c r="P33" s="1"/>
  <c r="I34"/>
  <c r="P34" s="1"/>
  <c r="I23"/>
  <c r="I44"/>
  <c r="I75" l="1"/>
  <c r="I104"/>
  <c r="P104" s="1"/>
  <c r="I103"/>
  <c r="I106"/>
  <c r="I35"/>
  <c r="I14"/>
  <c r="I24"/>
  <c r="I27"/>
  <c r="I18"/>
  <c r="I42"/>
  <c r="I60"/>
  <c r="I68"/>
  <c r="I62"/>
  <c r="I43"/>
  <c r="I41"/>
  <c r="I32"/>
  <c r="I16"/>
  <c r="I69"/>
  <c r="I57"/>
  <c r="I55"/>
  <c r="I9"/>
  <c r="I8"/>
  <c r="I64"/>
  <c r="I58"/>
  <c r="I66"/>
  <c r="I30"/>
  <c r="I38"/>
  <c r="I59"/>
  <c r="I61"/>
  <c r="I76"/>
  <c r="I109"/>
  <c r="I71"/>
  <c r="I74"/>
  <c r="I31"/>
  <c r="I29"/>
  <c r="I39"/>
  <c r="I28"/>
  <c r="I22"/>
  <c r="I73"/>
  <c r="I26"/>
  <c r="I25"/>
  <c r="I51"/>
  <c r="I52"/>
  <c r="I46"/>
  <c r="I17"/>
  <c r="I15"/>
  <c r="I37"/>
  <c r="I72"/>
  <c r="I63"/>
  <c r="I19" l="1"/>
  <c r="I10"/>
  <c r="I12" l="1"/>
  <c r="P12" s="1"/>
  <c r="I50"/>
  <c r="I65"/>
  <c r="I40"/>
  <c r="I56"/>
  <c r="I36"/>
  <c r="I105"/>
  <c r="H82"/>
  <c r="O82" s="1"/>
  <c r="G82"/>
  <c r="N82" s="1"/>
  <c r="G21"/>
  <c r="N21" s="1"/>
  <c r="G45"/>
  <c r="N45" s="1"/>
  <c r="G93" l="1"/>
  <c r="I93" s="1"/>
  <c r="G47"/>
  <c r="G111" s="1"/>
  <c r="H93"/>
  <c r="H111" s="1"/>
  <c r="I107"/>
  <c r="I77"/>
  <c r="I53"/>
  <c r="I45"/>
  <c r="P45" s="1"/>
  <c r="I21"/>
  <c r="P21" s="1"/>
  <c r="I47" l="1"/>
  <c r="I111" s="1"/>
</calcChain>
</file>

<file path=xl/comments1.xml><?xml version="1.0" encoding="utf-8"?>
<comments xmlns="http://schemas.openxmlformats.org/spreadsheetml/2006/main">
  <authors>
    <author>sajordan</author>
  </authors>
  <commentList>
    <comment ref="D67" authorId="0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includes loss on railcars; rounding</t>
        </r>
      </text>
    </comment>
  </commentList>
</comments>
</file>

<file path=xl/sharedStrings.xml><?xml version="1.0" encoding="utf-8"?>
<sst xmlns="http://schemas.openxmlformats.org/spreadsheetml/2006/main" count="218" uniqueCount="105">
  <si>
    <t>Description</t>
  </si>
  <si>
    <t>Property Insurance Reserve</t>
  </si>
  <si>
    <t>Injury &amp; Damages Reserve</t>
  </si>
  <si>
    <t>Uncollectible Accounts</t>
  </si>
  <si>
    <t>Severance Pay Plan (Career Tr)</t>
  </si>
  <si>
    <t>OT Post Benefit</t>
  </si>
  <si>
    <t>Post Retirement Benefits Non-Reg Fas 112 TMI</t>
  </si>
  <si>
    <t>Accrued Vacation</t>
  </si>
  <si>
    <t>Section 419 - LTD</t>
  </si>
  <si>
    <t>Gulf Early Retirement</t>
  </si>
  <si>
    <t>AT&amp;T Lease (Right of Way)</t>
  </si>
  <si>
    <t>Supp ESP/ESOP Plan</t>
  </si>
  <si>
    <t>FICA  Tax Provision</t>
  </si>
  <si>
    <t>St Offset - 281 Amort.</t>
  </si>
  <si>
    <t>St Offset - Method Pro</t>
  </si>
  <si>
    <t>St Offset - Rem Pro</t>
  </si>
  <si>
    <t>St Offset - Life - Unpro</t>
  </si>
  <si>
    <t>St Offset - rem - Unpro</t>
  </si>
  <si>
    <t>St Offset - Basis Diff</t>
  </si>
  <si>
    <t>State Offset</t>
  </si>
  <si>
    <t>FIN 48 Offset</t>
  </si>
  <si>
    <t>Def Comp/Post-Retire. Benefits - O/S Dir</t>
  </si>
  <si>
    <t xml:space="preserve">Post Medical </t>
  </si>
  <si>
    <t>Post Life</t>
  </si>
  <si>
    <t>VEBA Post Retirement</t>
  </si>
  <si>
    <t>Interest accrued on IRS Audit</t>
  </si>
  <si>
    <t>Deferred Intercompany Gain</t>
  </si>
  <si>
    <t>Early Retirement</t>
  </si>
  <si>
    <t>Productivity Improvement Plan</t>
  </si>
  <si>
    <t>Supplemental Benefit Plan</t>
  </si>
  <si>
    <t>SEC 263A Resale Invent Adj</t>
  </si>
  <si>
    <t>Inventory Adjustment/Spare Parts</t>
  </si>
  <si>
    <t>Reg. Liability - Excess Def. Taxes</t>
  </si>
  <si>
    <t>Reg. Liability  - ITC (FASB 109)</t>
  </si>
  <si>
    <t>Pension</t>
  </si>
  <si>
    <t>Performance Pay Plan</t>
  </si>
  <si>
    <t>Section 461 (h) Nondeductibles</t>
  </si>
  <si>
    <t>Railcar Lease/Maint</t>
  </si>
  <si>
    <t>Medical Insurance Claims</t>
  </si>
  <si>
    <t>ITC Delta Comm</t>
  </si>
  <si>
    <t>SCES Energy  Finance Prog Loss</t>
  </si>
  <si>
    <t>UPS Transmission True-Up</t>
  </si>
  <si>
    <t>Other</t>
  </si>
  <si>
    <t>WilsonVille Recovery</t>
  </si>
  <si>
    <t>GE Purchasing Card Rebate</t>
  </si>
  <si>
    <t>Clean Air Compliance</t>
  </si>
  <si>
    <t>Retro Active Overtime Adjustment</t>
  </si>
  <si>
    <t>Performance Dividend</t>
  </si>
  <si>
    <t>Oil Insurance Reserve</t>
  </si>
  <si>
    <t>Change in Control Trust Fund</t>
  </si>
  <si>
    <t>Mark to Market Gains and Losses</t>
  </si>
  <si>
    <t>Accretion Expense</t>
  </si>
  <si>
    <t>Amort of Reg Asset/Liability ARO</t>
  </si>
  <si>
    <t>ARO Settlement</t>
  </si>
  <si>
    <t>Cash Flow Hedge Settlement</t>
  </si>
  <si>
    <t>Proposed Patent Liability</t>
  </si>
  <si>
    <t>FlatBill</t>
  </si>
  <si>
    <t>Performance Shares</t>
  </si>
  <si>
    <t>Stock Option Expense</t>
  </si>
  <si>
    <t>Stock Option Below the Line</t>
  </si>
  <si>
    <t>Stock Options Exercised</t>
  </si>
  <si>
    <t>Generation Dominance Settlement</t>
  </si>
  <si>
    <t>Plant Barry-CSS Project Equipment</t>
  </si>
  <si>
    <t>Taxable Medicare Subsidy</t>
  </si>
  <si>
    <t>Fair Value Hedging Oth Comp Inc</t>
  </si>
  <si>
    <t>Reverse Flow-Thru (FASB 109)</t>
  </si>
  <si>
    <t xml:space="preserve">Loss on Reacquired Debt </t>
  </si>
  <si>
    <t xml:space="preserve"> Pension</t>
  </si>
  <si>
    <t>Post Retirement Life/Medical</t>
  </si>
  <si>
    <t>Bermuda Insurance</t>
  </si>
  <si>
    <t>Repairs 481(A) Adjustment</t>
  </si>
  <si>
    <t>FIN 48</t>
  </si>
  <si>
    <t>Method Protected</t>
  </si>
  <si>
    <t>Excess Def. Taxes (FASB 109)</t>
  </si>
  <si>
    <t>Rem Protected</t>
  </si>
  <si>
    <t>Life Unprotected</t>
  </si>
  <si>
    <t>Removal Unprotected</t>
  </si>
  <si>
    <t>Basis Diff Unprotected</t>
  </si>
  <si>
    <t>Power Tax Variance</t>
  </si>
  <si>
    <t>FERC</t>
  </si>
  <si>
    <t>Grand Total</t>
  </si>
  <si>
    <t>RESERVE</t>
  </si>
  <si>
    <t>EE BENEFIT</t>
  </si>
  <si>
    <t>DEFREV</t>
  </si>
  <si>
    <t>PROPERTY</t>
  </si>
  <si>
    <t>REG</t>
  </si>
  <si>
    <t>UPS</t>
  </si>
  <si>
    <t>DEBT</t>
  </si>
  <si>
    <t>AMORT</t>
  </si>
  <si>
    <t>OTHER</t>
  </si>
  <si>
    <t>FIN48</t>
  </si>
  <si>
    <t>Class</t>
  </si>
  <si>
    <t>Exhibit OPC ROG-15</t>
  </si>
  <si>
    <t>Subtotal</t>
  </si>
  <si>
    <t>ADIT Balances</t>
  </si>
  <si>
    <t>Cause of Timing Difference</t>
  </si>
  <si>
    <t>Date arose</t>
  </si>
  <si>
    <t>Tax recognizes upon payment of cash</t>
  </si>
  <si>
    <t>FAS 109</t>
  </si>
  <si>
    <t>Tax Rate</t>
  </si>
  <si>
    <t>Timing Difference</t>
  </si>
  <si>
    <t>Accelerated depreciation for Tax</t>
  </si>
  <si>
    <t>Item (a), (b)</t>
  </si>
  <si>
    <t>(a) Items related to cost recovery clauses are excluded.</t>
  </si>
  <si>
    <t>(b) Property-related items include deferred taxes on investments recovered through Environmental and Energy Conservation clauses.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</si>
</sst>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6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Border="1"/>
    <xf numFmtId="43" fontId="4" fillId="0" borderId="0" xfId="1" applyFont="1" applyFill="1" applyBorder="1"/>
    <xf numFmtId="0" fontId="5" fillId="0" borderId="0" xfId="0" applyFont="1" applyFill="1"/>
    <xf numFmtId="43" fontId="5" fillId="0" borderId="0" xfId="1" applyFont="1" applyFill="1"/>
    <xf numFmtId="15" fontId="5" fillId="0" borderId="0" xfId="0" applyNumberFormat="1" applyFont="1" applyFill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/>
    <xf numFmtId="14" fontId="4" fillId="0" borderId="0" xfId="1" quotePrefix="1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164" fontId="5" fillId="0" borderId="0" xfId="1" applyNumberFormat="1" applyFont="1" applyFill="1"/>
    <xf numFmtId="164" fontId="4" fillId="0" borderId="0" xfId="1" applyNumberFormat="1" applyFont="1" applyFill="1"/>
    <xf numFmtId="164" fontId="5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5" xfId="1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43" fontId="5" fillId="0" borderId="0" xfId="1" applyFont="1" applyFill="1" applyAlignment="1">
      <alignment horizontal="right"/>
    </xf>
    <xf numFmtId="165" fontId="5" fillId="0" borderId="0" xfId="1" applyNumberFormat="1" applyFont="1" applyFill="1"/>
    <xf numFmtId="164" fontId="4" fillId="0" borderId="0" xfId="1" quotePrefix="1" applyNumberFormat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14"/>
  <sheetViews>
    <sheetView tabSelected="1" zoomScaleNormal="100" zoomScaleSheetLayoutView="80" workbookViewId="0"/>
  </sheetViews>
  <sheetFormatPr defaultRowHeight="15"/>
  <cols>
    <col min="1" max="1" width="1.7109375" style="3" customWidth="1"/>
    <col min="2" max="2" width="9.85546875" style="3" customWidth="1"/>
    <col min="3" max="3" width="13" style="3" customWidth="1"/>
    <col min="4" max="4" width="49.7109375" style="3" bestFit="1" customWidth="1"/>
    <col min="5" max="9" width="19.5703125" style="4" customWidth="1"/>
    <col min="10" max="10" width="49" style="23" customWidth="1"/>
    <col min="11" max="11" width="22.28515625" style="3" customWidth="1"/>
    <col min="12" max="13" width="19.7109375" style="4" bestFit="1" customWidth="1"/>
    <col min="14" max="16" width="21.5703125" style="4" bestFit="1" customWidth="1"/>
    <col min="17" max="16384" width="9.140625" style="3"/>
  </cols>
  <sheetData>
    <row r="1" spans="2:16">
      <c r="B1" s="5" t="s">
        <v>92</v>
      </c>
    </row>
    <row r="2" spans="2:16">
      <c r="B2" s="5"/>
      <c r="L2" s="2"/>
      <c r="M2" s="2"/>
      <c r="N2" s="2"/>
      <c r="O2" s="2"/>
    </row>
    <row r="3" spans="2:16">
      <c r="B3" s="12"/>
      <c r="C3" s="13"/>
      <c r="D3" s="13"/>
      <c r="E3" s="2"/>
      <c r="F3" s="2"/>
      <c r="G3" s="2"/>
      <c r="H3" s="2"/>
      <c r="L3" s="2"/>
      <c r="M3" s="2"/>
      <c r="N3" s="2"/>
      <c r="O3" s="2"/>
      <c r="P3" s="32"/>
    </row>
    <row r="4" spans="2:16" ht="15.75" thickBot="1">
      <c r="B4" s="6"/>
      <c r="C4" s="7"/>
      <c r="D4" s="7"/>
      <c r="E4" s="7"/>
      <c r="F4" s="1"/>
      <c r="G4" s="2"/>
      <c r="H4" s="2"/>
      <c r="L4" s="7"/>
      <c r="M4" s="1"/>
      <c r="N4" s="2"/>
      <c r="O4" s="32" t="s">
        <v>99</v>
      </c>
      <c r="P4" s="33">
        <v>0.38574999999999998</v>
      </c>
    </row>
    <row r="5" spans="2:16" ht="15.75" thickBot="1">
      <c r="B5" s="38" t="s">
        <v>102</v>
      </c>
      <c r="C5" s="39"/>
      <c r="D5" s="40"/>
      <c r="E5" s="35" t="s">
        <v>94</v>
      </c>
      <c r="F5" s="36"/>
      <c r="G5" s="36"/>
      <c r="H5" s="36"/>
      <c r="I5" s="37"/>
      <c r="J5" s="24" t="s">
        <v>95</v>
      </c>
      <c r="K5" s="25" t="s">
        <v>96</v>
      </c>
      <c r="L5" s="35" t="s">
        <v>100</v>
      </c>
      <c r="M5" s="36"/>
      <c r="N5" s="36"/>
      <c r="O5" s="36"/>
      <c r="P5" s="37"/>
    </row>
    <row r="6" spans="2:16" s="21" customFormat="1">
      <c r="B6" s="21" t="s">
        <v>79</v>
      </c>
      <c r="C6" s="21" t="s">
        <v>91</v>
      </c>
      <c r="D6" s="22" t="s">
        <v>0</v>
      </c>
      <c r="E6" s="8">
        <v>39813</v>
      </c>
      <c r="F6" s="8">
        <v>40178</v>
      </c>
      <c r="G6" s="8">
        <v>40543</v>
      </c>
      <c r="H6" s="8">
        <v>40724</v>
      </c>
      <c r="I6" s="8">
        <v>41274</v>
      </c>
      <c r="J6" s="26"/>
      <c r="K6" s="3"/>
      <c r="L6" s="8">
        <v>39813</v>
      </c>
      <c r="M6" s="8">
        <v>40178</v>
      </c>
      <c r="N6" s="8">
        <v>40543</v>
      </c>
      <c r="O6" s="8">
        <v>40724</v>
      </c>
      <c r="P6" s="8">
        <v>41274</v>
      </c>
    </row>
    <row r="7" spans="2:16">
      <c r="D7" s="1"/>
      <c r="E7" s="8"/>
      <c r="F7" s="8"/>
      <c r="G7" s="8"/>
      <c r="H7" s="8"/>
      <c r="I7" s="8"/>
      <c r="J7" s="26"/>
      <c r="L7" s="34"/>
      <c r="M7" s="34"/>
      <c r="N7" s="34"/>
      <c r="O7" s="34"/>
      <c r="P7" s="34"/>
    </row>
    <row r="8" spans="2:16">
      <c r="B8" s="3">
        <v>190</v>
      </c>
      <c r="C8" s="3" t="s">
        <v>88</v>
      </c>
      <c r="D8" s="3" t="s">
        <v>51</v>
      </c>
      <c r="E8" s="14">
        <v>964050.59000000008</v>
      </c>
      <c r="F8" s="15">
        <v>1075401.5900000001</v>
      </c>
      <c r="G8" s="15">
        <v>1213673.5900000001</v>
      </c>
      <c r="H8" s="15">
        <v>1213673.5900000001</v>
      </c>
      <c r="I8" s="15">
        <f>+G8</f>
        <v>1213673.5900000001</v>
      </c>
      <c r="J8" s="27"/>
      <c r="L8" s="14"/>
      <c r="M8" s="14"/>
      <c r="N8" s="14"/>
      <c r="O8" s="14"/>
      <c r="P8" s="14"/>
    </row>
    <row r="9" spans="2:16">
      <c r="B9" s="3">
        <v>190</v>
      </c>
      <c r="C9" s="3" t="s">
        <v>88</v>
      </c>
      <c r="D9" s="3" t="s">
        <v>52</v>
      </c>
      <c r="E9" s="14">
        <v>-924733.8899999999</v>
      </c>
      <c r="F9" s="15">
        <v>-1011383.8899999999</v>
      </c>
      <c r="G9" s="15">
        <v>-1076118.8899999999</v>
      </c>
      <c r="H9" s="15">
        <v>-1076118.8899999999</v>
      </c>
      <c r="I9" s="15">
        <f>+G9</f>
        <v>-1076118.8899999999</v>
      </c>
      <c r="J9" s="27"/>
      <c r="L9" s="14"/>
      <c r="M9" s="14"/>
      <c r="N9" s="14"/>
      <c r="O9" s="14"/>
      <c r="P9" s="14"/>
    </row>
    <row r="10" spans="2:16">
      <c r="B10" s="9"/>
      <c r="C10" s="9" t="s">
        <v>88</v>
      </c>
      <c r="D10" s="9" t="s">
        <v>93</v>
      </c>
      <c r="E10" s="16">
        <f>SUM(E8:E9)</f>
        <v>39316.700000000186</v>
      </c>
      <c r="F10" s="17">
        <f t="shared" ref="F10:I10" si="0">SUM(F8:F9)</f>
        <v>64017.700000000186</v>
      </c>
      <c r="G10" s="17">
        <f t="shared" si="0"/>
        <v>137554.70000000019</v>
      </c>
      <c r="H10" s="17">
        <f t="shared" si="0"/>
        <v>137554.70000000019</v>
      </c>
      <c r="I10" s="17">
        <f t="shared" si="0"/>
        <v>137554.70000000019</v>
      </c>
      <c r="J10" s="28"/>
      <c r="K10" s="9"/>
      <c r="L10" s="16"/>
      <c r="M10" s="16"/>
      <c r="N10" s="16"/>
      <c r="O10" s="16"/>
      <c r="P10" s="16"/>
    </row>
    <row r="11" spans="2:16">
      <c r="E11" s="14"/>
      <c r="F11" s="15"/>
      <c r="G11" s="15"/>
      <c r="H11" s="15"/>
      <c r="I11" s="15"/>
      <c r="J11" s="27"/>
      <c r="L11" s="14"/>
      <c r="M11" s="14"/>
      <c r="N11" s="14"/>
      <c r="O11" s="14"/>
      <c r="P11" s="14"/>
    </row>
    <row r="12" spans="2:16">
      <c r="B12" s="3">
        <v>283</v>
      </c>
      <c r="C12" s="3" t="s">
        <v>87</v>
      </c>
      <c r="D12" s="3" t="s">
        <v>66</v>
      </c>
      <c r="E12" s="14">
        <v>-6880640.6399999997</v>
      </c>
      <c r="F12" s="15">
        <v>-6212775.8799999999</v>
      </c>
      <c r="G12" s="15">
        <v>-6729052.2799999993</v>
      </c>
      <c r="H12" s="15">
        <v>-6434387.5800000001</v>
      </c>
      <c r="I12" s="15">
        <f>+G12-(-466875-73366-408166-64140)</f>
        <v>-5716505.2799999993</v>
      </c>
      <c r="J12" s="27" t="s">
        <v>97</v>
      </c>
      <c r="K12" s="3">
        <v>1986</v>
      </c>
      <c r="L12" s="14">
        <f t="shared" ref="L12:P12" si="1">+ROUND((E12/$P$4),2)</f>
        <v>-17837046.379999999</v>
      </c>
      <c r="M12" s="14">
        <f t="shared" si="1"/>
        <v>-16105705.460000001</v>
      </c>
      <c r="N12" s="14">
        <f t="shared" si="1"/>
        <v>-17444075.899999999</v>
      </c>
      <c r="O12" s="14">
        <f t="shared" si="1"/>
        <v>-16680201.109999999</v>
      </c>
      <c r="P12" s="14">
        <f t="shared" si="1"/>
        <v>-14819197.1</v>
      </c>
    </row>
    <row r="13" spans="2:16">
      <c r="E13" s="14"/>
      <c r="F13" s="15"/>
      <c r="G13" s="15"/>
      <c r="H13" s="15"/>
      <c r="I13" s="15"/>
      <c r="J13" s="27"/>
      <c r="L13" s="14"/>
      <c r="M13" s="14"/>
      <c r="N13" s="14"/>
      <c r="O13" s="14"/>
      <c r="P13" s="14"/>
    </row>
    <row r="14" spans="2:16">
      <c r="B14" s="3">
        <v>190</v>
      </c>
      <c r="C14" s="3" t="s">
        <v>83</v>
      </c>
      <c r="D14" s="3" t="s">
        <v>10</v>
      </c>
      <c r="E14" s="14">
        <v>25515</v>
      </c>
      <c r="F14" s="15">
        <v>17010</v>
      </c>
      <c r="G14" s="15">
        <v>24806.25</v>
      </c>
      <c r="H14" s="15">
        <v>20553.75</v>
      </c>
      <c r="I14" s="15">
        <f>+G14-8505</f>
        <v>16301.25</v>
      </c>
      <c r="J14" s="27"/>
      <c r="L14" s="14"/>
      <c r="M14" s="14"/>
      <c r="N14" s="14"/>
      <c r="O14" s="14"/>
      <c r="P14" s="14"/>
    </row>
    <row r="15" spans="2:16">
      <c r="B15" s="3">
        <v>190</v>
      </c>
      <c r="C15" s="3" t="s">
        <v>83</v>
      </c>
      <c r="D15" s="3" t="s">
        <v>26</v>
      </c>
      <c r="E15" s="14">
        <v>21704</v>
      </c>
      <c r="F15" s="15">
        <v>212307</v>
      </c>
      <c r="G15" s="15">
        <v>282996</v>
      </c>
      <c r="H15" s="15">
        <v>282996</v>
      </c>
      <c r="I15" s="15">
        <f>+G15</f>
        <v>282996</v>
      </c>
      <c r="J15" s="27"/>
      <c r="L15" s="14"/>
      <c r="M15" s="14"/>
      <c r="N15" s="14"/>
      <c r="O15" s="14"/>
      <c r="P15" s="14"/>
    </row>
    <row r="16" spans="2:16">
      <c r="B16" s="3">
        <v>190</v>
      </c>
      <c r="C16" s="3" t="s">
        <v>83</v>
      </c>
      <c r="D16" s="3" t="s">
        <v>56</v>
      </c>
      <c r="E16" s="14">
        <v>135336.24</v>
      </c>
      <c r="F16" s="15">
        <v>-150901.68000000002</v>
      </c>
      <c r="G16" s="15">
        <v>-145714.46000000002</v>
      </c>
      <c r="H16" s="15">
        <v>-23021.620000000006</v>
      </c>
      <c r="I16" s="15">
        <f>+G16</f>
        <v>-145714.46000000002</v>
      </c>
      <c r="J16" s="27"/>
      <c r="L16" s="14"/>
      <c r="M16" s="14"/>
      <c r="N16" s="14"/>
      <c r="O16" s="14"/>
      <c r="P16" s="14"/>
    </row>
    <row r="17" spans="2:16">
      <c r="B17" s="3">
        <v>190</v>
      </c>
      <c r="C17" s="3" t="s">
        <v>83</v>
      </c>
      <c r="D17" s="3" t="s">
        <v>25</v>
      </c>
      <c r="E17" s="14">
        <v>-155307.91</v>
      </c>
      <c r="F17" s="15">
        <v>-163781.32</v>
      </c>
      <c r="G17" s="15">
        <v>-170134.96000000002</v>
      </c>
      <c r="H17" s="15">
        <v>-171077.40000000002</v>
      </c>
      <c r="I17" s="15">
        <f>+G17</f>
        <v>-170134.96000000002</v>
      </c>
      <c r="J17" s="27"/>
      <c r="L17" s="14"/>
      <c r="M17" s="14"/>
      <c r="N17" s="14"/>
      <c r="O17" s="14"/>
      <c r="P17" s="14"/>
    </row>
    <row r="18" spans="2:16">
      <c r="B18" s="3">
        <v>190</v>
      </c>
      <c r="C18" s="3" t="s">
        <v>83</v>
      </c>
      <c r="D18" s="3" t="s">
        <v>39</v>
      </c>
      <c r="E18" s="14">
        <v>406155.17000000004</v>
      </c>
      <c r="F18" s="15">
        <v>343669.47000000003</v>
      </c>
      <c r="G18" s="15">
        <v>281183.77</v>
      </c>
      <c r="H18" s="15">
        <v>249940.92000000004</v>
      </c>
      <c r="I18" s="15">
        <f>+G18-124972</f>
        <v>156211.77000000002</v>
      </c>
      <c r="J18" s="27"/>
      <c r="L18" s="14"/>
      <c r="M18" s="14"/>
      <c r="N18" s="14"/>
      <c r="O18" s="14"/>
      <c r="P18" s="14"/>
    </row>
    <row r="19" spans="2:16">
      <c r="B19" s="9"/>
      <c r="C19" s="9" t="s">
        <v>83</v>
      </c>
      <c r="D19" s="9" t="s">
        <v>93</v>
      </c>
      <c r="E19" s="16">
        <f>SUM(E14:E18)</f>
        <v>433402.5</v>
      </c>
      <c r="F19" s="17">
        <f t="shared" ref="F19:I19" si="2">SUM(F14:F18)</f>
        <v>258303.47</v>
      </c>
      <c r="G19" s="17">
        <f t="shared" si="2"/>
        <v>273136.59999999998</v>
      </c>
      <c r="H19" s="17">
        <f t="shared" si="2"/>
        <v>359391.65</v>
      </c>
      <c r="I19" s="17">
        <f t="shared" si="2"/>
        <v>139659.59999999998</v>
      </c>
      <c r="J19" s="28"/>
      <c r="K19" s="9"/>
      <c r="L19" s="16"/>
      <c r="M19" s="16"/>
      <c r="N19" s="16"/>
      <c r="O19" s="16"/>
      <c r="P19" s="16"/>
    </row>
    <row r="20" spans="2:16">
      <c r="E20" s="14"/>
      <c r="F20" s="15"/>
      <c r="G20" s="15"/>
      <c r="H20" s="15"/>
      <c r="I20" s="15"/>
      <c r="J20" s="27"/>
      <c r="L20" s="14"/>
      <c r="M20" s="14"/>
      <c r="N20" s="14"/>
      <c r="O20" s="14"/>
      <c r="P20" s="14"/>
    </row>
    <row r="21" spans="2:16">
      <c r="B21" s="3">
        <v>283</v>
      </c>
      <c r="C21" s="3" t="s">
        <v>82</v>
      </c>
      <c r="D21" s="3" t="s">
        <v>67</v>
      </c>
      <c r="E21" s="14">
        <v>-15356039.790000001</v>
      </c>
      <c r="F21" s="15">
        <v>-15539125.540000003</v>
      </c>
      <c r="G21" s="15">
        <f>-23990224.5+7362733+1224340</f>
        <v>-15403151.5</v>
      </c>
      <c r="H21" s="18">
        <v>-15681269.770000005</v>
      </c>
      <c r="I21" s="18">
        <f>+G21-(196000+30800+0+0-0-0-1032500-162250)</f>
        <v>-14435201.5</v>
      </c>
      <c r="J21" s="29" t="s">
        <v>97</v>
      </c>
      <c r="K21" s="3">
        <v>1982</v>
      </c>
      <c r="L21" s="19">
        <f t="shared" ref="L21:P45" si="3">+ROUND((E21/$P$4),2)</f>
        <v>-39808269.060000002</v>
      </c>
      <c r="M21" s="19">
        <f t="shared" si="3"/>
        <v>-40282891.869999997</v>
      </c>
      <c r="N21" s="18">
        <f t="shared" si="3"/>
        <v>-39930399.219999999</v>
      </c>
      <c r="O21" s="19">
        <f t="shared" si="3"/>
        <v>-40651379.829999998</v>
      </c>
      <c r="P21" s="19">
        <f t="shared" si="3"/>
        <v>-37421131.560000002</v>
      </c>
    </row>
    <row r="22" spans="2:16">
      <c r="B22" s="3">
        <v>190</v>
      </c>
      <c r="C22" s="3" t="s">
        <v>82</v>
      </c>
      <c r="D22" s="3" t="s">
        <v>7</v>
      </c>
      <c r="E22" s="14">
        <v>-16475</v>
      </c>
      <c r="F22" s="15">
        <v>-16475</v>
      </c>
      <c r="G22" s="15">
        <v>-16475</v>
      </c>
      <c r="H22" s="18">
        <v>-16475</v>
      </c>
      <c r="I22" s="18">
        <f>+G22</f>
        <v>-16475</v>
      </c>
      <c r="J22" s="29"/>
      <c r="L22" s="19"/>
      <c r="M22" s="19"/>
      <c r="N22" s="19"/>
      <c r="O22" s="19"/>
      <c r="P22" s="19"/>
    </row>
    <row r="23" spans="2:16">
      <c r="B23" s="3">
        <v>190</v>
      </c>
      <c r="C23" s="3" t="s">
        <v>82</v>
      </c>
      <c r="D23" s="3" t="s">
        <v>21</v>
      </c>
      <c r="E23" s="14">
        <v>2577515.4300000002</v>
      </c>
      <c r="F23" s="15">
        <v>2429686.46</v>
      </c>
      <c r="G23" s="15">
        <v>2579884.86</v>
      </c>
      <c r="H23" s="18">
        <v>2062913.5699999998</v>
      </c>
      <c r="I23" s="18">
        <f>+G23-45117-259569</f>
        <v>2275198.86</v>
      </c>
      <c r="J23" s="29"/>
      <c r="L23" s="19"/>
      <c r="M23" s="19"/>
      <c r="N23" s="19"/>
      <c r="O23" s="19"/>
      <c r="P23" s="19"/>
    </row>
    <row r="24" spans="2:16">
      <c r="B24" s="3">
        <v>190</v>
      </c>
      <c r="C24" s="3" t="s">
        <v>82</v>
      </c>
      <c r="D24" s="3" t="s">
        <v>27</v>
      </c>
      <c r="E24" s="14">
        <v>639435</v>
      </c>
      <c r="F24" s="15">
        <v>627191.13</v>
      </c>
      <c r="G24" s="15">
        <v>625694.67999999993</v>
      </c>
      <c r="H24" s="18">
        <v>646664.27999999991</v>
      </c>
      <c r="I24" s="18">
        <f>+G24-5936</f>
        <v>619758.67999999993</v>
      </c>
      <c r="J24" s="29"/>
      <c r="L24" s="19"/>
      <c r="M24" s="19"/>
      <c r="N24" s="19"/>
      <c r="O24" s="19"/>
      <c r="P24" s="19"/>
    </row>
    <row r="25" spans="2:16">
      <c r="B25" s="3">
        <v>190</v>
      </c>
      <c r="C25" s="3" t="s">
        <v>82</v>
      </c>
      <c r="D25" s="3" t="s">
        <v>12</v>
      </c>
      <c r="E25" s="14">
        <v>-14726.08</v>
      </c>
      <c r="F25" s="15">
        <v>-47561.08</v>
      </c>
      <c r="G25" s="15">
        <v>25364.920000000002</v>
      </c>
      <c r="H25" s="18">
        <v>25364.920000000002</v>
      </c>
      <c r="I25" s="18">
        <f>+G25</f>
        <v>25364.920000000002</v>
      </c>
      <c r="J25" s="29"/>
      <c r="L25" s="19"/>
      <c r="M25" s="19"/>
      <c r="N25" s="19"/>
      <c r="O25" s="19"/>
      <c r="P25" s="19"/>
    </row>
    <row r="26" spans="2:16">
      <c r="B26" s="3">
        <v>190</v>
      </c>
      <c r="C26" s="3" t="s">
        <v>82</v>
      </c>
      <c r="D26" s="3" t="s">
        <v>9</v>
      </c>
      <c r="E26" s="14">
        <v>-69966.840000000142</v>
      </c>
      <c r="F26" s="15">
        <v>-69966.840000000142</v>
      </c>
      <c r="G26" s="15">
        <v>-69966.840000000142</v>
      </c>
      <c r="H26" s="18">
        <v>-69966.840000000142</v>
      </c>
      <c r="I26" s="18">
        <f>+G26</f>
        <v>-69966.840000000142</v>
      </c>
      <c r="J26" s="29"/>
      <c r="L26" s="19"/>
      <c r="M26" s="19"/>
      <c r="N26" s="19"/>
      <c r="O26" s="19"/>
      <c r="P26" s="19"/>
    </row>
    <row r="27" spans="2:16">
      <c r="B27" s="3">
        <v>190</v>
      </c>
      <c r="C27" s="3" t="s">
        <v>82</v>
      </c>
      <c r="D27" s="3" t="s">
        <v>38</v>
      </c>
      <c r="E27" s="14">
        <v>-94144.11</v>
      </c>
      <c r="F27" s="15">
        <v>419760.89</v>
      </c>
      <c r="G27" s="15">
        <v>288294.62</v>
      </c>
      <c r="H27" s="18">
        <v>331815.86</v>
      </c>
      <c r="I27" s="18">
        <f>+G27+227804</f>
        <v>516098.62</v>
      </c>
      <c r="J27" s="29"/>
      <c r="L27" s="19"/>
      <c r="M27" s="19"/>
      <c r="N27" s="19"/>
      <c r="O27" s="19"/>
      <c r="P27" s="19"/>
    </row>
    <row r="28" spans="2:16">
      <c r="B28" s="3">
        <v>190</v>
      </c>
      <c r="C28" s="3" t="s">
        <v>82</v>
      </c>
      <c r="D28" s="3" t="s">
        <v>5</v>
      </c>
      <c r="E28" s="14">
        <v>-616361.17000000004</v>
      </c>
      <c r="F28" s="15">
        <v>-616361.17000000004</v>
      </c>
      <c r="G28" s="15">
        <v>-616361.17000000004</v>
      </c>
      <c r="H28" s="15">
        <v>-616361.17000000004</v>
      </c>
      <c r="I28" s="15">
        <f>+G28</f>
        <v>-616361.17000000004</v>
      </c>
      <c r="J28" s="27"/>
      <c r="L28" s="19"/>
      <c r="M28" s="19"/>
      <c r="N28" s="19"/>
      <c r="O28" s="19"/>
      <c r="P28" s="19"/>
    </row>
    <row r="29" spans="2:16">
      <c r="B29" s="3">
        <v>190</v>
      </c>
      <c r="C29" s="3" t="s">
        <v>82</v>
      </c>
      <c r="D29" s="3" t="s">
        <v>34</v>
      </c>
      <c r="E29" s="14">
        <v>-132982.29999999999</v>
      </c>
      <c r="F29" s="15">
        <v>-132982.29999999999</v>
      </c>
      <c r="G29" s="15">
        <v>-174157.30000000002</v>
      </c>
      <c r="H29" s="15">
        <v>-174157.30000000002</v>
      </c>
      <c r="I29" s="15">
        <f>+G29</f>
        <v>-174157.30000000002</v>
      </c>
      <c r="J29" s="27"/>
      <c r="L29" s="19"/>
      <c r="M29" s="19"/>
      <c r="N29" s="19"/>
      <c r="O29" s="19"/>
      <c r="P29" s="19"/>
    </row>
    <row r="30" spans="2:16">
      <c r="B30" s="3">
        <v>190</v>
      </c>
      <c r="C30" s="3" t="s">
        <v>82</v>
      </c>
      <c r="D30" s="3" t="s">
        <v>47</v>
      </c>
      <c r="E30" s="14">
        <v>156696.81</v>
      </c>
      <c r="F30" s="15">
        <v>176852.81</v>
      </c>
      <c r="G30" s="15">
        <v>8411.8100000000013</v>
      </c>
      <c r="H30" s="15">
        <v>8411.8100000000013</v>
      </c>
      <c r="I30" s="15">
        <f>+G30</f>
        <v>8411.8100000000013</v>
      </c>
      <c r="J30" s="27"/>
      <c r="L30" s="19"/>
      <c r="M30" s="19"/>
      <c r="N30" s="19"/>
      <c r="O30" s="19"/>
      <c r="P30" s="19"/>
    </row>
    <row r="31" spans="2:16">
      <c r="B31" s="3">
        <v>190</v>
      </c>
      <c r="C31" s="3" t="s">
        <v>82</v>
      </c>
      <c r="D31" s="3" t="s">
        <v>35</v>
      </c>
      <c r="E31" s="14">
        <v>-185371.82</v>
      </c>
      <c r="F31" s="15">
        <v>-293160.82</v>
      </c>
      <c r="G31" s="15">
        <v>-769948.82000000007</v>
      </c>
      <c r="H31" s="15">
        <v>-769948.82000000007</v>
      </c>
      <c r="I31" s="15">
        <f>+G31</f>
        <v>-769948.82000000007</v>
      </c>
      <c r="J31" s="27"/>
      <c r="L31" s="19"/>
      <c r="M31" s="19"/>
      <c r="N31" s="19"/>
      <c r="O31" s="19"/>
      <c r="P31" s="19"/>
    </row>
    <row r="32" spans="2:16">
      <c r="B32" s="3">
        <v>190</v>
      </c>
      <c r="C32" s="3" t="s">
        <v>82</v>
      </c>
      <c r="D32" s="3" t="s">
        <v>57</v>
      </c>
      <c r="E32" s="14"/>
      <c r="F32" s="15"/>
      <c r="G32" s="15">
        <v>129042.92000000001</v>
      </c>
      <c r="H32" s="15">
        <v>245001.81000000003</v>
      </c>
      <c r="I32" s="15">
        <f>+G32</f>
        <v>129042.92000000001</v>
      </c>
      <c r="J32" s="27"/>
      <c r="L32" s="19"/>
      <c r="M32" s="19"/>
      <c r="N32" s="19"/>
      <c r="O32" s="19"/>
      <c r="P32" s="19"/>
    </row>
    <row r="33" spans="2:16">
      <c r="B33" s="3">
        <v>190</v>
      </c>
      <c r="C33" s="3" t="s">
        <v>82</v>
      </c>
      <c r="D33" s="3" t="s">
        <v>23</v>
      </c>
      <c r="E33" s="14">
        <v>5400144.6299999999</v>
      </c>
      <c r="F33" s="15">
        <v>5511082.3099999996</v>
      </c>
      <c r="G33" s="15">
        <v>5791751.1299999999</v>
      </c>
      <c r="H33" s="15">
        <v>5929954.3499999996</v>
      </c>
      <c r="I33" s="18">
        <f>+G33+770496</f>
        <v>6562247.1299999999</v>
      </c>
      <c r="J33" s="27" t="s">
        <v>97</v>
      </c>
      <c r="K33" s="3">
        <v>1987</v>
      </c>
      <c r="L33" s="19">
        <f t="shared" si="3"/>
        <v>13999078.76</v>
      </c>
      <c r="M33" s="19">
        <f t="shared" si="3"/>
        <v>14286668.33</v>
      </c>
      <c r="N33" s="19">
        <f t="shared" si="3"/>
        <v>15014260.869999999</v>
      </c>
      <c r="O33" s="19">
        <f t="shared" si="3"/>
        <v>15372532.34</v>
      </c>
      <c r="P33" s="19">
        <f t="shared" si="3"/>
        <v>17011658.149999999</v>
      </c>
    </row>
    <row r="34" spans="2:16">
      <c r="B34" s="3">
        <v>190</v>
      </c>
      <c r="C34" s="3" t="s">
        <v>82</v>
      </c>
      <c r="D34" s="3" t="s">
        <v>22</v>
      </c>
      <c r="E34" s="14">
        <v>12380125.590000002</v>
      </c>
      <c r="F34" s="15">
        <v>12739747.15</v>
      </c>
      <c r="G34" s="15">
        <v>14816324.190000001</v>
      </c>
      <c r="H34" s="15">
        <v>17041496.91</v>
      </c>
      <c r="I34" s="18">
        <f>+G34-345161</f>
        <v>14471163.190000001</v>
      </c>
      <c r="J34" s="27" t="s">
        <v>97</v>
      </c>
      <c r="K34" s="3">
        <v>1987</v>
      </c>
      <c r="L34" s="19">
        <f t="shared" si="3"/>
        <v>32093650.27</v>
      </c>
      <c r="M34" s="19">
        <f t="shared" si="3"/>
        <v>33025916.140000001</v>
      </c>
      <c r="N34" s="19">
        <f t="shared" si="3"/>
        <v>38409135.939999998</v>
      </c>
      <c r="O34" s="19">
        <f t="shared" si="3"/>
        <v>44177568.140000001</v>
      </c>
      <c r="P34" s="19">
        <f t="shared" si="3"/>
        <v>37514356.939999998</v>
      </c>
    </row>
    <row r="35" spans="2:16">
      <c r="B35" s="3">
        <v>190</v>
      </c>
      <c r="C35" s="3" t="s">
        <v>82</v>
      </c>
      <c r="D35" s="3" t="s">
        <v>6</v>
      </c>
      <c r="E35" s="14">
        <v>263623.76</v>
      </c>
      <c r="F35" s="15">
        <v>830596.76</v>
      </c>
      <c r="G35" s="15">
        <v>731656.07</v>
      </c>
      <c r="H35" s="15">
        <v>731656.07</v>
      </c>
      <c r="I35" s="15">
        <f>+G35-137554</f>
        <v>594102.06999999995</v>
      </c>
      <c r="J35" s="27"/>
      <c r="L35" s="19"/>
      <c r="M35" s="19"/>
      <c r="N35" s="19"/>
      <c r="O35" s="19"/>
      <c r="P35" s="19"/>
    </row>
    <row r="36" spans="2:16">
      <c r="B36" s="3">
        <v>283</v>
      </c>
      <c r="C36" s="3" t="s">
        <v>82</v>
      </c>
      <c r="D36" s="3" t="s">
        <v>68</v>
      </c>
      <c r="E36" s="14">
        <v>0</v>
      </c>
      <c r="F36" s="15">
        <v>0</v>
      </c>
      <c r="G36" s="15">
        <v>-1551044.12</v>
      </c>
      <c r="H36" s="15">
        <v>-1551044.12</v>
      </c>
      <c r="I36" s="15">
        <f t="shared" ref="I36:I41" si="4">+G36</f>
        <v>-1551044.12</v>
      </c>
      <c r="J36" s="27"/>
      <c r="L36" s="19"/>
      <c r="M36" s="19"/>
      <c r="N36" s="19"/>
      <c r="O36" s="19"/>
      <c r="P36" s="19"/>
    </row>
    <row r="37" spans="2:16">
      <c r="B37" s="3">
        <v>190</v>
      </c>
      <c r="C37" s="3" t="s">
        <v>82</v>
      </c>
      <c r="D37" s="3" t="s">
        <v>28</v>
      </c>
      <c r="E37" s="14">
        <v>359349.69999999995</v>
      </c>
      <c r="F37" s="15">
        <v>362516.69999999995</v>
      </c>
      <c r="G37" s="15">
        <v>362516.69999999995</v>
      </c>
      <c r="H37" s="15">
        <v>362516.69999999995</v>
      </c>
      <c r="I37" s="15">
        <f t="shared" si="4"/>
        <v>362516.69999999995</v>
      </c>
      <c r="J37" s="27"/>
      <c r="L37" s="19"/>
      <c r="M37" s="19"/>
      <c r="N37" s="19"/>
      <c r="O37" s="19"/>
      <c r="P37" s="19"/>
    </row>
    <row r="38" spans="2:16">
      <c r="B38" s="3">
        <v>190</v>
      </c>
      <c r="C38" s="3" t="s">
        <v>82</v>
      </c>
      <c r="D38" s="3" t="s">
        <v>46</v>
      </c>
      <c r="E38" s="14">
        <v>-18546.009999999998</v>
      </c>
      <c r="F38" s="15">
        <v>-19092.009999999998</v>
      </c>
      <c r="G38" s="15">
        <v>7366.9900000000007</v>
      </c>
      <c r="H38" s="15">
        <v>7366.9900000000007</v>
      </c>
      <c r="I38" s="15">
        <f t="shared" si="4"/>
        <v>7366.9900000000007</v>
      </c>
      <c r="J38" s="27"/>
      <c r="L38" s="19"/>
      <c r="M38" s="19"/>
      <c r="N38" s="19"/>
      <c r="O38" s="19"/>
      <c r="P38" s="19"/>
    </row>
    <row r="39" spans="2:16">
      <c r="B39" s="3">
        <v>190</v>
      </c>
      <c r="C39" s="3" t="s">
        <v>82</v>
      </c>
      <c r="D39" s="3" t="s">
        <v>4</v>
      </c>
      <c r="E39" s="14">
        <v>-104826</v>
      </c>
      <c r="F39" s="15">
        <v>-104826</v>
      </c>
      <c r="G39" s="15">
        <v>-104826</v>
      </c>
      <c r="H39" s="15">
        <v>-104826</v>
      </c>
      <c r="I39" s="15">
        <f t="shared" si="4"/>
        <v>-104826</v>
      </c>
      <c r="J39" s="27"/>
      <c r="L39" s="19"/>
      <c r="M39" s="19"/>
      <c r="N39" s="19"/>
      <c r="O39" s="19"/>
      <c r="P39" s="19"/>
    </row>
    <row r="40" spans="2:16">
      <c r="B40" s="3">
        <v>283</v>
      </c>
      <c r="C40" s="3" t="s">
        <v>82</v>
      </c>
      <c r="D40" s="3" t="s">
        <v>4</v>
      </c>
      <c r="E40" s="14">
        <v>-52499.340000000004</v>
      </c>
      <c r="F40" s="15">
        <v>-52499.340000000004</v>
      </c>
      <c r="G40" s="15">
        <v>-52499.340000000004</v>
      </c>
      <c r="H40" s="15">
        <v>-52499.340000000004</v>
      </c>
      <c r="I40" s="15">
        <f t="shared" si="4"/>
        <v>-52499.340000000004</v>
      </c>
      <c r="J40" s="27"/>
      <c r="L40" s="19"/>
      <c r="M40" s="19"/>
      <c r="N40" s="19"/>
      <c r="O40" s="19"/>
      <c r="P40" s="19"/>
    </row>
    <row r="41" spans="2:16">
      <c r="B41" s="3">
        <v>190</v>
      </c>
      <c r="C41" s="3" t="s">
        <v>82</v>
      </c>
      <c r="D41" s="3" t="s">
        <v>59</v>
      </c>
      <c r="E41" s="14">
        <v>17317.149999999998</v>
      </c>
      <c r="F41" s="15">
        <v>18450.189999999999</v>
      </c>
      <c r="G41" s="15">
        <v>24610.04</v>
      </c>
      <c r="H41" s="15">
        <v>28615.739999999998</v>
      </c>
      <c r="I41" s="15">
        <f t="shared" si="4"/>
        <v>24610.04</v>
      </c>
      <c r="J41" s="27"/>
      <c r="L41" s="19"/>
      <c r="M41" s="19"/>
      <c r="N41" s="19"/>
      <c r="O41" s="19"/>
      <c r="P41" s="19"/>
    </row>
    <row r="42" spans="2:16">
      <c r="B42" s="3">
        <v>190</v>
      </c>
      <c r="C42" s="3" t="s">
        <v>82</v>
      </c>
      <c r="D42" s="3" t="s">
        <v>58</v>
      </c>
      <c r="E42" s="14">
        <v>1239382.71</v>
      </c>
      <c r="F42" s="15">
        <v>1615930.07</v>
      </c>
      <c r="G42" s="18">
        <v>1925496.69</v>
      </c>
      <c r="H42" s="18">
        <v>2124732.4700000002</v>
      </c>
      <c r="I42" s="18">
        <f>+G42+1009738</f>
        <v>2935234.69</v>
      </c>
      <c r="J42" s="27"/>
      <c r="L42" s="19"/>
      <c r="M42" s="19"/>
      <c r="N42" s="19"/>
      <c r="O42" s="19"/>
      <c r="P42" s="19"/>
    </row>
    <row r="43" spans="2:16">
      <c r="B43" s="3">
        <v>190</v>
      </c>
      <c r="C43" s="3" t="s">
        <v>82</v>
      </c>
      <c r="D43" s="3" t="s">
        <v>60</v>
      </c>
      <c r="E43" s="14">
        <v>-190520.53</v>
      </c>
      <c r="F43" s="15">
        <v>-189425.38</v>
      </c>
      <c r="G43" s="18">
        <v>-36157.560000000005</v>
      </c>
      <c r="H43" s="18">
        <v>98156.83</v>
      </c>
      <c r="I43" s="18">
        <f>+G43</f>
        <v>-36157.560000000005</v>
      </c>
      <c r="J43" s="27"/>
      <c r="L43" s="19"/>
      <c r="M43" s="19"/>
      <c r="N43" s="19"/>
      <c r="O43" s="19"/>
      <c r="P43" s="19"/>
    </row>
    <row r="44" spans="2:16">
      <c r="B44" s="3">
        <v>190</v>
      </c>
      <c r="C44" s="3" t="s">
        <v>82</v>
      </c>
      <c r="D44" s="3" t="s">
        <v>11</v>
      </c>
      <c r="E44" s="14">
        <v>10641.09</v>
      </c>
      <c r="F44" s="15">
        <v>10641.09</v>
      </c>
      <c r="G44" s="18">
        <v>10641.09</v>
      </c>
      <c r="H44" s="18">
        <v>10641.09</v>
      </c>
      <c r="I44" s="18">
        <f>+G44</f>
        <v>10641.09</v>
      </c>
      <c r="J44" s="27"/>
      <c r="L44" s="19"/>
      <c r="M44" s="19"/>
      <c r="N44" s="19"/>
      <c r="O44" s="19"/>
      <c r="P44" s="19"/>
    </row>
    <row r="45" spans="2:16">
      <c r="B45" s="3">
        <v>190</v>
      </c>
      <c r="C45" s="3" t="s">
        <v>82</v>
      </c>
      <c r="D45" s="3" t="s">
        <v>29</v>
      </c>
      <c r="E45" s="14">
        <v>3368527.4</v>
      </c>
      <c r="F45" s="15">
        <v>3355895.07</v>
      </c>
      <c r="G45" s="15">
        <f>3993351.4-175946</f>
        <v>3817405.4</v>
      </c>
      <c r="H45" s="15">
        <v>4022209.3999999994</v>
      </c>
      <c r="I45" s="15">
        <f>+G45+24537+822784</f>
        <v>4664726.4000000004</v>
      </c>
      <c r="J45" s="27" t="s">
        <v>97</v>
      </c>
      <c r="K45" s="3">
        <v>1984</v>
      </c>
      <c r="L45" s="19">
        <f t="shared" si="3"/>
        <v>8732410.6300000008</v>
      </c>
      <c r="M45" s="19">
        <f t="shared" si="3"/>
        <v>8699663.1799999997</v>
      </c>
      <c r="N45" s="18">
        <f t="shared" si="3"/>
        <v>9896060.6600000001</v>
      </c>
      <c r="O45" s="19">
        <f t="shared" si="3"/>
        <v>10426984.83</v>
      </c>
      <c r="P45" s="19">
        <f t="shared" si="3"/>
        <v>12092615.42</v>
      </c>
    </row>
    <row r="46" spans="2:16">
      <c r="B46" s="3">
        <v>190</v>
      </c>
      <c r="C46" s="3" t="s">
        <v>82</v>
      </c>
      <c r="D46" s="3" t="s">
        <v>24</v>
      </c>
      <c r="E46" s="14">
        <v>630828.78</v>
      </c>
      <c r="F46" s="15">
        <v>953547.78</v>
      </c>
      <c r="G46" s="15">
        <v>1250967.78</v>
      </c>
      <c r="H46" s="15">
        <v>1250967.78</v>
      </c>
      <c r="I46" s="15">
        <f t="shared" ref="I46:I66" si="5">+G46</f>
        <v>1250967.78</v>
      </c>
      <c r="J46" s="27"/>
      <c r="L46" s="14"/>
      <c r="M46" s="14"/>
      <c r="N46" s="14"/>
      <c r="O46" s="14"/>
      <c r="P46" s="14"/>
    </row>
    <row r="47" spans="2:16">
      <c r="B47" s="9"/>
      <c r="C47" s="9" t="s">
        <v>82</v>
      </c>
      <c r="D47" s="9" t="s">
        <v>93</v>
      </c>
      <c r="E47" s="16">
        <f>SUM(E21:E46)</f>
        <v>10191129.060000001</v>
      </c>
      <c r="F47" s="17">
        <f t="shared" ref="F47:I47" si="6">SUM(F21:F46)</f>
        <v>11970422.93</v>
      </c>
      <c r="G47" s="17">
        <f t="shared" si="6"/>
        <v>13600842.239999998</v>
      </c>
      <c r="H47" s="17">
        <f t="shared" si="6"/>
        <v>15891938.219999993</v>
      </c>
      <c r="I47" s="17">
        <f t="shared" si="6"/>
        <v>16630814.24</v>
      </c>
      <c r="J47" s="28"/>
      <c r="K47" s="9"/>
      <c r="L47" s="16"/>
      <c r="M47" s="16"/>
      <c r="N47" s="16"/>
      <c r="O47" s="16"/>
      <c r="P47" s="16"/>
    </row>
    <row r="48" spans="2:16">
      <c r="E48" s="14"/>
      <c r="F48" s="15"/>
      <c r="G48" s="15"/>
      <c r="H48" s="15"/>
      <c r="I48" s="15"/>
      <c r="J48" s="27"/>
      <c r="L48" s="14"/>
      <c r="M48" s="14"/>
      <c r="N48" s="14"/>
      <c r="O48" s="14"/>
      <c r="P48" s="14"/>
    </row>
    <row r="49" spans="2:16">
      <c r="B49" s="3">
        <v>282</v>
      </c>
      <c r="C49" s="3" t="s">
        <v>90</v>
      </c>
      <c r="D49" s="3" t="s">
        <v>71</v>
      </c>
      <c r="E49" s="14"/>
      <c r="F49" s="15"/>
      <c r="G49" s="15">
        <v>2044109.93</v>
      </c>
      <c r="H49" s="15">
        <v>2450386.08</v>
      </c>
      <c r="I49" s="15">
        <f t="shared" si="5"/>
        <v>2044109.93</v>
      </c>
      <c r="J49" s="27"/>
      <c r="L49" s="14"/>
      <c r="M49" s="14"/>
      <c r="N49" s="14"/>
      <c r="O49" s="14"/>
      <c r="P49" s="14"/>
    </row>
    <row r="50" spans="2:16">
      <c r="B50" s="3">
        <v>283</v>
      </c>
      <c r="C50" s="3" t="s">
        <v>90</v>
      </c>
      <c r="D50" s="3" t="s">
        <v>71</v>
      </c>
      <c r="E50" s="14"/>
      <c r="F50" s="15"/>
      <c r="G50" s="15">
        <v>97158.31</v>
      </c>
      <c r="H50" s="15">
        <v>116468.97</v>
      </c>
      <c r="I50" s="15">
        <f t="shared" si="5"/>
        <v>97158.31</v>
      </c>
      <c r="J50" s="27"/>
      <c r="L50" s="14"/>
      <c r="M50" s="14"/>
      <c r="N50" s="14"/>
      <c r="O50" s="14"/>
      <c r="P50" s="14"/>
    </row>
    <row r="51" spans="2:16">
      <c r="B51" s="3">
        <v>190</v>
      </c>
      <c r="C51" s="3" t="s">
        <v>90</v>
      </c>
      <c r="D51" s="3" t="s">
        <v>20</v>
      </c>
      <c r="E51" s="14">
        <v>132.16999999999825</v>
      </c>
      <c r="F51" s="15">
        <v>70205.569999999992</v>
      </c>
      <c r="G51" s="15">
        <v>0</v>
      </c>
      <c r="H51" s="15">
        <v>132.16999999999999</v>
      </c>
      <c r="I51" s="18">
        <f t="shared" si="5"/>
        <v>0</v>
      </c>
      <c r="J51" s="27"/>
      <c r="L51" s="14"/>
      <c r="M51" s="14"/>
      <c r="N51" s="14"/>
      <c r="O51" s="14"/>
      <c r="P51" s="19"/>
    </row>
    <row r="52" spans="2:16">
      <c r="B52" s="3">
        <v>190</v>
      </c>
      <c r="C52" s="3" t="s">
        <v>90</v>
      </c>
      <c r="D52" s="3" t="s">
        <v>20</v>
      </c>
      <c r="E52" s="14"/>
      <c r="F52" s="15"/>
      <c r="G52" s="15">
        <v>34052.94</v>
      </c>
      <c r="H52" s="15">
        <v>37305.4</v>
      </c>
      <c r="I52" s="15">
        <f t="shared" si="5"/>
        <v>34052.94</v>
      </c>
      <c r="J52" s="27"/>
      <c r="L52" s="14"/>
      <c r="M52" s="14"/>
      <c r="N52" s="14"/>
      <c r="O52" s="14"/>
      <c r="P52" s="14"/>
    </row>
    <row r="53" spans="2:16">
      <c r="B53" s="9"/>
      <c r="C53" s="9" t="s">
        <v>90</v>
      </c>
      <c r="D53" s="9" t="s">
        <v>93</v>
      </c>
      <c r="E53" s="16">
        <f>SUM(E49:E52)</f>
        <v>132.16999999999825</v>
      </c>
      <c r="F53" s="17">
        <f t="shared" ref="F53:I53" si="7">SUM(F49:F52)</f>
        <v>70205.569999999992</v>
      </c>
      <c r="G53" s="17">
        <f t="shared" si="7"/>
        <v>2175321.1799999997</v>
      </c>
      <c r="H53" s="17">
        <f t="shared" si="7"/>
        <v>2604292.62</v>
      </c>
      <c r="I53" s="17">
        <f t="shared" si="7"/>
        <v>2175321.1799999997</v>
      </c>
      <c r="J53" s="28"/>
      <c r="K53" s="9"/>
      <c r="L53" s="16"/>
      <c r="M53" s="16"/>
      <c r="N53" s="16"/>
      <c r="O53" s="16"/>
      <c r="P53" s="16"/>
    </row>
    <row r="54" spans="2:16">
      <c r="E54" s="14"/>
      <c r="F54" s="14"/>
      <c r="G54" s="14"/>
      <c r="H54" s="14"/>
      <c r="I54" s="14"/>
      <c r="L54" s="14"/>
      <c r="M54" s="14"/>
      <c r="N54" s="14"/>
      <c r="O54" s="14"/>
      <c r="P54" s="14"/>
    </row>
    <row r="55" spans="2:16">
      <c r="B55" s="3">
        <v>190</v>
      </c>
      <c r="C55" s="3" t="s">
        <v>89</v>
      </c>
      <c r="D55" s="3" t="s">
        <v>53</v>
      </c>
      <c r="E55" s="14">
        <v>-214324</v>
      </c>
      <c r="F55" s="14">
        <v>-214324</v>
      </c>
      <c r="G55" s="14">
        <v>-214324</v>
      </c>
      <c r="H55" s="14">
        <v>-214324</v>
      </c>
      <c r="I55" s="14">
        <f t="shared" si="5"/>
        <v>-214324</v>
      </c>
      <c r="L55" s="14"/>
      <c r="M55" s="14"/>
      <c r="N55" s="14"/>
      <c r="O55" s="14"/>
      <c r="P55" s="14"/>
    </row>
    <row r="56" spans="2:16">
      <c r="B56" s="3">
        <v>283</v>
      </c>
      <c r="C56" s="3" t="s">
        <v>89</v>
      </c>
      <c r="D56" s="3" t="s">
        <v>69</v>
      </c>
      <c r="E56" s="14">
        <v>-2715510.42</v>
      </c>
      <c r="F56" s="14">
        <v>-2677768.42</v>
      </c>
      <c r="G56" s="14">
        <v>-2677768.42</v>
      </c>
      <c r="H56" s="14">
        <v>-2677768.42</v>
      </c>
      <c r="I56" s="14">
        <f t="shared" si="5"/>
        <v>-2677768.42</v>
      </c>
      <c r="L56" s="14"/>
      <c r="M56" s="14"/>
      <c r="N56" s="14"/>
      <c r="O56" s="14"/>
      <c r="P56" s="14"/>
    </row>
    <row r="57" spans="2:16">
      <c r="B57" s="3">
        <v>190</v>
      </c>
      <c r="C57" s="3" t="s">
        <v>89</v>
      </c>
      <c r="D57" s="3" t="s">
        <v>54</v>
      </c>
      <c r="E57" s="14">
        <v>101756.97</v>
      </c>
      <c r="F57" s="14">
        <v>-290606.03000000003</v>
      </c>
      <c r="G57" s="14">
        <v>-785972.03</v>
      </c>
      <c r="H57" s="14">
        <v>-785972.03</v>
      </c>
      <c r="I57" s="14">
        <f t="shared" si="5"/>
        <v>-785972.03</v>
      </c>
      <c r="L57" s="14"/>
      <c r="M57" s="14"/>
      <c r="N57" s="14"/>
      <c r="O57" s="14"/>
      <c r="P57" s="14"/>
    </row>
    <row r="58" spans="2:16">
      <c r="B58" s="3">
        <v>190</v>
      </c>
      <c r="C58" s="3" t="s">
        <v>89</v>
      </c>
      <c r="D58" s="3" t="s">
        <v>49</v>
      </c>
      <c r="E58" s="14">
        <v>-33592.92</v>
      </c>
      <c r="F58" s="14">
        <v>-37533.919999999998</v>
      </c>
      <c r="G58" s="14">
        <v>-35185.919999999998</v>
      </c>
      <c r="H58" s="14">
        <v>-35185.919999999998</v>
      </c>
      <c r="I58" s="14">
        <f t="shared" si="5"/>
        <v>-35185.919999999998</v>
      </c>
      <c r="L58" s="14"/>
      <c r="M58" s="14"/>
      <c r="N58" s="14"/>
      <c r="O58" s="14"/>
      <c r="P58" s="14"/>
    </row>
    <row r="59" spans="2:16">
      <c r="B59" s="3">
        <v>190</v>
      </c>
      <c r="C59" s="3" t="s">
        <v>89</v>
      </c>
      <c r="D59" s="3" t="s">
        <v>45</v>
      </c>
      <c r="E59" s="14">
        <v>-19679.440000000002</v>
      </c>
      <c r="F59" s="14">
        <v>-21230.440000000002</v>
      </c>
      <c r="G59" s="14">
        <v>-22120.440000000002</v>
      </c>
      <c r="H59" s="14">
        <v>-22120.440000000002</v>
      </c>
      <c r="I59" s="14">
        <f t="shared" si="5"/>
        <v>-22120.440000000002</v>
      </c>
      <c r="L59" s="14"/>
      <c r="M59" s="14"/>
      <c r="N59" s="14"/>
      <c r="O59" s="14"/>
      <c r="P59" s="14"/>
    </row>
    <row r="60" spans="2:16">
      <c r="B60" s="3">
        <v>190</v>
      </c>
      <c r="C60" s="3" t="s">
        <v>89</v>
      </c>
      <c r="D60" s="3" t="s">
        <v>64</v>
      </c>
      <c r="E60" s="14">
        <v>3096982.3200000003</v>
      </c>
      <c r="F60" s="14">
        <v>1546355.32</v>
      </c>
      <c r="G60" s="14">
        <v>1712362.32</v>
      </c>
      <c r="H60" s="14">
        <v>1532494.32</v>
      </c>
      <c r="I60" s="14">
        <f t="shared" si="5"/>
        <v>1712362.32</v>
      </c>
      <c r="L60" s="14"/>
      <c r="M60" s="14"/>
      <c r="N60" s="14"/>
      <c r="O60" s="14"/>
      <c r="P60" s="14"/>
    </row>
    <row r="61" spans="2:16">
      <c r="B61" s="3">
        <v>190</v>
      </c>
      <c r="C61" s="3" t="s">
        <v>89</v>
      </c>
      <c r="D61" s="3" t="s">
        <v>44</v>
      </c>
      <c r="E61" s="14">
        <v>127807.70000000001</v>
      </c>
      <c r="F61" s="14">
        <v>63898.700000000004</v>
      </c>
      <c r="G61" s="14">
        <v>63898.700000000004</v>
      </c>
      <c r="H61" s="14">
        <v>63898.700000000004</v>
      </c>
      <c r="I61" s="14">
        <f t="shared" si="5"/>
        <v>63898.700000000004</v>
      </c>
      <c r="L61" s="14"/>
      <c r="M61" s="14"/>
      <c r="N61" s="14"/>
      <c r="O61" s="14"/>
      <c r="P61" s="14"/>
    </row>
    <row r="62" spans="2:16">
      <c r="B62" s="3">
        <v>190</v>
      </c>
      <c r="C62" s="3" t="s">
        <v>89</v>
      </c>
      <c r="D62" s="3" t="s">
        <v>61</v>
      </c>
      <c r="E62" s="14"/>
      <c r="F62" s="14"/>
      <c r="G62" s="14">
        <v>43725</v>
      </c>
      <c r="H62" s="14">
        <v>43725</v>
      </c>
      <c r="I62" s="14">
        <f t="shared" si="5"/>
        <v>43725</v>
      </c>
      <c r="L62" s="14"/>
      <c r="M62" s="14"/>
      <c r="N62" s="14"/>
      <c r="O62" s="14"/>
      <c r="P62" s="14"/>
    </row>
    <row r="63" spans="2:16">
      <c r="B63" s="3">
        <v>190</v>
      </c>
      <c r="C63" s="3" t="s">
        <v>89</v>
      </c>
      <c r="D63" s="3" t="s">
        <v>31</v>
      </c>
      <c r="E63" s="14">
        <v>576926.03</v>
      </c>
      <c r="F63" s="14">
        <v>610367.03</v>
      </c>
      <c r="G63" s="14">
        <v>400867.02999999997</v>
      </c>
      <c r="H63" s="14">
        <v>400867.02999999997</v>
      </c>
      <c r="I63" s="14">
        <f t="shared" si="5"/>
        <v>400867.02999999997</v>
      </c>
      <c r="L63" s="14"/>
      <c r="M63" s="14"/>
      <c r="N63" s="14"/>
      <c r="O63" s="14"/>
      <c r="P63" s="14"/>
    </row>
    <row r="64" spans="2:16">
      <c r="B64" s="3">
        <v>190</v>
      </c>
      <c r="C64" s="3" t="s">
        <v>89</v>
      </c>
      <c r="D64" s="3" t="s">
        <v>50</v>
      </c>
      <c r="E64" s="14">
        <v>0</v>
      </c>
      <c r="F64" s="14">
        <v>0</v>
      </c>
      <c r="G64" s="14">
        <v>-6110</v>
      </c>
      <c r="H64" s="14">
        <v>-6110</v>
      </c>
      <c r="I64" s="14">
        <f t="shared" si="5"/>
        <v>-6110</v>
      </c>
      <c r="L64" s="14"/>
      <c r="M64" s="14"/>
      <c r="N64" s="14"/>
      <c r="O64" s="14"/>
      <c r="P64" s="14"/>
    </row>
    <row r="65" spans="2:16">
      <c r="B65" s="3">
        <v>283</v>
      </c>
      <c r="C65" s="3" t="s">
        <v>89</v>
      </c>
      <c r="D65" s="3" t="s">
        <v>50</v>
      </c>
      <c r="E65" s="14">
        <v>-142623.62</v>
      </c>
      <c r="F65" s="14">
        <v>-140234.93</v>
      </c>
      <c r="G65" s="14">
        <v>-144223.66</v>
      </c>
      <c r="H65" s="14">
        <v>-142798.53</v>
      </c>
      <c r="I65" s="14">
        <f t="shared" si="5"/>
        <v>-144223.66</v>
      </c>
      <c r="L65" s="14"/>
      <c r="M65" s="14"/>
      <c r="N65" s="14"/>
      <c r="O65" s="14"/>
      <c r="P65" s="14"/>
    </row>
    <row r="66" spans="2:16">
      <c r="B66" s="3">
        <v>190</v>
      </c>
      <c r="C66" s="3" t="s">
        <v>89</v>
      </c>
      <c r="D66" s="3" t="s">
        <v>48</v>
      </c>
      <c r="E66" s="14">
        <v>-128532.07</v>
      </c>
      <c r="F66" s="14">
        <v>-128532.07</v>
      </c>
      <c r="G66" s="14">
        <v>-128532.07</v>
      </c>
      <c r="H66" s="14">
        <v>-128532.07</v>
      </c>
      <c r="I66" s="14">
        <f t="shared" si="5"/>
        <v>-128532.07</v>
      </c>
      <c r="L66" s="14"/>
      <c r="M66" s="14"/>
      <c r="N66" s="14"/>
      <c r="O66" s="14"/>
      <c r="P66" s="14"/>
    </row>
    <row r="67" spans="2:16">
      <c r="B67" s="3">
        <v>190</v>
      </c>
      <c r="C67" s="3" t="s">
        <v>89</v>
      </c>
      <c r="D67" s="3" t="s">
        <v>42</v>
      </c>
      <c r="E67" s="14">
        <v>-294451.99</v>
      </c>
      <c r="F67" s="14">
        <v>-294451.99</v>
      </c>
      <c r="G67" s="14">
        <v>-294451.99</v>
      </c>
      <c r="H67" s="14">
        <v>-294451.99</v>
      </c>
      <c r="I67" s="14">
        <f>+G67+11000-5000</f>
        <v>-288451.99</v>
      </c>
      <c r="L67" s="14"/>
      <c r="M67" s="14"/>
      <c r="N67" s="14"/>
      <c r="O67" s="14"/>
      <c r="P67" s="14"/>
    </row>
    <row r="68" spans="2:16">
      <c r="B68" s="3">
        <v>190</v>
      </c>
      <c r="C68" s="3" t="s">
        <v>89</v>
      </c>
      <c r="D68" s="3" t="s">
        <v>62</v>
      </c>
      <c r="E68" s="14"/>
      <c r="F68" s="14"/>
      <c r="G68" s="14">
        <v>579653</v>
      </c>
      <c r="H68" s="14">
        <v>579653</v>
      </c>
      <c r="I68" s="14">
        <f>+G68</f>
        <v>579653</v>
      </c>
      <c r="L68" s="14"/>
      <c r="M68" s="14"/>
      <c r="N68" s="14"/>
      <c r="O68" s="14"/>
      <c r="P68" s="14"/>
    </row>
    <row r="69" spans="2:16">
      <c r="B69" s="3">
        <v>190</v>
      </c>
      <c r="C69" s="3" t="s">
        <v>89</v>
      </c>
      <c r="D69" s="3" t="s">
        <v>55</v>
      </c>
      <c r="E69" s="14">
        <v>72033.84</v>
      </c>
      <c r="F69" s="14">
        <v>0.83999999999832653</v>
      </c>
      <c r="G69" s="14">
        <v>0.83999999999832653</v>
      </c>
      <c r="H69" s="14">
        <v>0.83999999999832653</v>
      </c>
      <c r="I69" s="14">
        <f>+G69</f>
        <v>0.83999999999832653</v>
      </c>
      <c r="L69" s="14"/>
      <c r="M69" s="14"/>
      <c r="N69" s="14"/>
      <c r="O69" s="14"/>
      <c r="P69" s="14"/>
    </row>
    <row r="70" spans="2:16">
      <c r="B70" s="3">
        <v>190</v>
      </c>
      <c r="C70" s="3" t="s">
        <v>89</v>
      </c>
      <c r="D70" s="3" t="s">
        <v>37</v>
      </c>
      <c r="E70" s="14">
        <v>-216774.66999999998</v>
      </c>
      <c r="F70" s="14">
        <v>-304763.33999999997</v>
      </c>
      <c r="G70" s="14">
        <v>-396779.91999999993</v>
      </c>
      <c r="H70" s="14">
        <v>-404792.69999999995</v>
      </c>
      <c r="I70" s="14">
        <f>+G70-4663-3350</f>
        <v>-404792.91999999993</v>
      </c>
      <c r="L70" s="14"/>
      <c r="M70" s="14"/>
      <c r="N70" s="14"/>
      <c r="O70" s="14"/>
      <c r="P70" s="14"/>
    </row>
    <row r="71" spans="2:16">
      <c r="B71" s="3">
        <v>190</v>
      </c>
      <c r="C71" s="3" t="s">
        <v>89</v>
      </c>
      <c r="D71" s="3" t="s">
        <v>40</v>
      </c>
      <c r="E71" s="14">
        <v>116438.06</v>
      </c>
      <c r="F71" s="14">
        <v>78966.06</v>
      </c>
      <c r="G71" s="14">
        <v>70098.06</v>
      </c>
      <c r="H71" s="14">
        <v>70098.06</v>
      </c>
      <c r="I71" s="14">
        <f>+G71</f>
        <v>70098.06</v>
      </c>
      <c r="L71" s="14"/>
      <c r="M71" s="14"/>
      <c r="N71" s="14"/>
      <c r="O71" s="14"/>
      <c r="P71" s="14"/>
    </row>
    <row r="72" spans="2:16">
      <c r="B72" s="3">
        <v>190</v>
      </c>
      <c r="C72" s="3" t="s">
        <v>89</v>
      </c>
      <c r="D72" s="3" t="s">
        <v>30</v>
      </c>
      <c r="E72" s="14">
        <v>-80547.399999999994</v>
      </c>
      <c r="F72" s="14">
        <v>-80547.399999999994</v>
      </c>
      <c r="G72" s="14">
        <v>-80547.399999999994</v>
      </c>
      <c r="H72" s="14">
        <v>-80547.399999999994</v>
      </c>
      <c r="I72" s="14">
        <f>+G72</f>
        <v>-80547.399999999994</v>
      </c>
      <c r="L72" s="14"/>
      <c r="M72" s="14"/>
      <c r="N72" s="14"/>
      <c r="O72" s="14"/>
      <c r="P72" s="14"/>
    </row>
    <row r="73" spans="2:16">
      <c r="B73" s="3">
        <v>190</v>
      </c>
      <c r="C73" s="3" t="s">
        <v>89</v>
      </c>
      <c r="D73" s="3" t="s">
        <v>8</v>
      </c>
      <c r="E73" s="14">
        <v>192584</v>
      </c>
      <c r="F73" s="14">
        <v>192584</v>
      </c>
      <c r="G73" s="14">
        <v>192584</v>
      </c>
      <c r="H73" s="14">
        <v>192584</v>
      </c>
      <c r="I73" s="14">
        <f>+G73</f>
        <v>192584</v>
      </c>
      <c r="L73" s="14"/>
      <c r="M73" s="14"/>
      <c r="N73" s="14"/>
      <c r="O73" s="14"/>
      <c r="P73" s="14"/>
    </row>
    <row r="74" spans="2:16">
      <c r="B74" s="3">
        <v>190</v>
      </c>
      <c r="C74" s="3" t="s">
        <v>89</v>
      </c>
      <c r="D74" s="3" t="s">
        <v>36</v>
      </c>
      <c r="E74" s="14">
        <v>-1.8400000000006003</v>
      </c>
      <c r="F74" s="14">
        <v>-1.8400000000006003</v>
      </c>
      <c r="G74" s="14">
        <v>-1.8400000000006003</v>
      </c>
      <c r="H74" s="14">
        <v>-1.8400000000006003</v>
      </c>
      <c r="I74" s="14">
        <f>+G74</f>
        <v>-1.8400000000006003</v>
      </c>
      <c r="L74" s="14"/>
      <c r="M74" s="14"/>
      <c r="N74" s="14"/>
      <c r="O74" s="14"/>
      <c r="P74" s="14"/>
    </row>
    <row r="75" spans="2:16">
      <c r="B75" s="3">
        <v>190</v>
      </c>
      <c r="C75" s="3" t="s">
        <v>89</v>
      </c>
      <c r="D75" s="3" t="s">
        <v>19</v>
      </c>
      <c r="E75" s="14">
        <v>1579994.11</v>
      </c>
      <c r="F75" s="14">
        <v>-604550.28</v>
      </c>
      <c r="G75" s="14">
        <v>-578513.53</v>
      </c>
      <c r="H75" s="14">
        <v>-832204.83000000007</v>
      </c>
      <c r="I75" s="19">
        <f>+G75-456776</f>
        <v>-1035289.53</v>
      </c>
      <c r="L75" s="14"/>
      <c r="M75" s="14"/>
      <c r="N75" s="14"/>
      <c r="O75" s="14"/>
      <c r="P75" s="19"/>
    </row>
    <row r="76" spans="2:16">
      <c r="B76" s="3">
        <v>190</v>
      </c>
      <c r="C76" s="3" t="s">
        <v>89</v>
      </c>
      <c r="D76" s="3" t="s">
        <v>43</v>
      </c>
      <c r="E76" s="14">
        <v>-38071.61</v>
      </c>
      <c r="F76" s="14">
        <v>-38707.61</v>
      </c>
      <c r="G76" s="14">
        <v>-39325.61</v>
      </c>
      <c r="H76" s="14">
        <v>-39325.61</v>
      </c>
      <c r="I76" s="14">
        <f>+G76</f>
        <v>-39325.61</v>
      </c>
      <c r="L76" s="14"/>
      <c r="M76" s="14"/>
      <c r="N76" s="14"/>
      <c r="O76" s="14"/>
      <c r="P76" s="14"/>
    </row>
    <row r="77" spans="2:16">
      <c r="B77" s="9"/>
      <c r="C77" s="9" t="s">
        <v>89</v>
      </c>
      <c r="D77" s="9" t="s">
        <v>93</v>
      </c>
      <c r="E77" s="16">
        <f>SUM(E55:E76)</f>
        <v>1980413.0500000007</v>
      </c>
      <c r="F77" s="16">
        <f t="shared" ref="F77:I77" si="8">SUM(F55:F76)</f>
        <v>-2341080.3199999998</v>
      </c>
      <c r="G77" s="16">
        <f t="shared" si="8"/>
        <v>-2340667.8799999994</v>
      </c>
      <c r="H77" s="16">
        <f t="shared" si="8"/>
        <v>-2780814.8299999996</v>
      </c>
      <c r="I77" s="16">
        <f t="shared" si="8"/>
        <v>-2799456.8799999994</v>
      </c>
      <c r="J77" s="30"/>
      <c r="K77" s="9"/>
      <c r="L77" s="16"/>
      <c r="M77" s="16"/>
      <c r="N77" s="16"/>
      <c r="O77" s="16"/>
      <c r="P77" s="16"/>
    </row>
    <row r="78" spans="2:16">
      <c r="E78" s="14"/>
      <c r="F78" s="14"/>
      <c r="G78" s="14"/>
      <c r="H78" s="14"/>
      <c r="I78" s="14"/>
      <c r="L78" s="14"/>
      <c r="M78" s="14"/>
      <c r="N78" s="14"/>
      <c r="O78" s="14"/>
      <c r="P78" s="14"/>
    </row>
    <row r="79" spans="2:16">
      <c r="B79" s="3">
        <v>282</v>
      </c>
      <c r="C79" s="3" t="s">
        <v>84</v>
      </c>
      <c r="D79" s="3" t="s">
        <v>77</v>
      </c>
      <c r="E79" s="14">
        <v>9238616</v>
      </c>
      <c r="F79" s="14">
        <v>20119618.460000001</v>
      </c>
      <c r="G79" s="18">
        <v>21392222.25</v>
      </c>
      <c r="H79" s="18">
        <v>22804006.23</v>
      </c>
      <c r="I79" s="19"/>
      <c r="J79" s="23" t="s">
        <v>101</v>
      </c>
      <c r="K79" s="3">
        <v>1959</v>
      </c>
      <c r="L79" s="14">
        <f t="shared" ref="L79:P90" si="9">+ROUND((E79/$P$4),2)</f>
        <v>23949749.84</v>
      </c>
      <c r="M79" s="14">
        <f t="shared" si="9"/>
        <v>52157144.420000002</v>
      </c>
      <c r="N79" s="14">
        <f t="shared" si="9"/>
        <v>55456182.109999999</v>
      </c>
      <c r="O79" s="14">
        <f t="shared" si="9"/>
        <v>59116023.93</v>
      </c>
      <c r="P79" s="14">
        <f t="shared" si="9"/>
        <v>0</v>
      </c>
    </row>
    <row r="80" spans="2:16">
      <c r="B80" s="3">
        <v>282</v>
      </c>
      <c r="C80" s="3" t="s">
        <v>84</v>
      </c>
      <c r="D80" s="3" t="s">
        <v>75</v>
      </c>
      <c r="E80" s="14">
        <v>-16039552</v>
      </c>
      <c r="F80" s="14">
        <v>-15096478.93</v>
      </c>
      <c r="G80" s="18">
        <v>-13685044.6</v>
      </c>
      <c r="H80" s="18">
        <v>-12676774.059999999</v>
      </c>
      <c r="I80" s="19"/>
      <c r="J80" s="23" t="s">
        <v>101</v>
      </c>
      <c r="K80" s="3">
        <v>1953</v>
      </c>
      <c r="L80" s="14">
        <f t="shared" si="9"/>
        <v>-41580173.689999998</v>
      </c>
      <c r="M80" s="14">
        <f t="shared" si="9"/>
        <v>-39135395.799999997</v>
      </c>
      <c r="N80" s="14">
        <f t="shared" si="9"/>
        <v>-35476460.399999999</v>
      </c>
      <c r="O80" s="14">
        <f t="shared" si="9"/>
        <v>-32862667.690000001</v>
      </c>
      <c r="P80" s="14">
        <f t="shared" si="9"/>
        <v>0</v>
      </c>
    </row>
    <row r="81" spans="2:16">
      <c r="B81" s="3">
        <v>281</v>
      </c>
      <c r="C81" s="3" t="s">
        <v>84</v>
      </c>
      <c r="D81" s="3" t="s">
        <v>72</v>
      </c>
      <c r="E81" s="14">
        <v>-1904186</v>
      </c>
      <c r="F81" s="14">
        <v>-27685733.93</v>
      </c>
      <c r="G81" s="18">
        <v>-57375560.789999999</v>
      </c>
      <c r="H81" s="18">
        <v>-68067906.929999992</v>
      </c>
      <c r="I81" s="19"/>
      <c r="J81" s="23" t="s">
        <v>101</v>
      </c>
      <c r="K81" s="3">
        <v>1953</v>
      </c>
      <c r="L81" s="14">
        <f t="shared" si="9"/>
        <v>-4936321.45</v>
      </c>
      <c r="M81" s="14">
        <f t="shared" si="9"/>
        <v>-71771183.230000004</v>
      </c>
      <c r="N81" s="15">
        <f t="shared" si="9"/>
        <v>-148737681.88999999</v>
      </c>
      <c r="O81" s="15">
        <f t="shared" si="9"/>
        <v>-176456012.78</v>
      </c>
      <c r="P81" s="14">
        <f t="shared" si="9"/>
        <v>0</v>
      </c>
    </row>
    <row r="82" spans="2:16">
      <c r="B82" s="3">
        <v>282</v>
      </c>
      <c r="C82" s="3" t="s">
        <v>84</v>
      </c>
      <c r="D82" s="3" t="s">
        <v>72</v>
      </c>
      <c r="E82" s="14">
        <v>-334670400</v>
      </c>
      <c r="F82" s="14">
        <v>-348543862.88</v>
      </c>
      <c r="G82" s="18">
        <f>-408177281.34-10779647.39</f>
        <v>-418956928.72999996</v>
      </c>
      <c r="H82" s="18">
        <f>-439061627.1-8401176</f>
        <v>-447462803.10000002</v>
      </c>
      <c r="I82" s="19"/>
      <c r="J82" s="23" t="s">
        <v>101</v>
      </c>
      <c r="K82" s="3">
        <v>1953</v>
      </c>
      <c r="L82" s="14">
        <f t="shared" si="9"/>
        <v>-867583668.17999995</v>
      </c>
      <c r="M82" s="14">
        <f t="shared" si="9"/>
        <v>-903548575.19000006</v>
      </c>
      <c r="N82" s="15">
        <f t="shared" si="9"/>
        <v>-1086084066.7</v>
      </c>
      <c r="O82" s="15">
        <f t="shared" si="9"/>
        <v>-1159981343.0999999</v>
      </c>
      <c r="P82" s="14">
        <f t="shared" si="9"/>
        <v>0</v>
      </c>
    </row>
    <row r="83" spans="2:16">
      <c r="B83" s="3">
        <v>282</v>
      </c>
      <c r="C83" s="3" t="s">
        <v>84</v>
      </c>
      <c r="D83" s="3" t="s">
        <v>78</v>
      </c>
      <c r="E83" s="14">
        <v>3728264.28</v>
      </c>
      <c r="F83" s="14">
        <v>-686607.72000000009</v>
      </c>
      <c r="G83" s="18">
        <v>4789149.05</v>
      </c>
      <c r="H83" s="18">
        <v>4789149.05</v>
      </c>
      <c r="I83" s="19"/>
      <c r="J83" s="23" t="s">
        <v>101</v>
      </c>
      <c r="K83" s="3">
        <v>2004</v>
      </c>
      <c r="L83" s="14">
        <f t="shared" si="9"/>
        <v>9664975.4499999993</v>
      </c>
      <c r="M83" s="14">
        <f t="shared" si="9"/>
        <v>-1779929.28</v>
      </c>
      <c r="N83" s="15">
        <f t="shared" si="9"/>
        <v>12415162.800000001</v>
      </c>
      <c r="O83" s="15">
        <f t="shared" si="9"/>
        <v>12415162.800000001</v>
      </c>
      <c r="P83" s="14">
        <f t="shared" si="9"/>
        <v>0</v>
      </c>
    </row>
    <row r="84" spans="2:16">
      <c r="B84" s="3">
        <v>282</v>
      </c>
      <c r="C84" s="3" t="s">
        <v>84</v>
      </c>
      <c r="D84" s="3" t="s">
        <v>74</v>
      </c>
      <c r="E84" s="14">
        <v>65335010</v>
      </c>
      <c r="F84" s="14">
        <v>71073077.219999999</v>
      </c>
      <c r="G84" s="18">
        <v>75100828.140000001</v>
      </c>
      <c r="H84" s="18">
        <v>75564542.099999994</v>
      </c>
      <c r="I84" s="19"/>
      <c r="J84" s="23" t="s">
        <v>101</v>
      </c>
      <c r="K84" s="3">
        <v>1953</v>
      </c>
      <c r="L84" s="14">
        <f t="shared" si="9"/>
        <v>169371380.43000001</v>
      </c>
      <c r="M84" s="14">
        <f t="shared" si="9"/>
        <v>184246473.66999999</v>
      </c>
      <c r="N84" s="14">
        <f t="shared" si="9"/>
        <v>194687824.08000001</v>
      </c>
      <c r="O84" s="14">
        <f t="shared" si="9"/>
        <v>195889934.15000001</v>
      </c>
      <c r="P84" s="14">
        <f t="shared" si="9"/>
        <v>0</v>
      </c>
    </row>
    <row r="85" spans="2:16">
      <c r="B85" s="3">
        <v>282</v>
      </c>
      <c r="C85" s="3" t="s">
        <v>84</v>
      </c>
      <c r="D85" s="3" t="s">
        <v>76</v>
      </c>
      <c r="E85" s="14">
        <v>6940053</v>
      </c>
      <c r="F85" s="14">
        <v>5948574</v>
      </c>
      <c r="G85" s="18">
        <v>4957095</v>
      </c>
      <c r="H85" s="18">
        <v>5780590.9800000004</v>
      </c>
      <c r="I85" s="19"/>
      <c r="J85" s="23" t="s">
        <v>101</v>
      </c>
      <c r="K85" s="3">
        <v>1953</v>
      </c>
      <c r="L85" s="14">
        <f t="shared" si="9"/>
        <v>17991064.16</v>
      </c>
      <c r="M85" s="14">
        <f t="shared" si="9"/>
        <v>15420801.039999999</v>
      </c>
      <c r="N85" s="14">
        <f t="shared" si="9"/>
        <v>12850537.91</v>
      </c>
      <c r="O85" s="14">
        <f t="shared" si="9"/>
        <v>14985329.83</v>
      </c>
      <c r="P85" s="14">
        <f t="shared" si="9"/>
        <v>0</v>
      </c>
    </row>
    <row r="86" spans="2:16">
      <c r="B86" s="3">
        <v>283</v>
      </c>
      <c r="C86" s="3" t="s">
        <v>84</v>
      </c>
      <c r="D86" s="3" t="s">
        <v>70</v>
      </c>
      <c r="E86" s="14"/>
      <c r="F86" s="14"/>
      <c r="G86" s="18">
        <v>-4874145</v>
      </c>
      <c r="H86" s="18">
        <v>-4874145</v>
      </c>
      <c r="I86" s="19"/>
      <c r="J86" s="23" t="s">
        <v>101</v>
      </c>
      <c r="K86" s="3">
        <v>2010</v>
      </c>
      <c r="L86" s="14">
        <f t="shared" si="9"/>
        <v>0</v>
      </c>
      <c r="M86" s="14">
        <f t="shared" si="9"/>
        <v>0</v>
      </c>
      <c r="N86" s="14">
        <f t="shared" si="9"/>
        <v>-12635502.27</v>
      </c>
      <c r="O86" s="14">
        <f t="shared" si="9"/>
        <v>-12635502.27</v>
      </c>
      <c r="P86" s="14">
        <f t="shared" si="9"/>
        <v>0</v>
      </c>
    </row>
    <row r="87" spans="2:16">
      <c r="B87" s="3">
        <v>190</v>
      </c>
      <c r="C87" s="3" t="s">
        <v>84</v>
      </c>
      <c r="D87" s="3" t="s">
        <v>13</v>
      </c>
      <c r="E87" s="14">
        <v>121438.97</v>
      </c>
      <c r="F87" s="14">
        <v>1310493.76</v>
      </c>
      <c r="G87" s="18">
        <v>2719971.1</v>
      </c>
      <c r="H87" s="18">
        <v>3226443.4</v>
      </c>
      <c r="I87" s="19"/>
      <c r="L87" s="14"/>
      <c r="M87" s="14"/>
      <c r="N87" s="14"/>
      <c r="O87" s="14"/>
      <c r="P87" s="19"/>
    </row>
    <row r="88" spans="2:16">
      <c r="B88" s="3">
        <v>190</v>
      </c>
      <c r="C88" s="3" t="s">
        <v>84</v>
      </c>
      <c r="D88" s="3" t="s">
        <v>18</v>
      </c>
      <c r="E88" s="14">
        <v>-543709.12</v>
      </c>
      <c r="F88" s="14">
        <v>-1507130.01</v>
      </c>
      <c r="G88" s="18">
        <v>-4226988.87</v>
      </c>
      <c r="H88" s="18">
        <v>-5327443.1100000003</v>
      </c>
      <c r="I88" s="19"/>
      <c r="J88" s="23" t="s">
        <v>101</v>
      </c>
      <c r="K88" s="3">
        <v>1959</v>
      </c>
      <c r="L88" s="14">
        <f t="shared" si="9"/>
        <v>-1409485.73</v>
      </c>
      <c r="M88" s="14">
        <f t="shared" si="9"/>
        <v>-3907012.34</v>
      </c>
      <c r="N88" s="14">
        <f t="shared" si="9"/>
        <v>-10957845.42</v>
      </c>
      <c r="O88" s="14">
        <f t="shared" si="9"/>
        <v>-13810610.779999999</v>
      </c>
      <c r="P88" s="14">
        <f t="shared" si="9"/>
        <v>0</v>
      </c>
    </row>
    <row r="89" spans="2:16">
      <c r="B89" s="3">
        <v>190</v>
      </c>
      <c r="C89" s="3" t="s">
        <v>84</v>
      </c>
      <c r="D89" s="3" t="s">
        <v>16</v>
      </c>
      <c r="E89" s="14">
        <v>940373</v>
      </c>
      <c r="F89" s="14">
        <v>922234.33</v>
      </c>
      <c r="G89" s="18">
        <v>852428.73</v>
      </c>
      <c r="H89" s="18">
        <v>793720.65</v>
      </c>
      <c r="I89" s="19"/>
      <c r="L89" s="14"/>
      <c r="M89" s="14"/>
      <c r="N89" s="14"/>
      <c r="O89" s="14"/>
      <c r="P89" s="14"/>
    </row>
    <row r="90" spans="2:16">
      <c r="B90" s="3">
        <v>190</v>
      </c>
      <c r="C90" s="3" t="s">
        <v>84</v>
      </c>
      <c r="D90" s="3" t="s">
        <v>14</v>
      </c>
      <c r="E90" s="14">
        <v>15369173.98</v>
      </c>
      <c r="F90" s="14">
        <v>16549001.65</v>
      </c>
      <c r="G90" s="18">
        <v>19772511.399999999</v>
      </c>
      <c r="H90" s="18">
        <v>21652075</v>
      </c>
      <c r="I90" s="19"/>
      <c r="J90" s="23" t="s">
        <v>101</v>
      </c>
      <c r="K90" s="3">
        <v>1953</v>
      </c>
      <c r="L90" s="14">
        <f t="shared" si="9"/>
        <v>39842317.509999998</v>
      </c>
      <c r="M90" s="14">
        <f t="shared" si="9"/>
        <v>42900846.789999999</v>
      </c>
      <c r="N90" s="14">
        <f t="shared" si="9"/>
        <v>51257320.539999999</v>
      </c>
      <c r="O90" s="14">
        <f t="shared" si="9"/>
        <v>56129812.049999997</v>
      </c>
      <c r="P90" s="14">
        <f t="shared" si="9"/>
        <v>0</v>
      </c>
    </row>
    <row r="91" spans="2:16">
      <c r="B91" s="3">
        <v>190</v>
      </c>
      <c r="C91" s="3" t="s">
        <v>84</v>
      </c>
      <c r="D91" s="3" t="s">
        <v>17</v>
      </c>
      <c r="E91" s="14">
        <v>-335684.64</v>
      </c>
      <c r="F91" s="14">
        <v>-291183.72000000003</v>
      </c>
      <c r="G91" s="18">
        <v>-246640.50000000009</v>
      </c>
      <c r="H91" s="18">
        <v>-285781.71000000008</v>
      </c>
      <c r="I91" s="19"/>
      <c r="L91" s="14"/>
      <c r="M91" s="14"/>
      <c r="N91" s="14"/>
      <c r="O91" s="14"/>
      <c r="P91" s="14"/>
    </row>
    <row r="92" spans="2:16">
      <c r="B92" s="3">
        <v>190</v>
      </c>
      <c r="C92" s="3" t="s">
        <v>84</v>
      </c>
      <c r="D92" s="3" t="s">
        <v>15</v>
      </c>
      <c r="E92" s="14">
        <v>-3092393</v>
      </c>
      <c r="F92" s="14">
        <v>-3362501.3</v>
      </c>
      <c r="G92" s="14">
        <v>-3551286.56</v>
      </c>
      <c r="H92" s="14">
        <v>-3573327.29</v>
      </c>
      <c r="I92" s="19"/>
      <c r="L92" s="14"/>
      <c r="M92" s="14"/>
      <c r="N92" s="14"/>
      <c r="O92" s="14"/>
      <c r="P92" s="14"/>
    </row>
    <row r="93" spans="2:16">
      <c r="B93" s="9"/>
      <c r="C93" s="9" t="s">
        <v>84</v>
      </c>
      <c r="D93" s="9" t="s">
        <v>93</v>
      </c>
      <c r="E93" s="16">
        <f>SUM(E79:E92)</f>
        <v>-254912995.53000003</v>
      </c>
      <c r="F93" s="16">
        <f t="shared" ref="F93:H93" si="10">SUM(F79:F92)</f>
        <v>-281250499.07000005</v>
      </c>
      <c r="G93" s="16">
        <f t="shared" si="10"/>
        <v>-373332389.37999994</v>
      </c>
      <c r="H93" s="16">
        <f t="shared" si="10"/>
        <v>-407657653.79000008</v>
      </c>
      <c r="I93" s="16">
        <f>+G93-(18685424.74+2942119.31-132913.3-11658.75)-(19397414.79+3054026.81-62956.39-572.04)-11000+5000-1000-(60095601.84+1329851.55-4461044.92+2180725.53)-(112039122.28+1386920.41-9225327.51+4000259.95)+1000+2078532.47+3076800.15</f>
        <v>-579400051.05999994</v>
      </c>
      <c r="J93" s="30"/>
      <c r="K93" s="30"/>
      <c r="L93" s="16"/>
      <c r="M93" s="16"/>
      <c r="N93" s="16"/>
      <c r="O93" s="16"/>
      <c r="P93" s="16"/>
    </row>
    <row r="94" spans="2:16">
      <c r="E94" s="14"/>
      <c r="F94" s="14"/>
      <c r="G94" s="14"/>
      <c r="H94" s="14"/>
      <c r="I94" s="14"/>
      <c r="L94" s="14"/>
      <c r="M94" s="14"/>
      <c r="N94" s="14"/>
      <c r="O94" s="14"/>
      <c r="P94" s="14"/>
    </row>
    <row r="95" spans="2:16">
      <c r="B95" s="3">
        <v>282</v>
      </c>
      <c r="C95" s="3" t="s">
        <v>85</v>
      </c>
      <c r="D95" s="3" t="s">
        <v>73</v>
      </c>
      <c r="E95" s="14">
        <v>4197957</v>
      </c>
      <c r="F95" s="14">
        <v>3677485.08</v>
      </c>
      <c r="G95" s="14">
        <v>2992394.56</v>
      </c>
      <c r="H95" s="14">
        <v>1876722.2000000007</v>
      </c>
      <c r="I95" s="14"/>
      <c r="L95" s="14"/>
      <c r="M95" s="14"/>
      <c r="N95" s="14"/>
      <c r="O95" s="14"/>
      <c r="P95" s="14"/>
    </row>
    <row r="96" spans="2:16">
      <c r="B96" s="3">
        <v>190</v>
      </c>
      <c r="C96" s="3" t="s">
        <v>85</v>
      </c>
      <c r="D96" s="3" t="s">
        <v>33</v>
      </c>
      <c r="E96" s="14">
        <v>6148965</v>
      </c>
      <c r="F96" s="14">
        <v>5424650</v>
      </c>
      <c r="G96" s="14">
        <v>4489717.8599999994</v>
      </c>
      <c r="H96" s="14">
        <v>4020435.08</v>
      </c>
      <c r="I96" s="14"/>
      <c r="J96" s="23" t="s">
        <v>98</v>
      </c>
      <c r="K96" s="3">
        <v>1993</v>
      </c>
      <c r="L96" s="14">
        <f t="shared" ref="L96:P99" si="11">+ROUND((E96/$P$4),2)</f>
        <v>15940285.16</v>
      </c>
      <c r="M96" s="14">
        <f t="shared" si="11"/>
        <v>14062605.310000001</v>
      </c>
      <c r="N96" s="14">
        <f t="shared" si="11"/>
        <v>11638931.59</v>
      </c>
      <c r="O96" s="14">
        <f t="shared" si="11"/>
        <v>10422385.17</v>
      </c>
      <c r="P96" s="14">
        <f t="shared" si="11"/>
        <v>0</v>
      </c>
    </row>
    <row r="97" spans="2:16">
      <c r="B97" s="3">
        <v>190</v>
      </c>
      <c r="C97" s="3" t="s">
        <v>85</v>
      </c>
      <c r="D97" s="3" t="s">
        <v>32</v>
      </c>
      <c r="E97" s="14">
        <v>2636324</v>
      </c>
      <c r="F97" s="14">
        <v>2309466</v>
      </c>
      <c r="G97" s="14">
        <v>1879397.8800000001</v>
      </c>
      <c r="H97" s="14">
        <v>1178923.6500000004</v>
      </c>
      <c r="I97" s="14"/>
      <c r="L97" s="14"/>
      <c r="M97" s="14"/>
      <c r="N97" s="14"/>
      <c r="O97" s="14"/>
      <c r="P97" s="14"/>
    </row>
    <row r="98" spans="2:16">
      <c r="B98" s="3">
        <v>282</v>
      </c>
      <c r="C98" s="3" t="s">
        <v>85</v>
      </c>
      <c r="D98" s="3" t="s">
        <v>65</v>
      </c>
      <c r="E98" s="14">
        <v>-14876930</v>
      </c>
      <c r="F98" s="14">
        <v>-23967074</v>
      </c>
      <c r="G98" s="14">
        <v>-26014834.039999999</v>
      </c>
      <c r="H98" s="14">
        <v>-29009896.810000002</v>
      </c>
      <c r="I98" s="19"/>
      <c r="J98" s="23" t="s">
        <v>98</v>
      </c>
      <c r="K98" s="3">
        <v>1993</v>
      </c>
      <c r="L98" s="14">
        <f t="shared" si="11"/>
        <v>-38566247.57</v>
      </c>
      <c r="M98" s="14">
        <f t="shared" si="11"/>
        <v>-62131105.640000001</v>
      </c>
      <c r="N98" s="14">
        <f t="shared" si="11"/>
        <v>-67439621.620000005</v>
      </c>
      <c r="O98" s="14">
        <f t="shared" si="11"/>
        <v>-75203880.260000005</v>
      </c>
      <c r="P98" s="14">
        <f t="shared" si="11"/>
        <v>0</v>
      </c>
    </row>
    <row r="99" spans="2:16">
      <c r="B99" s="3">
        <v>283</v>
      </c>
      <c r="C99" s="3" t="s">
        <v>85</v>
      </c>
      <c r="D99" s="3" t="s">
        <v>65</v>
      </c>
      <c r="E99" s="14">
        <v>-9342736</v>
      </c>
      <c r="F99" s="14">
        <v>-15051362</v>
      </c>
      <c r="G99" s="14">
        <v>-16337358.609999999</v>
      </c>
      <c r="H99" s="14">
        <v>-18218263.539999999</v>
      </c>
      <c r="I99" s="14"/>
      <c r="J99" s="23" t="s">
        <v>98</v>
      </c>
      <c r="K99" s="3">
        <v>1993</v>
      </c>
      <c r="L99" s="14">
        <f t="shared" si="11"/>
        <v>-24219665.59</v>
      </c>
      <c r="M99" s="14">
        <f t="shared" si="11"/>
        <v>-39018436.810000002</v>
      </c>
      <c r="N99" s="14">
        <f t="shared" si="11"/>
        <v>-42352193.420000002</v>
      </c>
      <c r="O99" s="14">
        <f t="shared" si="11"/>
        <v>-47228162.130000003</v>
      </c>
      <c r="P99" s="14">
        <f t="shared" si="11"/>
        <v>0</v>
      </c>
    </row>
    <row r="100" spans="2:16">
      <c r="B100" s="3">
        <v>190</v>
      </c>
      <c r="C100" s="3" t="s">
        <v>85</v>
      </c>
      <c r="D100" s="3" t="s">
        <v>63</v>
      </c>
      <c r="E100" s="14"/>
      <c r="F100" s="14"/>
      <c r="G100" s="14">
        <v>-209956.06999999998</v>
      </c>
      <c r="H100" s="14">
        <v>-255926.40999999997</v>
      </c>
      <c r="I100" s="14"/>
      <c r="L100" s="14"/>
      <c r="M100" s="14"/>
      <c r="N100" s="14"/>
      <c r="O100" s="14"/>
      <c r="P100" s="14"/>
    </row>
    <row r="101" spans="2:16">
      <c r="B101" s="9"/>
      <c r="C101" s="9" t="s">
        <v>85</v>
      </c>
      <c r="D101" s="9" t="s">
        <v>93</v>
      </c>
      <c r="E101" s="16">
        <f>SUM(E95:E100)</f>
        <v>-11236420</v>
      </c>
      <c r="F101" s="16">
        <f t="shared" ref="F101:H101" si="12">SUM(F95:F100)</f>
        <v>-27606834.920000002</v>
      </c>
      <c r="G101" s="16">
        <f t="shared" si="12"/>
        <v>-33200638.419999998</v>
      </c>
      <c r="H101" s="16">
        <f t="shared" si="12"/>
        <v>-40408005.829999998</v>
      </c>
      <c r="I101" s="16">
        <f>+G101-(6193609)-(6369983)-(1611915)-(1014034)</f>
        <v>-48390179.420000002</v>
      </c>
      <c r="J101" s="30"/>
      <c r="K101" s="30"/>
      <c r="L101" s="16"/>
      <c r="M101" s="16"/>
      <c r="N101" s="16"/>
      <c r="O101" s="16"/>
      <c r="P101" s="16"/>
    </row>
    <row r="102" spans="2:16">
      <c r="E102" s="14"/>
      <c r="F102" s="14"/>
      <c r="G102" s="14"/>
      <c r="H102" s="14"/>
      <c r="I102" s="14"/>
      <c r="L102" s="14"/>
      <c r="M102" s="14"/>
      <c r="N102" s="14"/>
      <c r="O102" s="14"/>
      <c r="P102" s="14"/>
    </row>
    <row r="103" spans="2:16">
      <c r="B103" s="3">
        <v>190</v>
      </c>
      <c r="C103" s="3" t="s">
        <v>81</v>
      </c>
      <c r="D103" s="3" t="s">
        <v>2</v>
      </c>
      <c r="E103" s="14">
        <v>1012552.9099999999</v>
      </c>
      <c r="F103" s="14">
        <v>1189145.26</v>
      </c>
      <c r="G103" s="14">
        <v>793759.36</v>
      </c>
      <c r="H103" s="14">
        <v>1024570.27</v>
      </c>
      <c r="I103" s="14">
        <f>+G103-16802</f>
        <v>776957.36</v>
      </c>
      <c r="L103" s="14"/>
      <c r="M103" s="14"/>
      <c r="N103" s="14"/>
      <c r="O103" s="14"/>
      <c r="P103" s="14"/>
    </row>
    <row r="104" spans="2:16">
      <c r="B104" s="3">
        <v>190</v>
      </c>
      <c r="C104" s="3" t="s">
        <v>81</v>
      </c>
      <c r="D104" s="3" t="s">
        <v>1</v>
      </c>
      <c r="E104" s="14">
        <v>2658316.89</v>
      </c>
      <c r="F104" s="14">
        <v>10641566.51</v>
      </c>
      <c r="G104" s="14">
        <v>12711555.33</v>
      </c>
      <c r="H104" s="14">
        <v>13427859.91</v>
      </c>
      <c r="I104" s="14">
        <f>+G104+2746347</f>
        <v>15457902.33</v>
      </c>
      <c r="J104" s="23" t="s">
        <v>97</v>
      </c>
      <c r="K104" s="3">
        <v>2008</v>
      </c>
      <c r="L104" s="14">
        <f t="shared" ref="L104:P104" si="13">+ROUND((E104/$P$4),2)</f>
        <v>6891294.5899999999</v>
      </c>
      <c r="M104" s="14">
        <f t="shared" si="13"/>
        <v>27586692.18</v>
      </c>
      <c r="N104" s="14">
        <f t="shared" si="13"/>
        <v>32952833</v>
      </c>
      <c r="O104" s="14">
        <f t="shared" si="13"/>
        <v>34809747.009999998</v>
      </c>
      <c r="P104" s="14">
        <f t="shared" si="13"/>
        <v>40072332.68</v>
      </c>
    </row>
    <row r="105" spans="2:16">
      <c r="B105" s="3">
        <v>283</v>
      </c>
      <c r="C105" s="3" t="s">
        <v>81</v>
      </c>
      <c r="D105" s="3" t="s">
        <v>1</v>
      </c>
      <c r="E105" s="14">
        <v>2213685.91</v>
      </c>
      <c r="F105" s="14">
        <v>9.9999999947613105E-3</v>
      </c>
      <c r="G105" s="14">
        <v>9.9999999947613105E-3</v>
      </c>
      <c r="H105" s="14">
        <v>9.9999999947613105E-3</v>
      </c>
      <c r="I105" s="14">
        <f>+G105</f>
        <v>9.9999999947613105E-3</v>
      </c>
      <c r="L105" s="14"/>
      <c r="M105" s="14"/>
      <c r="N105" s="14"/>
      <c r="O105" s="14"/>
      <c r="P105" s="14"/>
    </row>
    <row r="106" spans="2:16">
      <c r="B106" s="3">
        <v>190</v>
      </c>
      <c r="C106" s="3" t="s">
        <v>81</v>
      </c>
      <c r="D106" s="3" t="s">
        <v>3</v>
      </c>
      <c r="E106" s="14">
        <v>889134.55</v>
      </c>
      <c r="F106" s="14">
        <v>777573.79</v>
      </c>
      <c r="G106" s="14">
        <v>818586.7</v>
      </c>
      <c r="H106" s="14">
        <v>675343.56</v>
      </c>
      <c r="I106" s="14">
        <f>+G106+45765</f>
        <v>864351.7</v>
      </c>
      <c r="L106" s="14"/>
      <c r="M106" s="14"/>
      <c r="N106" s="14"/>
      <c r="O106" s="14"/>
      <c r="P106" s="14"/>
    </row>
    <row r="107" spans="2:16">
      <c r="B107" s="9"/>
      <c r="C107" s="9" t="s">
        <v>81</v>
      </c>
      <c r="D107" s="9" t="s">
        <v>93</v>
      </c>
      <c r="E107" s="16">
        <f>SUM(E103:E106)</f>
        <v>6773690.2599999998</v>
      </c>
      <c r="F107" s="16">
        <f t="shared" ref="F107:I107" si="14">SUM(F103:F106)</f>
        <v>12608285.57</v>
      </c>
      <c r="G107" s="16">
        <f t="shared" si="14"/>
        <v>14323901.399999999</v>
      </c>
      <c r="H107" s="16">
        <f t="shared" si="14"/>
        <v>15127773.75</v>
      </c>
      <c r="I107" s="16">
        <f t="shared" si="14"/>
        <v>17099211.399999999</v>
      </c>
      <c r="J107" s="30"/>
      <c r="K107" s="9"/>
      <c r="L107" s="16"/>
      <c r="M107" s="16"/>
      <c r="N107" s="16"/>
      <c r="O107" s="16"/>
      <c r="P107" s="16"/>
    </row>
    <row r="108" spans="2:16">
      <c r="E108" s="14"/>
      <c r="F108" s="14"/>
      <c r="G108" s="14"/>
      <c r="H108" s="14"/>
      <c r="I108" s="14"/>
      <c r="L108" s="14"/>
      <c r="M108" s="14"/>
      <c r="N108" s="14"/>
      <c r="O108" s="14"/>
      <c r="P108" s="14"/>
    </row>
    <row r="109" spans="2:16">
      <c r="B109" s="3">
        <v>190</v>
      </c>
      <c r="C109" s="3" t="s">
        <v>86</v>
      </c>
      <c r="D109" s="3" t="s">
        <v>41</v>
      </c>
      <c r="E109" s="14">
        <v>1150773</v>
      </c>
      <c r="F109" s="14">
        <v>423393</v>
      </c>
      <c r="G109" s="14">
        <v>1361696</v>
      </c>
      <c r="H109" s="14">
        <v>1361696</v>
      </c>
      <c r="I109" s="14">
        <f>+G109</f>
        <v>1361696</v>
      </c>
      <c r="L109" s="14"/>
      <c r="M109" s="14"/>
      <c r="N109" s="14"/>
      <c r="O109" s="14"/>
      <c r="P109" s="14"/>
    </row>
    <row r="110" spans="2:16">
      <c r="E110" s="14"/>
      <c r="F110" s="14"/>
      <c r="G110" s="14"/>
      <c r="H110" s="14"/>
      <c r="I110" s="14"/>
      <c r="L110" s="14"/>
      <c r="M110" s="14"/>
      <c r="N110" s="14"/>
      <c r="O110" s="14"/>
      <c r="P110" s="14"/>
    </row>
    <row r="111" spans="2:16" s="10" customFormat="1" ht="15.75" thickBot="1">
      <c r="B111" s="11"/>
      <c r="C111" s="11"/>
      <c r="D111" s="11" t="s">
        <v>80</v>
      </c>
      <c r="E111" s="20">
        <f>SUM(E10,E12,E19,E47,E53,E77,E93,E101,E107,E109)</f>
        <v>-252461199.43000004</v>
      </c>
      <c r="F111" s="20">
        <f>SUM(F10,F12,F19,F47,F53,F77,F93,F101,F107,F109)</f>
        <v>-292016561.95000005</v>
      </c>
      <c r="G111" s="20">
        <f>SUM(G10,G12,G19,G47,G53,G77,G93,G101,G107,G109)</f>
        <v>-383730295.83999997</v>
      </c>
      <c r="H111" s="20">
        <f>SUM(H10,H12,H19,H47,H53,H77,H93,H101,H107,H109)</f>
        <v>-421798215.09000009</v>
      </c>
      <c r="I111" s="20">
        <f>SUM(I10,I12,I19,I47,I53,I77,I93,I101,I107,I109)</f>
        <v>-598761935.51999998</v>
      </c>
      <c r="J111" s="31"/>
      <c r="K111" s="11"/>
      <c r="L111" s="20"/>
      <c r="M111" s="20"/>
      <c r="N111" s="20"/>
      <c r="O111" s="20"/>
      <c r="P111" s="20"/>
    </row>
    <row r="112" spans="2:16" ht="15.75" thickTop="1"/>
    <row r="113" spans="2:4">
      <c r="B113" s="41" t="s">
        <v>103</v>
      </c>
      <c r="C113" s="41"/>
      <c r="D113" s="41"/>
    </row>
    <row r="114" spans="2:4" ht="34.5" customHeight="1">
      <c r="B114" s="41" t="s">
        <v>104</v>
      </c>
      <c r="C114" s="41"/>
      <c r="D114" s="41"/>
    </row>
  </sheetData>
  <autoFilter ref="B6:I111">
    <filterColumn colId="0"/>
  </autoFilter>
  <sortState ref="A23:P112">
    <sortCondition ref="C23:C112"/>
    <sortCondition ref="D23:D112"/>
    <sortCondition ref="B23:B112"/>
  </sortState>
  <mergeCells count="5">
    <mergeCell ref="E5:I5"/>
    <mergeCell ref="B5:D5"/>
    <mergeCell ref="L5:P5"/>
    <mergeCell ref="B113:D113"/>
    <mergeCell ref="B114:D114"/>
  </mergeCells>
  <pageMargins left="0.7" right="0.7" top="0.75" bottom="0.75" header="0.3" footer="0.3"/>
  <pageSetup scale="62" fitToWidth="3" fitToHeight="21" orientation="landscape" r:id="rId1"/>
  <rowBreaks count="2" manualBreakCount="2">
    <brk id="54" min="1" max="15" man="1"/>
    <brk id="102" min="1" max="15" man="1"/>
  </rowBreaks>
  <colBreaks count="1" manualBreakCount="1">
    <brk id="11" max="11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sajordan</dc:creator>
  <cp:lastModifiedBy>sajordan</cp:lastModifiedBy>
  <cp:lastPrinted>2011-08-10T03:14:19Z</cp:lastPrinted>
  <dcterms:created xsi:type="dcterms:W3CDTF">2011-07-29T04:19:33Z</dcterms:created>
  <dcterms:modified xsi:type="dcterms:W3CDTF">2011-10-06T21:21:58Z</dcterms:modified>
</cp:coreProperties>
</file>