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035" windowHeight="12120"/>
  </bookViews>
  <sheets>
    <sheet name="2010 GP Connections, March-Dec" sheetId="5" r:id="rId1"/>
    <sheet name="2010 Fully Loaded Calculations" sheetId="4" state="hidden" r:id="rId2"/>
    <sheet name="2010 GP Connections, Jan-Feb" sheetId="3" state="hidden" r:id="rId3"/>
    <sheet name="2009 GP Connections, Mar-Dec" sheetId="2" state="hidden" r:id="rId4"/>
    <sheet name="2009 Fully Loaded Calculations" sheetId="1" state="hidden" r:id="rId5"/>
    <sheet name="Sheet1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'2009 Fully Loaded Calculations'!$A$1:$K$38</definedName>
    <definedName name="_xlnm.Print_Area" localSheetId="3">'2009 GP Connections, Mar-Dec'!$A$1:$O$62</definedName>
    <definedName name="_xlnm.Print_Area" localSheetId="1">'2010 Fully Loaded Calculations'!$A$1:$K$38</definedName>
    <definedName name="_xlnm.Print_Area" localSheetId="2">'2010 GP Connections, Jan-Feb'!$A$1:$O$62</definedName>
    <definedName name="_xlnm.Print_Area" localSheetId="0">'2010 GP Connections, March-Dec'!$A$1:$O$62</definedName>
  </definedNames>
  <calcPr calcId="125725"/>
</workbook>
</file>

<file path=xl/calcChain.xml><?xml version="1.0" encoding="utf-8"?>
<calcChain xmlns="http://schemas.openxmlformats.org/spreadsheetml/2006/main">
  <c r="N29" i="5"/>
  <c r="N23"/>
  <c r="N20"/>
  <c r="N18"/>
  <c r="N24"/>
  <c r="N25"/>
  <c r="N26"/>
  <c r="N17"/>
  <c r="L29"/>
  <c r="L23"/>
  <c r="L20"/>
  <c r="L17"/>
  <c r="L18"/>
  <c r="K29"/>
  <c r="K23"/>
  <c r="K20"/>
  <c r="K17"/>
  <c r="K18"/>
  <c r="J29"/>
  <c r="J23"/>
  <c r="J20"/>
  <c r="J18"/>
  <c r="J24"/>
  <c r="J25"/>
  <c r="J26"/>
  <c r="J17"/>
  <c r="I29"/>
  <c r="I17"/>
  <c r="I18"/>
  <c r="I20"/>
  <c r="I23"/>
  <c r="F29"/>
  <c r="F17"/>
  <c r="F18"/>
  <c r="F24"/>
  <c r="F25"/>
  <c r="F26"/>
  <c r="F20"/>
  <c r="F21"/>
  <c r="F50"/>
  <c r="F23"/>
  <c r="E29"/>
  <c r="E17"/>
  <c r="E18"/>
  <c r="E20"/>
  <c r="E23"/>
  <c r="G48"/>
  <c r="G51"/>
  <c r="G59" s="1"/>
  <c r="H51"/>
  <c r="D53"/>
  <c r="D23"/>
  <c r="D20"/>
  <c r="D17"/>
  <c r="D18"/>
  <c r="C13"/>
  <c r="D39"/>
  <c r="D13"/>
  <c r="C17"/>
  <c r="C18"/>
  <c r="C20"/>
  <c r="C21"/>
  <c r="C27"/>
  <c r="C48"/>
  <c r="C23"/>
  <c r="C24"/>
  <c r="C25"/>
  <c r="C26"/>
  <c r="C28"/>
  <c r="C29"/>
  <c r="D29"/>
  <c r="H30"/>
  <c r="C39"/>
  <c r="A46"/>
  <c r="H48"/>
  <c r="C49"/>
  <c r="C52"/>
  <c r="D52"/>
  <c r="D60"/>
  <c r="E52"/>
  <c r="E60"/>
  <c r="F52"/>
  <c r="G52"/>
  <c r="H52"/>
  <c r="I52"/>
  <c r="J52"/>
  <c r="K52"/>
  <c r="L52"/>
  <c r="M52"/>
  <c r="N52"/>
  <c r="C53"/>
  <c r="C54"/>
  <c r="D54"/>
  <c r="C55"/>
  <c r="D55"/>
  <c r="H59"/>
  <c r="C60"/>
  <c r="F60"/>
  <c r="G60"/>
  <c r="H60"/>
  <c r="I60"/>
  <c r="J60"/>
  <c r="K60"/>
  <c r="L60"/>
  <c r="M60"/>
  <c r="N60"/>
  <c r="K13" i="4"/>
  <c r="J10"/>
  <c r="K10"/>
  <c r="I9"/>
  <c r="K9"/>
  <c r="K11"/>
  <c r="K14"/>
  <c r="B10"/>
  <c r="B13"/>
  <c r="B15"/>
  <c r="B17"/>
  <c r="C6" i="5"/>
  <c r="D10" i="4"/>
  <c r="B12"/>
  <c r="D12"/>
  <c r="D20"/>
  <c r="D13"/>
  <c r="D15"/>
  <c r="B16"/>
  <c r="C7" i="5"/>
  <c r="F27" s="1"/>
  <c r="D16" i="4"/>
  <c r="G53" i="5"/>
  <c r="G58" s="1"/>
  <c r="G62" s="1"/>
  <c r="B19" i="4"/>
  <c r="G49" i="5"/>
  <c r="D19" i="4"/>
  <c r="G54" i="5"/>
  <c r="B20" i="4"/>
  <c r="H50" i="5"/>
  <c r="K21" i="4"/>
  <c r="I22"/>
  <c r="I23"/>
  <c r="I24"/>
  <c r="I26"/>
  <c r="K26"/>
  <c r="I27"/>
  <c r="J27"/>
  <c r="K27"/>
  <c r="I30"/>
  <c r="K30"/>
  <c r="C6" i="3"/>
  <c r="C7"/>
  <c r="C13"/>
  <c r="D13"/>
  <c r="C17"/>
  <c r="D17"/>
  <c r="C18"/>
  <c r="D18"/>
  <c r="C20"/>
  <c r="D20"/>
  <c r="C21"/>
  <c r="D21"/>
  <c r="C23"/>
  <c r="D23"/>
  <c r="C24"/>
  <c r="D24"/>
  <c r="C25"/>
  <c r="D25"/>
  <c r="C26"/>
  <c r="D26"/>
  <c r="C27"/>
  <c r="D27"/>
  <c r="C28"/>
  <c r="D28"/>
  <c r="C29"/>
  <c r="D29"/>
  <c r="C30"/>
  <c r="D30"/>
  <c r="C34"/>
  <c r="D34"/>
  <c r="E34"/>
  <c r="F34"/>
  <c r="G34"/>
  <c r="H34"/>
  <c r="I34"/>
  <c r="J34"/>
  <c r="K34"/>
  <c r="L34"/>
  <c r="M34"/>
  <c r="N34"/>
  <c r="E39"/>
  <c r="C39"/>
  <c r="C44"/>
  <c r="D39"/>
  <c r="F39"/>
  <c r="G39"/>
  <c r="D44"/>
  <c r="E44"/>
  <c r="F44"/>
  <c r="A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0"/>
  <c r="D50"/>
  <c r="E50"/>
  <c r="F50"/>
  <c r="G50"/>
  <c r="H50"/>
  <c r="I50"/>
  <c r="J50"/>
  <c r="K50"/>
  <c r="L50"/>
  <c r="M50"/>
  <c r="N50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3"/>
  <c r="D53"/>
  <c r="E53"/>
  <c r="F53"/>
  <c r="G53"/>
  <c r="H53"/>
  <c r="I53"/>
  <c r="J53"/>
  <c r="K53"/>
  <c r="L53"/>
  <c r="M53"/>
  <c r="N53"/>
  <c r="C54"/>
  <c r="D54"/>
  <c r="E54"/>
  <c r="F54"/>
  <c r="G54"/>
  <c r="H54"/>
  <c r="I54"/>
  <c r="J54"/>
  <c r="K54"/>
  <c r="L54"/>
  <c r="M54"/>
  <c r="N54"/>
  <c r="C55"/>
  <c r="D55"/>
  <c r="E55"/>
  <c r="F55"/>
  <c r="G55"/>
  <c r="H55"/>
  <c r="I55"/>
  <c r="J55"/>
  <c r="K55"/>
  <c r="L55"/>
  <c r="M55"/>
  <c r="N55"/>
  <c r="C56"/>
  <c r="D56"/>
  <c r="E56"/>
  <c r="F56"/>
  <c r="G56"/>
  <c r="H56"/>
  <c r="I56"/>
  <c r="J56"/>
  <c r="K56"/>
  <c r="L56"/>
  <c r="M56"/>
  <c r="N56"/>
  <c r="C58"/>
  <c r="D58"/>
  <c r="E58"/>
  <c r="F58"/>
  <c r="G58"/>
  <c r="H58"/>
  <c r="I58"/>
  <c r="J58"/>
  <c r="K58"/>
  <c r="L58"/>
  <c r="M58"/>
  <c r="N58"/>
  <c r="C59"/>
  <c r="D59"/>
  <c r="E59"/>
  <c r="F59"/>
  <c r="G59"/>
  <c r="H59"/>
  <c r="I59"/>
  <c r="J59"/>
  <c r="K59"/>
  <c r="L59"/>
  <c r="M59"/>
  <c r="N59"/>
  <c r="C60"/>
  <c r="D60"/>
  <c r="E60"/>
  <c r="F60"/>
  <c r="G60"/>
  <c r="H60"/>
  <c r="I60"/>
  <c r="J60"/>
  <c r="K60"/>
  <c r="L60"/>
  <c r="M60"/>
  <c r="N60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4"/>
  <c r="D64"/>
  <c r="E64"/>
  <c r="F64"/>
  <c r="G64"/>
  <c r="H64"/>
  <c r="I64"/>
  <c r="J64"/>
  <c r="K64"/>
  <c r="L64"/>
  <c r="M64"/>
  <c r="N64"/>
  <c r="C6" i="2"/>
  <c r="C7"/>
  <c r="C13"/>
  <c r="D13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C23"/>
  <c r="D23"/>
  <c r="E23"/>
  <c r="F23"/>
  <c r="G23"/>
  <c r="H23"/>
  <c r="I23"/>
  <c r="J23"/>
  <c r="K23"/>
  <c r="L23"/>
  <c r="M23"/>
  <c r="N23"/>
  <c r="C24"/>
  <c r="D24"/>
  <c r="E24"/>
  <c r="F24"/>
  <c r="G24"/>
  <c r="H24"/>
  <c r="I24"/>
  <c r="J24"/>
  <c r="K24"/>
  <c r="L24"/>
  <c r="M24"/>
  <c r="N24"/>
  <c r="C25"/>
  <c r="D25"/>
  <c r="E25"/>
  <c r="F25"/>
  <c r="G25"/>
  <c r="H25"/>
  <c r="I25"/>
  <c r="J25"/>
  <c r="K25"/>
  <c r="L25"/>
  <c r="M25"/>
  <c r="N25"/>
  <c r="C26"/>
  <c r="D26"/>
  <c r="E26"/>
  <c r="F26"/>
  <c r="G26"/>
  <c r="H26"/>
  <c r="I26"/>
  <c r="J26"/>
  <c r="K26"/>
  <c r="L26"/>
  <c r="M26"/>
  <c r="N26"/>
  <c r="C27"/>
  <c r="D27"/>
  <c r="E27"/>
  <c r="F27"/>
  <c r="G27"/>
  <c r="H27"/>
  <c r="I27"/>
  <c r="J27"/>
  <c r="K27"/>
  <c r="L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D30"/>
  <c r="E30"/>
  <c r="F30"/>
  <c r="G30"/>
  <c r="H30"/>
  <c r="I30"/>
  <c r="J30"/>
  <c r="K30"/>
  <c r="L30"/>
  <c r="M30"/>
  <c r="N30"/>
  <c r="C34"/>
  <c r="D34"/>
  <c r="E34"/>
  <c r="F34"/>
  <c r="G34"/>
  <c r="H34"/>
  <c r="I34"/>
  <c r="J34"/>
  <c r="K34"/>
  <c r="L34"/>
  <c r="M34"/>
  <c r="N34"/>
  <c r="C39"/>
  <c r="D39"/>
  <c r="E39"/>
  <c r="F39"/>
  <c r="C44"/>
  <c r="D44"/>
  <c r="E44"/>
  <c r="A46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0"/>
  <c r="D50"/>
  <c r="E50"/>
  <c r="F50"/>
  <c r="G50"/>
  <c r="H50"/>
  <c r="I50"/>
  <c r="J50"/>
  <c r="K50"/>
  <c r="L50"/>
  <c r="M50"/>
  <c r="N50"/>
  <c r="C51"/>
  <c r="D51"/>
  <c r="E51"/>
  <c r="F51"/>
  <c r="G51"/>
  <c r="H51"/>
  <c r="I51"/>
  <c r="J51"/>
  <c r="K51"/>
  <c r="L51"/>
  <c r="M51"/>
  <c r="N51"/>
  <c r="C52"/>
  <c r="D52"/>
  <c r="E52"/>
  <c r="F52"/>
  <c r="G52"/>
  <c r="H52"/>
  <c r="I52"/>
  <c r="J52"/>
  <c r="K52"/>
  <c r="L52"/>
  <c r="M52"/>
  <c r="N52"/>
  <c r="C53"/>
  <c r="D53"/>
  <c r="E53"/>
  <c r="F53"/>
  <c r="G53"/>
  <c r="H53"/>
  <c r="I53"/>
  <c r="J53"/>
  <c r="K53"/>
  <c r="L53"/>
  <c r="M53"/>
  <c r="N53"/>
  <c r="C54"/>
  <c r="D54"/>
  <c r="E54"/>
  <c r="F54"/>
  <c r="G54"/>
  <c r="H54"/>
  <c r="I54"/>
  <c r="J54"/>
  <c r="K54"/>
  <c r="L54"/>
  <c r="M54"/>
  <c r="N54"/>
  <c r="C55"/>
  <c r="D55"/>
  <c r="E55"/>
  <c r="F55"/>
  <c r="G55"/>
  <c r="H55"/>
  <c r="I55"/>
  <c r="J55"/>
  <c r="K55"/>
  <c r="L55"/>
  <c r="M55"/>
  <c r="N55"/>
  <c r="C56"/>
  <c r="D56"/>
  <c r="E56"/>
  <c r="F56"/>
  <c r="G56"/>
  <c r="H56"/>
  <c r="I56"/>
  <c r="J56"/>
  <c r="K56"/>
  <c r="L56"/>
  <c r="M56"/>
  <c r="N56"/>
  <c r="C58"/>
  <c r="D58"/>
  <c r="E58"/>
  <c r="F58"/>
  <c r="G58"/>
  <c r="H58"/>
  <c r="I58"/>
  <c r="J58"/>
  <c r="K58"/>
  <c r="L58"/>
  <c r="M58"/>
  <c r="N58"/>
  <c r="C59"/>
  <c r="D59"/>
  <c r="E59"/>
  <c r="F59"/>
  <c r="G59"/>
  <c r="H59"/>
  <c r="I59"/>
  <c r="J59"/>
  <c r="K59"/>
  <c r="L59"/>
  <c r="M59"/>
  <c r="N59"/>
  <c r="C60"/>
  <c r="D60"/>
  <c r="E60"/>
  <c r="F60"/>
  <c r="G60"/>
  <c r="H60"/>
  <c r="I60"/>
  <c r="J60"/>
  <c r="K60"/>
  <c r="L60"/>
  <c r="M60"/>
  <c r="N60"/>
  <c r="C61"/>
  <c r="D61"/>
  <c r="E61"/>
  <c r="F61"/>
  <c r="G61"/>
  <c r="H61"/>
  <c r="I61"/>
  <c r="J61"/>
  <c r="K61"/>
  <c r="L61"/>
  <c r="M61"/>
  <c r="N61"/>
  <c r="C62"/>
  <c r="D62"/>
  <c r="E62"/>
  <c r="F62"/>
  <c r="G62"/>
  <c r="H62"/>
  <c r="I62"/>
  <c r="J62"/>
  <c r="K62"/>
  <c r="L62"/>
  <c r="M62"/>
  <c r="N62"/>
  <c r="C64"/>
  <c r="D64"/>
  <c r="E64"/>
  <c r="F64"/>
  <c r="G64"/>
  <c r="H64"/>
  <c r="I64"/>
  <c r="J64"/>
  <c r="K64"/>
  <c r="L64"/>
  <c r="M64"/>
  <c r="N64"/>
  <c r="I9" i="1"/>
  <c r="K9"/>
  <c r="B10"/>
  <c r="D10"/>
  <c r="J10"/>
  <c r="K10"/>
  <c r="K11"/>
  <c r="K14"/>
  <c r="B12"/>
  <c r="D12"/>
  <c r="B13"/>
  <c r="D13"/>
  <c r="K13"/>
  <c r="B15"/>
  <c r="D15"/>
  <c r="B16"/>
  <c r="D16"/>
  <c r="B17"/>
  <c r="D17"/>
  <c r="B19"/>
  <c r="D19"/>
  <c r="B20"/>
  <c r="D20"/>
  <c r="B21"/>
  <c r="D21"/>
  <c r="K21"/>
  <c r="I22"/>
  <c r="I23"/>
  <c r="I24"/>
  <c r="I26"/>
  <c r="K26"/>
  <c r="I27"/>
  <c r="J27"/>
  <c r="K27"/>
  <c r="K28"/>
  <c r="K31"/>
  <c r="I30"/>
  <c r="K30"/>
  <c r="J21" i="5"/>
  <c r="F44" i="2"/>
  <c r="G39"/>
  <c r="F55" i="5"/>
  <c r="H55"/>
  <c r="J55"/>
  <c r="L55"/>
  <c r="N55"/>
  <c r="G55"/>
  <c r="I55"/>
  <c r="K55"/>
  <c r="M55"/>
  <c r="E55"/>
  <c r="C30"/>
  <c r="C51"/>
  <c r="C59"/>
  <c r="C58"/>
  <c r="D24"/>
  <c r="D25"/>
  <c r="D26"/>
  <c r="D21"/>
  <c r="J50"/>
  <c r="J49"/>
  <c r="J51"/>
  <c r="J59"/>
  <c r="F51"/>
  <c r="F59"/>
  <c r="G44" i="3"/>
  <c r="H39"/>
  <c r="E13" i="5"/>
  <c r="E39" s="1"/>
  <c r="F39" s="1"/>
  <c r="G39" s="1"/>
  <c r="D17" i="4"/>
  <c r="D34" i="5"/>
  <c r="F34"/>
  <c r="H34"/>
  <c r="J34"/>
  <c r="L34"/>
  <c r="N34"/>
  <c r="E34"/>
  <c r="C34"/>
  <c r="G34"/>
  <c r="I34"/>
  <c r="K34"/>
  <c r="M34"/>
  <c r="M49"/>
  <c r="M48"/>
  <c r="M50"/>
  <c r="M51"/>
  <c r="M59"/>
  <c r="E21"/>
  <c r="E24"/>
  <c r="E25"/>
  <c r="E26"/>
  <c r="I21"/>
  <c r="I24"/>
  <c r="I25"/>
  <c r="I26"/>
  <c r="K28" i="4"/>
  <c r="K31"/>
  <c r="B21"/>
  <c r="E53" i="5"/>
  <c r="H49"/>
  <c r="M53"/>
  <c r="K53"/>
  <c r="I53"/>
  <c r="N54"/>
  <c r="L54"/>
  <c r="J54"/>
  <c r="H54"/>
  <c r="F54"/>
  <c r="F49"/>
  <c r="G50"/>
  <c r="G61"/>
  <c r="H53"/>
  <c r="H58" s="1"/>
  <c r="H62" s="1"/>
  <c r="H64" s="1"/>
  <c r="D21" i="4"/>
  <c r="C50" i="5"/>
  <c r="C56"/>
  <c r="E54"/>
  <c r="N53"/>
  <c r="L53"/>
  <c r="J53"/>
  <c r="F53"/>
  <c r="M54"/>
  <c r="K54"/>
  <c r="I54"/>
  <c r="F28"/>
  <c r="J27"/>
  <c r="J28"/>
  <c r="I51"/>
  <c r="I59"/>
  <c r="E51"/>
  <c r="E59"/>
  <c r="I39" i="3"/>
  <c r="H44"/>
  <c r="D51" i="5"/>
  <c r="D59"/>
  <c r="F61"/>
  <c r="M30"/>
  <c r="C61"/>
  <c r="C44"/>
  <c r="G56"/>
  <c r="G64" s="1"/>
  <c r="H56"/>
  <c r="H61"/>
  <c r="I27"/>
  <c r="I48"/>
  <c r="I49"/>
  <c r="I28"/>
  <c r="I50"/>
  <c r="E27"/>
  <c r="E48" s="1"/>
  <c r="E49"/>
  <c r="E61" s="1"/>
  <c r="E50"/>
  <c r="E28"/>
  <c r="M58"/>
  <c r="M62" s="1"/>
  <c r="M56"/>
  <c r="M64" s="1"/>
  <c r="D50"/>
  <c r="D49"/>
  <c r="D61"/>
  <c r="D28"/>
  <c r="D27"/>
  <c r="D48" s="1"/>
  <c r="H39" i="2"/>
  <c r="G44"/>
  <c r="M61" i="5"/>
  <c r="J61"/>
  <c r="C62"/>
  <c r="C64" s="1"/>
  <c r="J48"/>
  <c r="J56" s="1"/>
  <c r="J30"/>
  <c r="H44" i="2"/>
  <c r="I39"/>
  <c r="I58" i="5"/>
  <c r="I56"/>
  <c r="I44" i="3"/>
  <c r="J39"/>
  <c r="D30" i="5"/>
  <c r="D44" s="1"/>
  <c r="E30"/>
  <c r="E44" s="1"/>
  <c r="I61"/>
  <c r="I30"/>
  <c r="J58"/>
  <c r="J62" s="1"/>
  <c r="I62"/>
  <c r="K39" i="3"/>
  <c r="J44"/>
  <c r="J39" i="2"/>
  <c r="I44"/>
  <c r="I64" i="5"/>
  <c r="J44" i="2"/>
  <c r="K39"/>
  <c r="K44" i="3"/>
  <c r="L39"/>
  <c r="M39"/>
  <c r="L44"/>
  <c r="L39" i="2"/>
  <c r="K44"/>
  <c r="L44"/>
  <c r="M39"/>
  <c r="M44" i="3"/>
  <c r="N39"/>
  <c r="N44"/>
  <c r="N39" i="2"/>
  <c r="N44"/>
  <c r="M44"/>
  <c r="K24" i="5"/>
  <c r="K25"/>
  <c r="K26"/>
  <c r="K21"/>
  <c r="K51"/>
  <c r="K59"/>
  <c r="K28"/>
  <c r="K30" s="1"/>
  <c r="K27"/>
  <c r="K48"/>
  <c r="K58" s="1"/>
  <c r="K62" s="1"/>
  <c r="K64" s="1"/>
  <c r="K49"/>
  <c r="K61"/>
  <c r="K50"/>
  <c r="K56"/>
  <c r="L24"/>
  <c r="L25"/>
  <c r="L26"/>
  <c r="L21"/>
  <c r="L51"/>
  <c r="L59"/>
  <c r="L27"/>
  <c r="L48"/>
  <c r="L58" s="1"/>
  <c r="L62" s="1"/>
  <c r="L49"/>
  <c r="L28"/>
  <c r="L50"/>
  <c r="L61" s="1"/>
  <c r="L30"/>
  <c r="N21"/>
  <c r="N49"/>
  <c r="N61"/>
  <c r="N50"/>
  <c r="N51"/>
  <c r="N59"/>
  <c r="N27"/>
  <c r="N28"/>
  <c r="N30"/>
  <c r="N48"/>
  <c r="N56" s="1"/>
  <c r="N64" s="1"/>
  <c r="N58"/>
  <c r="N62" s="1"/>
  <c r="F48" l="1"/>
  <c r="F30"/>
  <c r="F44" s="1"/>
  <c r="D56"/>
  <c r="D64" s="1"/>
  <c r="D58"/>
  <c r="D62" s="1"/>
  <c r="E58"/>
  <c r="E62" s="1"/>
  <c r="E56"/>
  <c r="H39"/>
  <c r="I39" s="1"/>
  <c r="J39" s="1"/>
  <c r="G44"/>
  <c r="J64"/>
  <c r="H44"/>
  <c r="L56"/>
  <c r="L64" s="1"/>
  <c r="J44" l="1"/>
  <c r="K39"/>
  <c r="F58"/>
  <c r="F62" s="1"/>
  <c r="F56"/>
  <c r="F64" s="1"/>
  <c r="E64"/>
  <c r="I44"/>
  <c r="L39" l="1"/>
  <c r="K44"/>
  <c r="M39" l="1"/>
  <c r="L44"/>
  <c r="N39" l="1"/>
  <c r="N44" s="1"/>
  <c r="M44"/>
</calcChain>
</file>

<file path=xl/comments1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</rPr>
          <t>pkferrar:</t>
        </r>
        <r>
          <rPr>
            <sz val="8"/>
            <color indexed="81"/>
            <rFont val="Tahoma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2.xml><?xml version="1.0" encoding="utf-8"?>
<comments xmlns="http://schemas.openxmlformats.org/spreadsheetml/2006/main">
  <authors>
    <author>Information Technology</author>
    <author>James K Hart Jr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17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</commentList>
</comments>
</file>

<file path=xl/comments3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4.xml><?xml version="1.0" encoding="utf-8"?>
<comments xmlns="http://schemas.openxmlformats.org/spreadsheetml/2006/main">
  <authors>
    <author>James K Hart Jr</author>
    <author>SBAKIN</author>
    <author>pkferrar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Eligible Calls
</t>
        </r>
        <r>
          <rPr>
            <b/>
            <sz val="8"/>
            <color indexed="81"/>
            <rFont val="Tahoma"/>
            <family val="2"/>
          </rPr>
          <t xml:space="preserve">B.Hughes: </t>
        </r>
        <r>
          <rPr>
            <sz val="8"/>
            <color indexed="81"/>
            <rFont val="Tahoma"/>
            <family val="2"/>
          </rPr>
          <t>Contacted Dianne Gaines, who did not expect these #'s to change this year.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Akin/Ferraro</t>
        </r>
        <r>
          <rPr>
            <sz val="8"/>
            <color indexed="81"/>
            <rFont val="Tahoma"/>
            <family val="2"/>
          </rPr>
          <t xml:space="preserve">
All Calls Transferred to Allconnect
</t>
        </r>
        <r>
          <rPr>
            <b/>
            <sz val="8"/>
            <color indexed="81"/>
            <rFont val="Tahoma"/>
            <family val="2"/>
          </rPr>
          <t>B.Hughes:</t>
        </r>
        <r>
          <rPr>
            <sz val="8"/>
            <color indexed="81"/>
            <rFont val="Tahoma"/>
            <family val="2"/>
          </rPr>
          <t xml:space="preserve"> Contacted Dianne Gaines, who did not expect these #'s to change this year.</t>
        </r>
      </text>
    </comment>
    <comment ref="A6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7" authorId="0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8" authorId="1">
      <text>
        <r>
          <rPr>
            <b/>
            <sz val="8"/>
            <color indexed="81"/>
            <rFont val="Tahoma"/>
            <family val="2"/>
          </rPr>
          <t>SBAKIN:</t>
        </r>
        <r>
          <rPr>
            <sz val="8"/>
            <color indexed="81"/>
            <rFont val="Tahoma"/>
            <family val="2"/>
          </rPr>
          <t xml:space="preserve">
J. Kitchel provided this number to all OPCo's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Akin/Ferraro Number provided by J. Kitchel</t>
        </r>
        <r>
          <rPr>
            <sz val="8"/>
            <color indexed="81"/>
            <rFont val="Tahoma"/>
            <family val="2"/>
          </rPr>
          <t xml:space="preserve">
charged on every transferred call to get them off our trunk line and stop toll charge</t>
        </r>
      </text>
    </comment>
    <comment ref="C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D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E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F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G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H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I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J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K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L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M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N26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Transfer time row plus Toll cost row 
</t>
        </r>
      </text>
    </comment>
    <comment ref="C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7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D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E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F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G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H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I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J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K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L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M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N28" authorId="2">
      <text>
        <r>
          <rPr>
            <b/>
            <sz val="8"/>
            <color indexed="81"/>
            <rFont val="Tahoma"/>
            <family val="2"/>
          </rPr>
          <t xml:space="preserve">pkferrar:  Total Time row times CSR cost per minute of .31
</t>
        </r>
      </text>
    </comment>
    <comment ref="C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D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E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F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G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H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I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J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K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L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M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N29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# of Calls transferred row 21 times Connect/Transfer cost of .30 </t>
        </r>
      </text>
    </comment>
    <comment ref="A33" authorId="2">
      <text>
        <r>
          <rPr>
            <b/>
            <sz val="8"/>
            <color indexed="81"/>
            <rFont val="Tahoma"/>
            <family val="2"/>
          </rPr>
          <t>pkferrar:</t>
        </r>
        <r>
          <rPr>
            <sz val="8"/>
            <color indexed="81"/>
            <rFont val="Tahoma"/>
            <family val="2"/>
          </rPr>
          <t xml:space="preserve">
1 hr of training per CSR; one time fee unless new CSR or change in program required</t>
        </r>
      </text>
    </comment>
  </commentList>
</comments>
</file>

<file path=xl/comments5.xml><?xml version="1.0" encoding="utf-8"?>
<comments xmlns="http://schemas.openxmlformats.org/spreadsheetml/2006/main">
  <authors>
    <author>Information Technology</author>
    <author>James K Hart Jr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B.Hughes: Ave. Annual Salary per Dave Oerting.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6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  <comment ref="A17" authorId="1">
      <text>
        <r>
          <rPr>
            <sz val="8"/>
            <color indexed="81"/>
            <rFont val="Tahoma"/>
            <family val="2"/>
          </rPr>
          <t>Akin/Ferraro
Annual salary / weeksperyear / hoursperweek / minutesperhour * (1+avg non-phone time) / occupancy at desired service level</t>
        </r>
      </text>
    </comment>
  </commentList>
</comments>
</file>

<file path=xl/sharedStrings.xml><?xml version="1.0" encoding="utf-8"?>
<sst xmlns="http://schemas.openxmlformats.org/spreadsheetml/2006/main" count="392" uniqueCount="123">
  <si>
    <t>Interdepartmental Calculations rates listed below</t>
  </si>
  <si>
    <t>Level 1-6</t>
  </si>
  <si>
    <t>Management</t>
  </si>
  <si>
    <t>2009 Overhead Rates, Level 1 - 6</t>
  </si>
  <si>
    <t>PPP Gross-up</t>
  </si>
  <si>
    <t>Non-Prod Gross-up</t>
  </si>
  <si>
    <t>Non-Prod (Direct Payroll Benefits)</t>
  </si>
  <si>
    <t>(LAN)</t>
  </si>
  <si>
    <t>2009 RATES EFFECTIVE MARCH 1, 2009</t>
  </si>
  <si>
    <t>Pensions</t>
  </si>
  <si>
    <t>Insurance</t>
  </si>
  <si>
    <t xml:space="preserve">CSR </t>
  </si>
  <si>
    <t>Supv./Mngr</t>
  </si>
  <si>
    <t>Employee Savings Plan</t>
  </si>
  <si>
    <t>Labor</t>
  </si>
  <si>
    <t>PPP for Non-exempt, &amp; Exempt Levels 1-6</t>
  </si>
  <si>
    <t>Overheads</t>
  </si>
  <si>
    <t xml:space="preserve">     Total</t>
  </si>
  <si>
    <t>(BBO)</t>
  </si>
  <si>
    <t>Overhead Cost</t>
  </si>
  <si>
    <t>Payroll Taxes</t>
  </si>
  <si>
    <t>(CPT)</t>
  </si>
  <si>
    <t xml:space="preserve">A&amp;G Overhead </t>
  </si>
  <si>
    <t>A&amp;G Cost</t>
  </si>
  <si>
    <t>Fully Loaded Cost</t>
  </si>
  <si>
    <t>Administrative &amp; General</t>
  </si>
  <si>
    <t>(CAG)</t>
  </si>
  <si>
    <t xml:space="preserve">     Total Overheads</t>
  </si>
  <si>
    <t>Total CSR Cost Per Minute</t>
  </si>
  <si>
    <t>CSR Cost Per Minute Labor</t>
  </si>
  <si>
    <t>CSR Cost Per Minute Total OH</t>
  </si>
  <si>
    <t>CSR Overheads</t>
  </si>
  <si>
    <t xml:space="preserve">2009 Overhead Rates, Management </t>
  </si>
  <si>
    <t>A&amp;G</t>
  </si>
  <si>
    <t>Total (check)</t>
  </si>
  <si>
    <t>Incentive Plans (PPP, PDP, Stock Options)</t>
  </si>
  <si>
    <t>Gulf Power Connections Costs</t>
  </si>
  <si>
    <t>Avg Per Call</t>
  </si>
  <si>
    <t>New overhead rates effective 3/1/09</t>
  </si>
  <si>
    <t>Offer Time</t>
  </si>
  <si>
    <t>a</t>
  </si>
  <si>
    <t>Seconds</t>
  </si>
  <si>
    <t>Transfer Time</t>
  </si>
  <si>
    <t>b</t>
  </si>
  <si>
    <t>CSR Cost Per Minute overheads</t>
  </si>
  <si>
    <t>c</t>
  </si>
  <si>
    <t>CSR Cost Per Minute labor</t>
  </si>
  <si>
    <t>Toll Charge Per Minute</t>
  </si>
  <si>
    <t>d</t>
  </si>
  <si>
    <t>Connect/Transfer</t>
  </si>
  <si>
    <t>e</t>
  </si>
  <si>
    <t>* All Times in Seconds</t>
  </si>
  <si>
    <t>Team Supervision</t>
  </si>
  <si>
    <t>Labor - 30 mins per week for 3 Supervisors</t>
  </si>
  <si>
    <t>Call Costs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</si>
  <si>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</si>
  <si>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</si>
  <si>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</si>
  <si>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</si>
  <si>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</si>
  <si>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</si>
  <si>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</si>
  <si>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</si>
  <si>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</si>
  <si>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</si>
  <si>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</si>
  <si>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</si>
  <si>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# Total Calls</t>
  </si>
  <si>
    <t>* Offer Time for Eligible Calls</t>
  </si>
  <si>
    <t>f</t>
  </si>
  <si>
    <t>Minutes</t>
  </si>
  <si>
    <t>f * a</t>
  </si>
  <si>
    <t># Calls Transferred</t>
  </si>
  <si>
    <t>g</t>
  </si>
  <si>
    <t>* Transfer Time  ( Minutes )</t>
  </si>
  <si>
    <t>g * b</t>
  </si>
  <si>
    <t xml:space="preserve">Total Time   ( Minutes )       </t>
  </si>
  <si>
    <t>h</t>
  </si>
  <si>
    <t>1-800 Toll Calls</t>
  </si>
  <si>
    <t>i</t>
  </si>
  <si>
    <t xml:space="preserve">*  Transfer Time                     </t>
  </si>
  <si>
    <t>j</t>
  </si>
  <si>
    <t>Minutes  Allocated  To 1- 800 Line</t>
  </si>
  <si>
    <t xml:space="preserve">*  Toll Cost                           </t>
  </si>
  <si>
    <t>k</t>
  </si>
  <si>
    <t xml:space="preserve">*Toll Charge Cost Total      </t>
  </si>
  <si>
    <t>j + k</t>
  </si>
  <si>
    <t>*CSR Cost Labor</t>
  </si>
  <si>
    <t>h * c</t>
  </si>
  <si>
    <t>*CSR Cost Labor Overheads</t>
  </si>
  <si>
    <t>*Connect/Transfer Cost Total</t>
  </si>
  <si>
    <t>g * e</t>
  </si>
  <si>
    <t>Total Cost Labor and Utilities</t>
  </si>
  <si>
    <t>Administrative Costs</t>
  </si>
  <si>
    <t># of reps Trained</t>
  </si>
  <si>
    <t>Cost to train</t>
  </si>
  <si>
    <t>* the number of supervisors</t>
  </si>
  <si>
    <t>Supervisor's Cost</t>
  </si>
  <si>
    <t>Misc. Costs</t>
  </si>
  <si>
    <t>Incentives</t>
  </si>
  <si>
    <t>Total GCCC Cost</t>
  </si>
  <si>
    <t>40242-LSN- MALLCN-MNP201</t>
  </si>
  <si>
    <t>CSR labor</t>
  </si>
  <si>
    <t>40242-BBO-MALLCN-MNP201</t>
  </si>
  <si>
    <t>40242-CAG-MALLCN-MNP201</t>
  </si>
  <si>
    <t>40242-EAL- MALLCN-MNP203</t>
  </si>
  <si>
    <t>Call center</t>
  </si>
  <si>
    <t>40242-EAL- MALLCN-MNP206</t>
  </si>
  <si>
    <t>Supervisor labor</t>
  </si>
  <si>
    <t>Total Debits</t>
  </si>
  <si>
    <t>41031-LSN-SCLREP</t>
  </si>
  <si>
    <t xml:space="preserve">Labor </t>
  </si>
  <si>
    <t>41031-EAL-SCLREP</t>
  </si>
  <si>
    <t>Phone</t>
  </si>
  <si>
    <t>40990-CAG-GDC929</t>
  </si>
  <si>
    <t>Total Credits</t>
  </si>
  <si>
    <t>2010 RATES EFFECTIVE MARCH 1, 2010</t>
  </si>
  <si>
    <t>2010 Overhead Rates, Level 1 - 6</t>
  </si>
  <si>
    <t xml:space="preserve">2010 Overhead Rates, Management </t>
  </si>
  <si>
    <t>New overhead rates effective 3/1/10</t>
  </si>
  <si>
    <t>Note:</t>
  </si>
  <si>
    <t>Offer Time for Eligible Calls = Total calls - Landlord - Webfax</t>
  </si>
  <si>
    <t>(found on AllConnect Total CCC Report)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</si>
</sst>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_);_(&quot;$&quot;* \(#,##0.0000\);_(&quot;$&quot;* &quot;-&quot;??_);_(@_)"/>
    <numFmt numFmtId="171" formatCode="_(&quot;$&quot;* #,##0_);_(&quot;$&quot;* \(#,##0\);_(&quot;$&quot;* &quot;-&quot;??_);_(@_)"/>
    <numFmt numFmtId="176" formatCode="_(* #,##0.0000_);_(* \(#,##0.0000\);_(* &quot;-&quot;??_);_(@_)"/>
    <numFmt numFmtId="178" formatCode="_(* #,##0_);_(* \(#,##0\);_(* &quot;-&quot;??_);_(@_)"/>
    <numFmt numFmtId="179" formatCode="&quot;$&quot;#,##0.00"/>
    <numFmt numFmtId="180" formatCode="&quot;$&quot;#,##0"/>
    <numFmt numFmtId="187" formatCode="&quot;$&quot;#,##0.000"/>
    <numFmt numFmtId="189" formatCode="&quot;$&quot;#,##0.00000"/>
    <numFmt numFmtId="190" formatCode="&quot;$&quot;#,##0.000000"/>
    <numFmt numFmtId="192" formatCode="0_);\(0\)"/>
    <numFmt numFmtId="193" formatCode="_(&quot;$&quot;* #,##0.00000_);_(&quot;$&quot;* \(#,##0.00000\);_(&quot;$&quot;* &quot;-&quot;??_);_(@_)"/>
    <numFmt numFmtId="195" formatCode="_(&quot;$&quot;* #,##0.0000000_);_(&quot;$&quot;* \(#,##0.0000000\);_(&quot;$&quot;* &quot;-&quot;??_);_(@_)"/>
    <numFmt numFmtId="213" formatCode="mmmm\,\ yyyy"/>
    <numFmt numFmtId="216" formatCode="mmm\-yyyy"/>
  </numFmts>
  <fonts count="4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name val="Century Gothic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 val="singleAccounting"/>
      <sz val="9"/>
      <name val="Arial"/>
      <family val="2"/>
    </font>
    <font>
      <u/>
      <sz val="11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name val="Arial"/>
    </font>
    <font>
      <b/>
      <sz val="8"/>
      <color indexed="81"/>
      <name val="Tahoma"/>
    </font>
    <font>
      <sz val="8"/>
      <color indexed="81"/>
      <name val="Tahoma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1" fillId="0" borderId="4" xfId="0" applyFont="1" applyBorder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0" fillId="0" borderId="0" xfId="0" applyNumberFormat="1"/>
    <xf numFmtId="0" fontId="10" fillId="0" borderId="0" xfId="0" applyFont="1"/>
    <xf numFmtId="0" fontId="11" fillId="0" borderId="7" xfId="0" applyFont="1" applyBorder="1"/>
    <xf numFmtId="0" fontId="12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right"/>
    </xf>
    <xf numFmtId="10" fontId="0" fillId="0" borderId="0" xfId="0" applyNumberFormat="1" applyBorder="1"/>
    <xf numFmtId="10" fontId="14" fillId="0" borderId="8" xfId="0" applyNumberFormat="1" applyFont="1" applyBorder="1" applyAlignment="1">
      <alignment horizontal="right"/>
    </xf>
    <xf numFmtId="0" fontId="15" fillId="0" borderId="0" xfId="0" applyFont="1"/>
    <xf numFmtId="0" fontId="16" fillId="0" borderId="0" xfId="0" quotePrefix="1" applyFont="1" applyAlignment="1">
      <alignment horizontal="left"/>
    </xf>
    <xf numFmtId="0" fontId="2" fillId="0" borderId="7" xfId="0" applyFont="1" applyBorder="1"/>
    <xf numFmtId="10" fontId="17" fillId="0" borderId="0" xfId="0" applyNumberFormat="1" applyFont="1" applyBorder="1"/>
    <xf numFmtId="0" fontId="0" fillId="0" borderId="8" xfId="0" applyBorder="1" applyAlignment="1">
      <alignment horizontal="right"/>
    </xf>
    <xf numFmtId="0" fontId="9" fillId="0" borderId="0" xfId="0" applyFont="1" applyAlignment="1">
      <alignment horizontal="right"/>
    </xf>
    <xf numFmtId="43" fontId="12" fillId="0" borderId="0" xfId="1" applyNumberFormat="1" applyFont="1" applyBorder="1" applyAlignment="1">
      <alignment horizontal="center"/>
    </xf>
    <xf numFmtId="0" fontId="18" fillId="0" borderId="0" xfId="0" applyFont="1"/>
    <xf numFmtId="180" fontId="19" fillId="3" borderId="0" xfId="0" applyNumberFormat="1" applyFont="1" applyFill="1"/>
    <xf numFmtId="180" fontId="18" fillId="3" borderId="0" xfId="0" applyNumberFormat="1" applyFont="1" applyFill="1"/>
    <xf numFmtId="43" fontId="1" fillId="0" borderId="0" xfId="1"/>
    <xf numFmtId="0" fontId="2" fillId="0" borderId="7" xfId="0" applyFont="1" applyBorder="1" applyAlignment="1">
      <alignment vertical="center"/>
    </xf>
    <xf numFmtId="43" fontId="20" fillId="0" borderId="0" xfId="1" applyNumberFormat="1" applyFont="1" applyBorder="1" applyAlignment="1">
      <alignment horizontal="center" vertical="center"/>
    </xf>
    <xf numFmtId="10" fontId="17" fillId="0" borderId="9" xfId="0" applyNumberFormat="1" applyFont="1" applyBorder="1" applyAlignment="1">
      <alignment vertical="center"/>
    </xf>
    <xf numFmtId="10" fontId="0" fillId="0" borderId="0" xfId="0" applyNumberFormat="1" applyBorder="1" applyAlignment="1">
      <alignment vertical="top"/>
    </xf>
    <xf numFmtId="10" fontId="0" fillId="0" borderId="8" xfId="0" applyNumberFormat="1" applyBorder="1" applyAlignment="1">
      <alignment horizontal="right" vertical="top"/>
    </xf>
    <xf numFmtId="10" fontId="21" fillId="0" borderId="0" xfId="0" applyNumberFormat="1" applyFont="1"/>
    <xf numFmtId="0" fontId="22" fillId="0" borderId="7" xfId="0" applyFont="1" applyBorder="1"/>
    <xf numFmtId="10" fontId="0" fillId="0" borderId="8" xfId="0" applyNumberFormat="1" applyBorder="1" applyAlignment="1">
      <alignment horizontal="right"/>
    </xf>
    <xf numFmtId="0" fontId="18" fillId="0" borderId="0" xfId="0" applyFont="1" applyAlignment="1">
      <alignment vertical="top"/>
    </xf>
    <xf numFmtId="180" fontId="18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3" fontId="23" fillId="0" borderId="0" xfId="1" applyFont="1" applyAlignment="1">
      <alignment vertical="top"/>
    </xf>
    <xf numFmtId="10" fontId="0" fillId="0" borderId="10" xfId="0" applyNumberFormat="1" applyBorder="1" applyAlignment="1">
      <alignment horizontal="right"/>
    </xf>
    <xf numFmtId="10" fontId="18" fillId="0" borderId="0" xfId="0" applyNumberFormat="1" applyFont="1"/>
    <xf numFmtId="0" fontId="11" fillId="0" borderId="7" xfId="0" applyFont="1" applyBorder="1" applyAlignment="1">
      <alignment horizontal="left"/>
    </xf>
    <xf numFmtId="0" fontId="0" fillId="0" borderId="0" xfId="0" applyBorder="1"/>
    <xf numFmtId="10" fontId="13" fillId="0" borderId="8" xfId="0" applyNumberFormat="1" applyFont="1" applyBorder="1" applyAlignment="1">
      <alignment horizontal="right"/>
    </xf>
    <xf numFmtId="180" fontId="21" fillId="0" borderId="0" xfId="0" applyNumberFormat="1" applyFont="1"/>
    <xf numFmtId="180" fontId="18" fillId="0" borderId="0" xfId="0" applyNumberFormat="1" applyFont="1"/>
    <xf numFmtId="0" fontId="0" fillId="0" borderId="7" xfId="0" applyBorder="1"/>
    <xf numFmtId="189" fontId="0" fillId="0" borderId="0" xfId="0" applyNumberFormat="1"/>
    <xf numFmtId="43" fontId="0" fillId="0" borderId="0" xfId="0" applyNumberFormat="1"/>
    <xf numFmtId="10" fontId="13" fillId="0" borderId="10" xfId="3" applyNumberFormat="1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0" fontId="13" fillId="4" borderId="12" xfId="0" applyFont="1" applyFill="1" applyBorder="1"/>
    <xf numFmtId="187" fontId="13" fillId="4" borderId="13" xfId="0" applyNumberFormat="1" applyFont="1" applyFill="1" applyBorder="1"/>
    <xf numFmtId="187" fontId="13" fillId="4" borderId="14" xfId="0" applyNumberFormat="1" applyFont="1" applyFill="1" applyBorder="1"/>
    <xf numFmtId="187" fontId="0" fillId="0" borderId="0" xfId="0" applyNumberFormat="1" applyAlignment="1">
      <alignment horizontal="left"/>
    </xf>
    <xf numFmtId="0" fontId="2" fillId="0" borderId="15" xfId="0" applyFont="1" applyBorder="1"/>
    <xf numFmtId="0" fontId="12" fillId="0" borderId="9" xfId="0" applyFont="1" applyBorder="1"/>
    <xf numFmtId="0" fontId="0" fillId="0" borderId="9" xfId="0" applyBorder="1"/>
    <xf numFmtId="0" fontId="0" fillId="0" borderId="10" xfId="0" applyBorder="1"/>
    <xf numFmtId="0" fontId="24" fillId="4" borderId="16" xfId="0" applyFont="1" applyFill="1" applyBorder="1"/>
    <xf numFmtId="187" fontId="13" fillId="4" borderId="0" xfId="0" applyNumberFormat="1" applyFont="1" applyFill="1" applyBorder="1"/>
    <xf numFmtId="187" fontId="13" fillId="4" borderId="17" xfId="0" applyNumberFormat="1" applyFont="1" applyFill="1" applyBorder="1"/>
    <xf numFmtId="179" fontId="0" fillId="0" borderId="0" xfId="0" applyNumberFormat="1"/>
    <xf numFmtId="0" fontId="24" fillId="4" borderId="18" xfId="0" applyFont="1" applyFill="1" applyBorder="1"/>
    <xf numFmtId="187" fontId="13" fillId="4" borderId="19" xfId="0" applyNumberFormat="1" applyFont="1" applyFill="1" applyBorder="1"/>
    <xf numFmtId="0" fontId="10" fillId="4" borderId="19" xfId="0" applyFont="1" applyFill="1" applyBorder="1"/>
    <xf numFmtId="187" fontId="13" fillId="4" borderId="20" xfId="0" applyNumberFormat="1" applyFont="1" applyFill="1" applyBorder="1"/>
    <xf numFmtId="180" fontId="15" fillId="0" borderId="0" xfId="0" applyNumberFormat="1" applyFont="1"/>
    <xf numFmtId="0" fontId="0" fillId="0" borderId="0" xfId="0" applyFill="1" applyBorder="1"/>
    <xf numFmtId="0" fontId="13" fillId="0" borderId="12" xfId="0" applyFont="1" applyFill="1" applyBorder="1"/>
    <xf numFmtId="187" fontId="13" fillId="0" borderId="13" xfId="0" applyNumberFormat="1" applyFont="1" applyFill="1" applyBorder="1"/>
    <xf numFmtId="0" fontId="0" fillId="0" borderId="13" xfId="0" applyBorder="1"/>
    <xf numFmtId="187" fontId="13" fillId="0" borderId="14" xfId="0" applyNumberFormat="1" applyFont="1" applyBorder="1"/>
    <xf numFmtId="180" fontId="0" fillId="0" borderId="0" xfId="0" applyNumberFormat="1"/>
    <xf numFmtId="2" fontId="25" fillId="0" borderId="0" xfId="0" applyNumberFormat="1" applyFont="1" applyFill="1" applyBorder="1"/>
    <xf numFmtId="0" fontId="13" fillId="0" borderId="18" xfId="0" applyFont="1" applyFill="1" applyBorder="1"/>
    <xf numFmtId="187" fontId="13" fillId="0" borderId="19" xfId="0" applyNumberFormat="1" applyFont="1" applyFill="1" applyBorder="1"/>
    <xf numFmtId="0" fontId="0" fillId="0" borderId="19" xfId="0" applyBorder="1"/>
    <xf numFmtId="187" fontId="13" fillId="0" borderId="20" xfId="0" applyNumberFormat="1" applyFont="1" applyBorder="1"/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87" fontId="0" fillId="0" borderId="0" xfId="0" applyNumberFormat="1" applyAlignment="1">
      <alignment horizontal="right"/>
    </xf>
    <xf numFmtId="187" fontId="0" fillId="0" borderId="0" xfId="0" applyNumberFormat="1"/>
    <xf numFmtId="0" fontId="13" fillId="0" borderId="0" xfId="0" applyFont="1" applyFill="1"/>
    <xf numFmtId="190" fontId="13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190" fontId="0" fillId="0" borderId="0" xfId="0" applyNumberFormat="1" applyFill="1"/>
    <xf numFmtId="180" fontId="0" fillId="0" borderId="0" xfId="0" applyNumberFormat="1" applyFill="1"/>
    <xf numFmtId="10" fontId="15" fillId="0" borderId="0" xfId="0" applyNumberFormat="1" applyFont="1" applyFill="1"/>
    <xf numFmtId="180" fontId="1" fillId="0" borderId="0" xfId="0" applyNumberFormat="1" applyFont="1" applyFill="1"/>
    <xf numFmtId="187" fontId="13" fillId="0" borderId="0" xfId="0" applyNumberFormat="1" applyFont="1" applyFill="1"/>
    <xf numFmtId="0" fontId="3" fillId="0" borderId="0" xfId="0" applyFont="1"/>
    <xf numFmtId="0" fontId="13" fillId="0" borderId="0" xfId="0" applyFont="1"/>
    <xf numFmtId="213" fontId="13" fillId="0" borderId="0" xfId="0" quotePrefix="1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quotePrefix="1" applyAlignment="1">
      <alignment horizontal="left"/>
    </xf>
    <xf numFmtId="43" fontId="1" fillId="0" borderId="0" xfId="1" applyFill="1" applyBorder="1"/>
    <xf numFmtId="0" fontId="0" fillId="5" borderId="0" xfId="0" applyFill="1"/>
    <xf numFmtId="44" fontId="0" fillId="0" borderId="0" xfId="0" applyNumberFormat="1"/>
    <xf numFmtId="44" fontId="1" fillId="0" borderId="0" xfId="1" applyNumberFormat="1"/>
    <xf numFmtId="0" fontId="28" fillId="0" borderId="0" xfId="0" applyFont="1" applyFill="1" applyBorder="1"/>
    <xf numFmtId="0" fontId="28" fillId="0" borderId="0" xfId="0" applyFont="1" applyBorder="1"/>
    <xf numFmtId="164" fontId="28" fillId="0" borderId="0" xfId="2" applyNumberFormat="1" applyFont="1" applyBorder="1"/>
    <xf numFmtId="0" fontId="29" fillId="0" borderId="0" xfId="0" applyFont="1"/>
    <xf numFmtId="176" fontId="29" fillId="0" borderId="0" xfId="0" applyNumberFormat="1" applyFont="1"/>
    <xf numFmtId="164" fontId="28" fillId="0" borderId="0" xfId="2" applyNumberFormat="1" applyFont="1" applyFill="1" applyBorder="1"/>
    <xf numFmtId="8" fontId="28" fillId="0" borderId="0" xfId="0" applyNumberFormat="1" applyFont="1" applyFill="1" applyBorder="1"/>
    <xf numFmtId="43" fontId="28" fillId="0" borderId="0" xfId="1" applyFont="1"/>
    <xf numFmtId="44" fontId="29" fillId="0" borderId="0" xfId="0" applyNumberFormat="1" applyFont="1"/>
    <xf numFmtId="0" fontId="28" fillId="0" borderId="0" xfId="0" applyFont="1" applyFill="1"/>
    <xf numFmtId="0" fontId="28" fillId="0" borderId="0" xfId="0" applyFont="1"/>
    <xf numFmtId="180" fontId="29" fillId="0" borderId="0" xfId="2" applyNumberFormat="1" applyFont="1"/>
    <xf numFmtId="5" fontId="29" fillId="0" borderId="0" xfId="0" applyNumberFormat="1" applyFont="1"/>
    <xf numFmtId="171" fontId="0" fillId="0" borderId="0" xfId="0" applyNumberForma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7" fillId="6" borderId="16" xfId="0" applyFont="1" applyFill="1" applyBorder="1"/>
    <xf numFmtId="0" fontId="17" fillId="6" borderId="0" xfId="0" applyFont="1" applyFill="1" applyBorder="1"/>
    <xf numFmtId="3" fontId="29" fillId="2" borderId="0" xfId="0" applyNumberFormat="1" applyFont="1" applyFill="1" applyBorder="1" applyAlignment="1">
      <alignment horizontal="right"/>
    </xf>
    <xf numFmtId="178" fontId="29" fillId="2" borderId="0" xfId="1" applyNumberFormat="1" applyFont="1" applyFill="1" applyBorder="1"/>
    <xf numFmtId="3" fontId="29" fillId="2" borderId="17" xfId="0" applyNumberFormat="1" applyFont="1" applyFill="1" applyBorder="1" applyAlignment="1">
      <alignment horizontal="right"/>
    </xf>
    <xf numFmtId="0" fontId="29" fillId="6" borderId="0" xfId="0" applyFont="1" applyFill="1"/>
    <xf numFmtId="0" fontId="17" fillId="0" borderId="16" xfId="0" applyFont="1" applyBorder="1"/>
    <xf numFmtId="0" fontId="17" fillId="0" borderId="0" xfId="0" applyFont="1" applyBorder="1"/>
    <xf numFmtId="37" fontId="1" fillId="2" borderId="0" xfId="2" applyNumberFormat="1" applyFill="1" applyBorder="1"/>
    <xf numFmtId="178" fontId="1" fillId="2" borderId="0" xfId="1" applyNumberFormat="1" applyFont="1" applyFill="1" applyBorder="1"/>
    <xf numFmtId="37" fontId="1" fillId="2" borderId="17" xfId="2" applyNumberFormat="1" applyFill="1" applyBorder="1"/>
    <xf numFmtId="0" fontId="0" fillId="0" borderId="16" xfId="0" applyBorder="1"/>
    <xf numFmtId="43" fontId="1" fillId="7" borderId="0" xfId="1" applyFill="1" applyBorder="1"/>
    <xf numFmtId="43" fontId="1" fillId="7" borderId="17" xfId="1" applyFill="1" applyBorder="1"/>
    <xf numFmtId="37" fontId="29" fillId="2" borderId="0" xfId="2" applyNumberFormat="1" applyFont="1" applyFill="1" applyBorder="1"/>
    <xf numFmtId="37" fontId="29" fillId="2" borderId="17" xfId="2" applyNumberFormat="1" applyFont="1" applyFill="1" applyBorder="1"/>
    <xf numFmtId="0" fontId="13" fillId="5" borderId="16" xfId="0" applyFont="1" applyFill="1" applyBorder="1"/>
    <xf numFmtId="0" fontId="13" fillId="5" borderId="0" xfId="0" applyFont="1" applyFill="1" applyBorder="1"/>
    <xf numFmtId="43" fontId="13" fillId="7" borderId="0" xfId="1" applyFont="1" applyFill="1" applyBorder="1"/>
    <xf numFmtId="43" fontId="13" fillId="7" borderId="17" xfId="1" applyFont="1" applyFill="1" applyBorder="1"/>
    <xf numFmtId="44" fontId="0" fillId="0" borderId="0" xfId="0" applyNumberFormat="1" applyBorder="1"/>
    <xf numFmtId="44" fontId="0" fillId="0" borderId="17" xfId="0" applyNumberFormat="1" applyBorder="1"/>
    <xf numFmtId="43" fontId="1" fillId="0" borderId="0" xfId="1" applyBorder="1"/>
    <xf numFmtId="43" fontId="1" fillId="0" borderId="17" xfId="1" applyBorder="1"/>
    <xf numFmtId="179" fontId="0" fillId="0" borderId="0" xfId="0" applyNumberFormat="1" applyBorder="1"/>
    <xf numFmtId="179" fontId="0" fillId="0" borderId="17" xfId="0" applyNumberFormat="1" applyBorder="1"/>
    <xf numFmtId="0" fontId="13" fillId="0" borderId="16" xfId="0" applyFont="1" applyBorder="1"/>
    <xf numFmtId="0" fontId="13" fillId="0" borderId="0" xfId="0" applyFont="1" applyBorder="1"/>
    <xf numFmtId="179" fontId="13" fillId="0" borderId="9" xfId="2" applyNumberFormat="1" applyFont="1" applyBorder="1"/>
    <xf numFmtId="179" fontId="13" fillId="0" borderId="21" xfId="2" applyNumberFormat="1" applyFont="1" applyBorder="1"/>
    <xf numFmtId="179" fontId="13" fillId="0" borderId="0" xfId="2" applyNumberFormat="1" applyFont="1" applyBorder="1"/>
    <xf numFmtId="179" fontId="13" fillId="0" borderId="17" xfId="2" applyNumberFormat="1" applyFont="1" applyBorder="1"/>
    <xf numFmtId="44" fontId="13" fillId="0" borderId="16" xfId="2" applyFont="1" applyBorder="1"/>
    <xf numFmtId="44" fontId="13" fillId="0" borderId="9" xfId="2" applyFont="1" applyBorder="1"/>
    <xf numFmtId="44" fontId="13" fillId="0" borderId="21" xfId="2" applyFont="1" applyBorder="1"/>
    <xf numFmtId="179" fontId="13" fillId="5" borderId="0" xfId="0" applyNumberFormat="1" applyFont="1" applyFill="1" applyBorder="1"/>
    <xf numFmtId="179" fontId="13" fillId="5" borderId="22" xfId="0" applyNumberFormat="1" applyFont="1" applyFill="1" applyBorder="1"/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9" xfId="0" applyFill="1" applyBorder="1"/>
    <xf numFmtId="44" fontId="0" fillId="6" borderId="9" xfId="0" applyNumberFormat="1" applyFill="1" applyBorder="1"/>
    <xf numFmtId="44" fontId="0" fillId="6" borderId="21" xfId="0" applyNumberFormat="1" applyFill="1" applyBorder="1"/>
    <xf numFmtId="0" fontId="0" fillId="6" borderId="0" xfId="0" applyFill="1"/>
    <xf numFmtId="44" fontId="13" fillId="0" borderId="0" xfId="0" applyNumberFormat="1" applyFont="1" applyBorder="1"/>
    <xf numFmtId="44" fontId="13" fillId="0" borderId="17" xfId="0" applyNumberFormat="1" applyFont="1" applyBorder="1"/>
    <xf numFmtId="10" fontId="1" fillId="0" borderId="0" xfId="3" applyNumberFormat="1" applyFont="1" applyBorder="1"/>
    <xf numFmtId="44" fontId="1" fillId="0" borderId="0" xfId="3" applyNumberFormat="1" applyFont="1" applyBorder="1"/>
    <xf numFmtId="44" fontId="1" fillId="0" borderId="17" xfId="3" applyNumberFormat="1" applyFont="1" applyBorder="1"/>
    <xf numFmtId="0" fontId="29" fillId="6" borderId="16" xfId="0" applyFont="1" applyFill="1" applyBorder="1"/>
    <xf numFmtId="0" fontId="29" fillId="6" borderId="0" xfId="0" applyFont="1" applyFill="1" applyBorder="1"/>
    <xf numFmtId="0" fontId="0" fillId="6" borderId="0" xfId="0" applyFill="1" applyBorder="1"/>
    <xf numFmtId="192" fontId="0" fillId="6" borderId="0" xfId="0" applyNumberFormat="1" applyFill="1" applyBorder="1"/>
    <xf numFmtId="1" fontId="0" fillId="6" borderId="0" xfId="0" applyNumberFormat="1" applyFill="1" applyBorder="1"/>
    <xf numFmtId="192" fontId="0" fillId="6" borderId="17" xfId="0" applyNumberFormat="1" applyFill="1" applyBorder="1"/>
    <xf numFmtId="179" fontId="30" fillId="5" borderId="0" xfId="0" applyNumberFormat="1" applyFont="1" applyFill="1" applyBorder="1"/>
    <xf numFmtId="44" fontId="30" fillId="5" borderId="0" xfId="0" applyNumberFormat="1" applyFont="1" applyFill="1" applyBorder="1"/>
    <xf numFmtId="44" fontId="13" fillId="0" borderId="23" xfId="2" applyFont="1" applyBorder="1" applyAlignment="1">
      <alignment horizontal="left"/>
    </xf>
    <xf numFmtId="44" fontId="13" fillId="0" borderId="9" xfId="2" applyFont="1" applyBorder="1" applyAlignment="1">
      <alignment horizontal="left"/>
    </xf>
    <xf numFmtId="171" fontId="13" fillId="0" borderId="9" xfId="2" applyNumberFormat="1" applyFont="1" applyBorder="1" applyAlignment="1">
      <alignment horizontal="right"/>
    </xf>
    <xf numFmtId="44" fontId="13" fillId="0" borderId="9" xfId="2" applyFont="1" applyBorder="1" applyAlignment="1">
      <alignment horizontal="right"/>
    </xf>
    <xf numFmtId="165" fontId="13" fillId="0" borderId="9" xfId="2" applyNumberFormat="1" applyFont="1" applyBorder="1" applyAlignment="1">
      <alignment horizontal="right"/>
    </xf>
    <xf numFmtId="44" fontId="13" fillId="0" borderId="9" xfId="2" applyNumberFormat="1" applyFont="1" applyBorder="1" applyAlignment="1">
      <alignment horizontal="right"/>
    </xf>
    <xf numFmtId="44" fontId="13" fillId="0" borderId="21" xfId="2" applyNumberFormat="1" applyFont="1" applyBorder="1" applyAlignment="1">
      <alignment horizontal="right"/>
    </xf>
    <xf numFmtId="44" fontId="13" fillId="0" borderId="24" xfId="2" applyFont="1" applyBorder="1" applyAlignment="1">
      <alignment horizontal="center"/>
    </xf>
    <xf numFmtId="44" fontId="13" fillId="0" borderId="2" xfId="2" applyFont="1" applyBorder="1" applyAlignment="1">
      <alignment horizontal="center"/>
    </xf>
    <xf numFmtId="193" fontId="13" fillId="0" borderId="2" xfId="2" applyNumberFormat="1" applyFont="1" applyBorder="1" applyAlignment="1">
      <alignment horizontal="right"/>
    </xf>
    <xf numFmtId="44" fontId="13" fillId="0" borderId="2" xfId="1" applyNumberFormat="1" applyFont="1" applyBorder="1" applyAlignment="1">
      <alignment horizontal="right"/>
    </xf>
    <xf numFmtId="44" fontId="13" fillId="0" borderId="2" xfId="2" applyNumberFormat="1" applyFont="1" applyBorder="1" applyAlignment="1">
      <alignment horizontal="right"/>
    </xf>
    <xf numFmtId="195" fontId="13" fillId="0" borderId="2" xfId="2" applyNumberFormat="1" applyFont="1" applyBorder="1" applyAlignment="1">
      <alignment horizontal="right"/>
    </xf>
    <xf numFmtId="44" fontId="13" fillId="0" borderId="25" xfId="2" applyNumberFormat="1" applyFont="1" applyBorder="1" applyAlignment="1">
      <alignment horizontal="right"/>
    </xf>
    <xf numFmtId="44" fontId="13" fillId="0" borderId="23" xfId="2" applyFont="1" applyBorder="1" applyAlignment="1">
      <alignment horizontal="center"/>
    </xf>
    <xf numFmtId="44" fontId="13" fillId="0" borderId="9" xfId="2" applyFont="1" applyBorder="1" applyAlignment="1">
      <alignment horizontal="center"/>
    </xf>
    <xf numFmtId="0" fontId="13" fillId="5" borderId="18" xfId="0" applyFont="1" applyFill="1" applyBorder="1"/>
    <xf numFmtId="0" fontId="13" fillId="5" borderId="19" xfId="0" applyFont="1" applyFill="1" applyBorder="1"/>
    <xf numFmtId="179" fontId="13" fillId="5" borderId="19" xfId="0" applyNumberFormat="1" applyFont="1" applyFill="1" applyBorder="1"/>
    <xf numFmtId="44" fontId="13" fillId="5" borderId="19" xfId="0" applyNumberFormat="1" applyFont="1" applyFill="1" applyBorder="1"/>
    <xf numFmtId="44" fontId="13" fillId="5" borderId="20" xfId="0" applyNumberFormat="1" applyFont="1" applyFill="1" applyBorder="1"/>
    <xf numFmtId="216" fontId="10" fillId="0" borderId="0" xfId="0" applyNumberFormat="1" applyFont="1" applyFill="1" applyAlignment="1">
      <alignment horizontal="center"/>
    </xf>
    <xf numFmtId="216" fontId="3" fillId="8" borderId="0" xfId="0" applyNumberFormat="1" applyFont="1" applyFill="1" applyAlignment="1">
      <alignment horizontal="center"/>
    </xf>
    <xf numFmtId="0" fontId="31" fillId="0" borderId="0" xfId="0" applyFont="1" applyFill="1"/>
    <xf numFmtId="0" fontId="10" fillId="0" borderId="0" xfId="0" applyFont="1" applyFill="1"/>
    <xf numFmtId="0" fontId="3" fillId="8" borderId="0" xfId="0" applyFont="1" applyFill="1"/>
    <xf numFmtId="0" fontId="0" fillId="0" borderId="0" xfId="0" quotePrefix="1" applyFill="1" applyAlignment="1">
      <alignment horizontal="left"/>
    </xf>
    <xf numFmtId="39" fontId="0" fillId="0" borderId="0" xfId="0" applyNumberFormat="1"/>
    <xf numFmtId="39" fontId="10" fillId="0" borderId="0" xfId="0" applyNumberFormat="1" applyFont="1" applyFill="1"/>
    <xf numFmtId="39" fontId="3" fillId="8" borderId="0" xfId="0" applyNumberFormat="1" applyFont="1" applyFill="1"/>
    <xf numFmtId="179" fontId="10" fillId="0" borderId="0" xfId="0" applyNumberFormat="1" applyFont="1"/>
    <xf numFmtId="39" fontId="0" fillId="0" borderId="0" xfId="0" applyNumberFormat="1" applyFill="1"/>
    <xf numFmtId="179" fontId="10" fillId="0" borderId="0" xfId="0" applyNumberFormat="1" applyFont="1" applyFill="1"/>
    <xf numFmtId="39" fontId="10" fillId="0" borderId="0" xfId="1" applyNumberFormat="1" applyFont="1" applyFill="1"/>
    <xf numFmtId="39" fontId="3" fillId="8" borderId="0" xfId="1" applyNumberFormat="1" applyFont="1" applyFill="1"/>
    <xf numFmtId="179" fontId="10" fillId="0" borderId="0" xfId="1" applyNumberFormat="1" applyFont="1"/>
    <xf numFmtId="43" fontId="1" fillId="3" borderId="0" xfId="1" applyFill="1" applyBorder="1"/>
    <xf numFmtId="164" fontId="28" fillId="3" borderId="0" xfId="2" applyNumberFormat="1" applyFont="1" applyFill="1" applyBorder="1"/>
    <xf numFmtId="8" fontId="28" fillId="3" borderId="0" xfId="0" applyNumberFormat="1" applyFont="1" applyFill="1" applyBorder="1"/>
    <xf numFmtId="0" fontId="28" fillId="3" borderId="0" xfId="0" applyFont="1" applyFill="1"/>
    <xf numFmtId="0" fontId="34" fillId="8" borderId="0" xfId="0" applyFont="1" applyFill="1"/>
    <xf numFmtId="0" fontId="0" fillId="0" borderId="0" xfId="0" applyNumberFormat="1"/>
    <xf numFmtId="43" fontId="1" fillId="9" borderId="0" xfId="1" applyFill="1" applyBorder="1"/>
    <xf numFmtId="164" fontId="28" fillId="9" borderId="0" xfId="2" applyNumberFormat="1" applyFont="1" applyFill="1" applyBorder="1"/>
    <xf numFmtId="8" fontId="28" fillId="9" borderId="0" xfId="0" applyNumberFormat="1" applyFont="1" applyFill="1" applyBorder="1"/>
    <xf numFmtId="5" fontId="29" fillId="9" borderId="0" xfId="0" applyNumberFormat="1" applyFont="1" applyFill="1"/>
    <xf numFmtId="43" fontId="10" fillId="0" borderId="0" xfId="1" applyFont="1" applyFill="1"/>
    <xf numFmtId="37" fontId="1" fillId="2" borderId="0" xfId="2" applyNumberFormat="1" applyFont="1" applyFill="1" applyBorder="1"/>
    <xf numFmtId="37" fontId="0" fillId="2" borderId="0" xfId="2" applyNumberFormat="1" applyFont="1" applyFill="1" applyBorder="1"/>
    <xf numFmtId="43" fontId="36" fillId="7" borderId="0" xfId="1" applyFont="1" applyFill="1" applyBorder="1"/>
    <xf numFmtId="43" fontId="36" fillId="0" borderId="0" xfId="1" applyFont="1" applyBorder="1"/>
    <xf numFmtId="43" fontId="10" fillId="7" borderId="0" xfId="1" applyFont="1" applyFill="1" applyBorder="1"/>
    <xf numFmtId="43" fontId="8" fillId="7" borderId="0" xfId="1" applyFont="1" applyFill="1" applyBorder="1"/>
    <xf numFmtId="43" fontId="10" fillId="0" borderId="0" xfId="1" applyFont="1" applyBorder="1"/>
    <xf numFmtId="179" fontId="8" fillId="0" borderId="9" xfId="2" applyNumberFormat="1" applyFont="1" applyBorder="1"/>
    <xf numFmtId="179" fontId="8" fillId="0" borderId="0" xfId="2" applyNumberFormat="1" applyFont="1" applyBorder="1"/>
    <xf numFmtId="44" fontId="8" fillId="0" borderId="9" xfId="2" applyFont="1" applyBorder="1"/>
    <xf numFmtId="3" fontId="37" fillId="2" borderId="0" xfId="0" applyNumberFormat="1" applyFont="1" applyFill="1" applyBorder="1" applyAlignment="1">
      <alignment horizontal="right"/>
    </xf>
    <xf numFmtId="37" fontId="38" fillId="2" borderId="0" xfId="2" applyNumberFormat="1" applyFont="1" applyFill="1" applyBorder="1"/>
    <xf numFmtId="43" fontId="38" fillId="7" borderId="0" xfId="1" applyFont="1" applyFill="1" applyBorder="1"/>
    <xf numFmtId="37" fontId="37" fillId="2" borderId="0" xfId="2" applyNumberFormat="1" applyFont="1" applyFill="1" applyBorder="1"/>
    <xf numFmtId="43" fontId="38" fillId="0" borderId="0" xfId="1" applyFont="1" applyBorder="1"/>
    <xf numFmtId="179" fontId="8" fillId="5" borderId="0" xfId="0" applyNumberFormat="1" applyFont="1" applyFill="1" applyBorder="1"/>
    <xf numFmtId="3" fontId="37" fillId="2" borderId="17" xfId="0" applyNumberFormat="1" applyFont="1" applyFill="1" applyBorder="1" applyAlignment="1">
      <alignment horizontal="right"/>
    </xf>
    <xf numFmtId="43" fontId="38" fillId="7" borderId="17" xfId="1" applyFont="1" applyFill="1" applyBorder="1"/>
    <xf numFmtId="37" fontId="37" fillId="2" borderId="17" xfId="2" applyNumberFormat="1" applyFont="1" applyFill="1" applyBorder="1"/>
    <xf numFmtId="43" fontId="8" fillId="7" borderId="17" xfId="1" applyFont="1" applyFill="1" applyBorder="1"/>
    <xf numFmtId="43" fontId="38" fillId="0" borderId="17" xfId="1" applyFont="1" applyBorder="1"/>
    <xf numFmtId="179" fontId="8" fillId="0" borderId="21" xfId="2" applyNumberFormat="1" applyFont="1" applyBorder="1"/>
    <xf numFmtId="179" fontId="8" fillId="0" borderId="17" xfId="2" applyNumberFormat="1" applyFont="1" applyBorder="1"/>
    <xf numFmtId="44" fontId="8" fillId="0" borderId="21" xfId="2" applyFont="1" applyBorder="1"/>
    <xf numFmtId="179" fontId="8" fillId="5" borderId="22" xfId="0" applyNumberFormat="1" applyFont="1" applyFill="1" applyBorder="1"/>
    <xf numFmtId="216" fontId="3" fillId="10" borderId="0" xfId="0" applyNumberFormat="1" applyFont="1" applyFill="1" applyAlignment="1">
      <alignment horizontal="center"/>
    </xf>
    <xf numFmtId="0" fontId="3" fillId="10" borderId="0" xfId="0" applyFont="1" applyFill="1"/>
    <xf numFmtId="39" fontId="3" fillId="10" borderId="0" xfId="0" applyNumberFormat="1" applyFont="1" applyFill="1"/>
    <xf numFmtId="39" fontId="3" fillId="10" borderId="0" xfId="1" applyNumberFormat="1" applyFont="1" applyFill="1"/>
    <xf numFmtId="0" fontId="0" fillId="0" borderId="0" xfId="0" applyAlignment="1">
      <alignment horizontal="left"/>
    </xf>
    <xf numFmtId="0" fontId="3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hindsm\Local%20Settings\Temporary%20Internet%20Files\Content.Outlook\Q3XRW40Z\2009%20All%20Connect%20Costs%20Report%20(Master%20fil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hindsm\Local%20Settings\Temporary%20Internet%20Files\Content.Outlook\Q3XRW40Z\2008%20All%20Connect%20Costs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dangelo\Local%20Settings\Temporary%20Internet%20Files\OLKBC\2009%20All%20Connect%20Costs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WIGGIN\Local%20Settings\Temporary%20Internet%20Files\OLK8AB\2008%20All%20Connect%20Costs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TWIGGIN\Local%20Settings\Temporary%20Internet%20Files\OLK8AB\2009%20All%20Connect%20Costs%20Re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 GP Connections, Jan-Feb"/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/>
      <sheetData sheetId="1"/>
      <sheetData sheetId="2">
        <row r="15">
          <cell r="D15">
            <v>1.5004302083333334</v>
          </cell>
        </row>
        <row r="16">
          <cell r="B16">
            <v>0.2574679487179487</v>
          </cell>
          <cell r="D16">
            <v>0.64479166666666665</v>
          </cell>
        </row>
        <row r="17">
          <cell r="B17">
            <v>0.3247958173076923</v>
          </cell>
        </row>
        <row r="19">
          <cell r="B19">
            <v>0.19451703525641023</v>
          </cell>
          <cell r="D19">
            <v>0.52937395833333334</v>
          </cell>
        </row>
        <row r="20">
          <cell r="B20">
            <v>0.13027878205128204</v>
          </cell>
          <cell r="D20">
            <v>0.32626458333333336</v>
          </cell>
        </row>
      </sheetData>
      <sheetData sheetId="3"/>
      <sheetData sheetId="4"/>
      <sheetData sheetId="5">
        <row r="15">
          <cell r="D15">
            <v>1.4018800721153848</v>
          </cell>
        </row>
        <row r="16">
          <cell r="D16">
            <v>0.58484775641025644</v>
          </cell>
        </row>
        <row r="19">
          <cell r="B19">
            <v>0.18934139486378204</v>
          </cell>
          <cell r="D19">
            <v>0.49378696073717959</v>
          </cell>
        </row>
        <row r="20">
          <cell r="B20">
            <v>0.13342979592147436</v>
          </cell>
          <cell r="D20">
            <v>0.32324535496794871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9 GP Connections, Mar-Dec"/>
      <sheetName val="2009 Fully Loaded Calculations"/>
      <sheetName val="2009 GP Connections, Jan-Feb"/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8 GP Connections, Mar-Dec"/>
      <sheetName val="2008 Fully Loaded Calculations"/>
      <sheetName val="2008 GP Connections, Jan &amp; Feb"/>
      <sheetName val="2007 Fully Loaded Calculations"/>
      <sheetName val="2007 Fully Loaded Notes"/>
    </sheetNames>
    <sheetDataSet>
      <sheetData sheetId="0" refreshError="1"/>
      <sheetData sheetId="1" refreshError="1"/>
      <sheetData sheetId="2" refreshError="1">
        <row r="6">
          <cell r="C6">
            <v>0.32067528632035258</v>
          </cell>
        </row>
        <row r="7">
          <cell r="C7">
            <v>0.2343830128205128</v>
          </cell>
        </row>
        <row r="8">
          <cell r="C8">
            <v>3.9E-2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tabSelected="1" zoomScale="95" zoomScaleNormal="100" zoomScaleSheetLayoutView="85" workbookViewId="0"/>
  </sheetViews>
  <sheetFormatPr defaultRowHeight="12.75"/>
  <cols>
    <col min="1" max="1" width="34.85546875" customWidth="1"/>
    <col min="2" max="2" width="11" customWidth="1"/>
    <col min="3" max="3" width="11.85546875" customWidth="1"/>
    <col min="4" max="4" width="13" customWidth="1"/>
    <col min="5" max="5" width="16.8554687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102" t="s">
        <v>36</v>
      </c>
      <c r="B1" s="102"/>
      <c r="H1" s="103" t="s">
        <v>120</v>
      </c>
      <c r="I1" s="103"/>
      <c r="J1" s="103"/>
      <c r="K1" s="103"/>
    </row>
    <row r="2" spans="1:245" s="103" customFormat="1">
      <c r="E2" s="104">
        <v>40513</v>
      </c>
      <c r="H2" s="262" t="s">
        <v>121</v>
      </c>
      <c r="I2" s="262"/>
      <c r="J2" s="262"/>
      <c r="K2" s="262"/>
    </row>
    <row r="3" spans="1:245">
      <c r="A3" s="105" t="s">
        <v>37</v>
      </c>
      <c r="B3" s="105"/>
      <c r="C3" s="51"/>
      <c r="E3" s="106" t="s">
        <v>119</v>
      </c>
      <c r="H3" s="263" t="s">
        <v>122</v>
      </c>
      <c r="I3" s="263"/>
      <c r="J3" s="263"/>
      <c r="K3" s="263"/>
    </row>
    <row r="4" spans="1:245">
      <c r="A4" s="77" t="s">
        <v>39</v>
      </c>
      <c r="B4" s="51" t="s">
        <v>40</v>
      </c>
      <c r="C4" s="228">
        <v>10</v>
      </c>
      <c r="D4" s="108" t="s">
        <v>41</v>
      </c>
      <c r="I4" s="109"/>
      <c r="J4" s="109"/>
    </row>
    <row r="5" spans="1:245">
      <c r="A5" s="77" t="s">
        <v>42</v>
      </c>
      <c r="B5" s="51" t="s">
        <v>43</v>
      </c>
      <c r="C5" s="228">
        <v>5</v>
      </c>
      <c r="D5" s="108" t="s">
        <v>41</v>
      </c>
      <c r="I5" s="109"/>
      <c r="J5" s="110"/>
    </row>
    <row r="6" spans="1:245" s="114" customFormat="1">
      <c r="A6" s="111" t="s">
        <v>44</v>
      </c>
      <c r="B6" s="112" t="s">
        <v>45</v>
      </c>
      <c r="C6" s="113">
        <f>'2010 Fully Loaded Calculations'!B17</f>
        <v>0.33291268028846149</v>
      </c>
      <c r="F6"/>
      <c r="G6"/>
      <c r="H6"/>
      <c r="I6" s="109"/>
      <c r="J6" s="109"/>
    </row>
    <row r="7" spans="1:245" s="114" customFormat="1">
      <c r="A7" s="111" t="s">
        <v>46</v>
      </c>
      <c r="B7" s="112" t="s">
        <v>45</v>
      </c>
      <c r="C7" s="113">
        <f>'2010 Fully Loaded Calculations'!B16</f>
        <v>0.26390224358974362</v>
      </c>
      <c r="D7" s="115"/>
      <c r="F7"/>
      <c r="G7"/>
      <c r="H7"/>
      <c r="I7" s="109"/>
      <c r="J7" s="109"/>
    </row>
    <row r="8" spans="1:245" s="114" customFormat="1">
      <c r="A8" s="111" t="s">
        <v>47</v>
      </c>
      <c r="B8" s="112" t="s">
        <v>48</v>
      </c>
      <c r="C8" s="229">
        <v>1.7000000000000001E-2</v>
      </c>
    </row>
    <row r="9" spans="1:245" s="114" customFormat="1">
      <c r="A9" s="111" t="s">
        <v>49</v>
      </c>
      <c r="B9" s="112" t="s">
        <v>50</v>
      </c>
      <c r="C9" s="230">
        <v>0.3</v>
      </c>
      <c r="F9"/>
      <c r="I9" s="118"/>
      <c r="J9" s="119"/>
    </row>
    <row r="10" spans="1:245">
      <c r="A10" s="77" t="s">
        <v>51</v>
      </c>
      <c r="B10" s="51"/>
      <c r="C10" s="51"/>
      <c r="J10" s="57"/>
    </row>
    <row r="11" spans="1:245">
      <c r="A11" s="95"/>
    </row>
    <row r="12" spans="1:245">
      <c r="A12" s="95" t="s">
        <v>52</v>
      </c>
      <c r="C12">
        <v>2008</v>
      </c>
      <c r="D12">
        <v>2009</v>
      </c>
      <c r="E12" s="227">
        <v>2010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120" t="s">
        <v>53</v>
      </c>
      <c r="B13" s="121"/>
      <c r="C13" s="122">
        <f>'[1]2008 Fully Loaded Calculations'!D15*52*90</f>
        <v>6560.7987375000012</v>
      </c>
      <c r="D13" s="123">
        <f>'[1]2009 Fully Loaded Calculations'!D15*52*90</f>
        <v>7022.0133750000005</v>
      </c>
      <c r="E13" s="231">
        <f>'2010 Fully Loaded Calculations'!D15*52*90</f>
        <v>7197.5855249999995</v>
      </c>
    </row>
    <row r="14" spans="1:245" ht="13.5" thickBot="1">
      <c r="C14" s="12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125" t="s">
        <v>54</v>
      </c>
      <c r="B15" s="126"/>
      <c r="C15" s="126" t="s">
        <v>55</v>
      </c>
      <c r="D15" s="126" t="s">
        <v>56</v>
      </c>
      <c r="E15" s="126" t="s">
        <v>57</v>
      </c>
      <c r="F15" s="126" t="s">
        <v>58</v>
      </c>
      <c r="G15" s="126" t="s">
        <v>59</v>
      </c>
      <c r="H15" s="126" t="s">
        <v>60</v>
      </c>
      <c r="I15" s="126" t="s">
        <v>61</v>
      </c>
      <c r="J15" s="126" t="s">
        <v>62</v>
      </c>
      <c r="K15" s="126" t="s">
        <v>63</v>
      </c>
      <c r="L15" s="126" t="s">
        <v>64</v>
      </c>
      <c r="M15" s="126" t="s">
        <v>65</v>
      </c>
      <c r="N15" s="127" t="s">
        <v>66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128" t="s">
        <v>67</v>
      </c>
      <c r="B16" s="129"/>
      <c r="C16" s="130">
        <v>5355</v>
      </c>
      <c r="D16" s="130">
        <v>5683</v>
      </c>
      <c r="E16" s="131">
        <v>5850</v>
      </c>
      <c r="F16" s="131">
        <v>5558</v>
      </c>
      <c r="G16" s="131">
        <v>5424</v>
      </c>
      <c r="H16" s="131">
        <v>6306</v>
      </c>
      <c r="I16" s="131">
        <v>6019</v>
      </c>
      <c r="J16" s="131">
        <v>5884</v>
      </c>
      <c r="K16" s="130">
        <v>5489</v>
      </c>
      <c r="L16" s="243">
        <v>5086</v>
      </c>
      <c r="M16" s="130">
        <v>4840</v>
      </c>
      <c r="N16" s="249">
        <v>4142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134" t="s">
        <v>68</v>
      </c>
      <c r="B17" s="135" t="s">
        <v>69</v>
      </c>
      <c r="C17" s="136">
        <f>+C16-1021-242</f>
        <v>4092</v>
      </c>
      <c r="D17" s="136">
        <f>+D16-980-251</f>
        <v>4452</v>
      </c>
      <c r="E17" s="136">
        <f>+E16-888-377</f>
        <v>4585</v>
      </c>
      <c r="F17" s="136">
        <f>+F16-877-385</f>
        <v>4296</v>
      </c>
      <c r="G17" s="136">
        <v>3769</v>
      </c>
      <c r="H17" s="136">
        <v>4766</v>
      </c>
      <c r="I17" s="233">
        <f>+I16-929-435</f>
        <v>4655</v>
      </c>
      <c r="J17" s="234">
        <f>+J16-935-471</f>
        <v>4478</v>
      </c>
      <c r="K17" s="234">
        <f>+K16-828-315</f>
        <v>4346</v>
      </c>
      <c r="L17" s="244">
        <f>L16-697-273</f>
        <v>4116</v>
      </c>
      <c r="M17" s="136">
        <v>3930</v>
      </c>
      <c r="N17" s="244">
        <f>4840-532-269</f>
        <v>4039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139" t="s">
        <v>70</v>
      </c>
      <c r="B18" s="51" t="s">
        <v>71</v>
      </c>
      <c r="C18" s="140">
        <f>+C17*$C$4/60</f>
        <v>682</v>
      </c>
      <c r="D18" s="140">
        <f>+D17*$C$4/60</f>
        <v>742</v>
      </c>
      <c r="E18" s="140">
        <f>+E17*$C$4/60</f>
        <v>764.16666666666663</v>
      </c>
      <c r="F18" s="140">
        <f>+F17*$C$4/60</f>
        <v>716</v>
      </c>
      <c r="G18" s="140">
        <v>628.16666666666663</v>
      </c>
      <c r="H18" s="140">
        <v>794.33333333333337</v>
      </c>
      <c r="I18" s="140">
        <f>+I17*$C$4/60</f>
        <v>775.83333333333337</v>
      </c>
      <c r="J18" s="235">
        <f>+J17*$C$4/60</f>
        <v>746.33333333333337</v>
      </c>
      <c r="K18" s="237">
        <f>+K17*$C$4/60</f>
        <v>724.33333333333337</v>
      </c>
      <c r="L18" s="245">
        <f>+L17*$C$4/60</f>
        <v>686</v>
      </c>
      <c r="M18" s="140">
        <v>655</v>
      </c>
      <c r="N18" s="250">
        <f>+N17*$C$4/60</f>
        <v>673.16666666666663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128" t="s">
        <v>72</v>
      </c>
      <c r="B19" s="129" t="s">
        <v>73</v>
      </c>
      <c r="C19" s="142">
        <v>292</v>
      </c>
      <c r="D19" s="142">
        <v>335</v>
      </c>
      <c r="E19" s="142">
        <v>304</v>
      </c>
      <c r="F19" s="142">
        <v>240</v>
      </c>
      <c r="G19" s="142">
        <v>234</v>
      </c>
      <c r="H19" s="142">
        <v>280</v>
      </c>
      <c r="I19" s="142">
        <v>249</v>
      </c>
      <c r="J19" s="142">
        <v>230</v>
      </c>
      <c r="K19" s="142">
        <v>208</v>
      </c>
      <c r="L19" s="246">
        <v>196</v>
      </c>
      <c r="M19" s="142">
        <v>174</v>
      </c>
      <c r="N19" s="251">
        <v>152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139" t="s">
        <v>74</v>
      </c>
      <c r="B20" s="51" t="s">
        <v>75</v>
      </c>
      <c r="C20" s="140">
        <f>+C19*$C$5/60</f>
        <v>24.333333333333332</v>
      </c>
      <c r="D20" s="140">
        <f>+D19*$C$5/60</f>
        <v>27.916666666666668</v>
      </c>
      <c r="E20" s="140">
        <f>+E19*$C$5/60</f>
        <v>25.333333333333332</v>
      </c>
      <c r="F20" s="140">
        <f>+F19*$C$5/60</f>
        <v>20</v>
      </c>
      <c r="G20" s="140">
        <v>19.5</v>
      </c>
      <c r="H20" s="140">
        <v>23.333333333333332</v>
      </c>
      <c r="I20" s="140">
        <f t="shared" ref="I20:J20" si="0">+I19*$C$5/60</f>
        <v>20.75</v>
      </c>
      <c r="J20" s="235">
        <f t="shared" si="0"/>
        <v>19.166666666666668</v>
      </c>
      <c r="K20" s="237">
        <f>+K19*$C$5/60</f>
        <v>17.333333333333332</v>
      </c>
      <c r="L20" s="245">
        <f>+L19*$C$5/60</f>
        <v>16.333333333333332</v>
      </c>
      <c r="M20" s="140">
        <v>14.5</v>
      </c>
      <c r="N20" s="250">
        <f>+N19*$C$5/60</f>
        <v>12.666666666666666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144" t="s">
        <v>76</v>
      </c>
      <c r="B21" s="145" t="s">
        <v>77</v>
      </c>
      <c r="C21" s="146">
        <f>C18+C20</f>
        <v>706.33333333333337</v>
      </c>
      <c r="D21" s="146">
        <f>D18+D20</f>
        <v>769.91666666666663</v>
      </c>
      <c r="E21" s="146">
        <f>E18+E20</f>
        <v>789.5</v>
      </c>
      <c r="F21" s="146">
        <f>F18+F20</f>
        <v>736</v>
      </c>
      <c r="G21" s="146">
        <v>647.66666666666663</v>
      </c>
      <c r="H21" s="146">
        <v>817.66666666666674</v>
      </c>
      <c r="I21" s="146">
        <f t="shared" ref="I21:J21" si="1">I18+I20</f>
        <v>796.58333333333337</v>
      </c>
      <c r="J21" s="146">
        <f t="shared" si="1"/>
        <v>765.5</v>
      </c>
      <c r="K21" s="238">
        <f>K18+K20</f>
        <v>741.66666666666674</v>
      </c>
      <c r="L21" s="238">
        <f>L18+L20</f>
        <v>702.33333333333337</v>
      </c>
      <c r="M21" s="146">
        <v>669.5</v>
      </c>
      <c r="N21" s="252">
        <f>N18+N20</f>
        <v>685.83333333333326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128" t="s">
        <v>78</v>
      </c>
      <c r="B22" s="129" t="s">
        <v>79</v>
      </c>
      <c r="C22" s="142">
        <v>5</v>
      </c>
      <c r="D22" s="142">
        <v>12</v>
      </c>
      <c r="E22" s="142">
        <v>20</v>
      </c>
      <c r="F22" s="142">
        <v>15</v>
      </c>
      <c r="G22" s="142">
        <v>8</v>
      </c>
      <c r="H22" s="142">
        <v>12</v>
      </c>
      <c r="I22" s="142">
        <v>16</v>
      </c>
      <c r="J22" s="142">
        <v>14</v>
      </c>
      <c r="K22" s="142">
        <v>6</v>
      </c>
      <c r="L22" s="246">
        <v>9</v>
      </c>
      <c r="M22" s="142">
        <v>7</v>
      </c>
      <c r="N22" s="251">
        <v>6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139" t="s">
        <v>80</v>
      </c>
      <c r="B23" s="51" t="s">
        <v>81</v>
      </c>
      <c r="C23" s="148">
        <f>+C22*$C$9</f>
        <v>1.5</v>
      </c>
      <c r="D23" s="148">
        <f>+D22*$C$9</f>
        <v>3.5999999999999996</v>
      </c>
      <c r="E23" s="148">
        <f>+E22*$C$9</f>
        <v>6</v>
      </c>
      <c r="F23" s="148">
        <f>+F22*$C$9</f>
        <v>4.5</v>
      </c>
      <c r="G23" s="148">
        <v>2.4</v>
      </c>
      <c r="H23" s="148">
        <v>3.6</v>
      </c>
      <c r="I23" s="148">
        <f t="shared" ref="I23:J23" si="2">+I22*$C$9</f>
        <v>4.8</v>
      </c>
      <c r="J23" s="148">
        <f t="shared" si="2"/>
        <v>4.2</v>
      </c>
      <c r="K23" s="148">
        <f>+K22*$C$9</f>
        <v>1.7999999999999998</v>
      </c>
      <c r="L23" s="148">
        <f>+L22*$C$9</f>
        <v>2.6999999999999997</v>
      </c>
      <c r="M23" s="148">
        <v>2.1</v>
      </c>
      <c r="N23" s="149">
        <f>+N22*$C$9</f>
        <v>1.7999999999999998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139" t="s">
        <v>82</v>
      </c>
      <c r="B24" s="51"/>
      <c r="C24" s="150">
        <f>IF(C19=0,0,C22/C19*C18)</f>
        <v>11.67808219178082</v>
      </c>
      <c r="D24" s="150">
        <f>IF(D19=0,0,D22/D19*D18)</f>
        <v>26.579104477611942</v>
      </c>
      <c r="E24" s="150">
        <f>IF(E19=0,0,E22/E19*E18)</f>
        <v>50.274122807017541</v>
      </c>
      <c r="F24" s="150">
        <f>IF(F19=0,0,F22/F19*F18)</f>
        <v>44.75</v>
      </c>
      <c r="G24" s="150">
        <v>21.475783475783476</v>
      </c>
      <c r="H24" s="150">
        <v>34.042857142857144</v>
      </c>
      <c r="I24" s="150">
        <f t="shared" ref="I24:J24" si="3">IF(I19=0,0,I22/I19*I18)</f>
        <v>49.85274431057563</v>
      </c>
      <c r="J24" s="236">
        <f t="shared" si="3"/>
        <v>45.428985507246381</v>
      </c>
      <c r="K24" s="239">
        <f>IF(K19=0,0,K22/K19*K18)</f>
        <v>20.89423076923077</v>
      </c>
      <c r="L24" s="247">
        <f>IF(L19=0,0,L22/L19*L18)</f>
        <v>31.5</v>
      </c>
      <c r="M24" s="150">
        <v>26.350574712643677</v>
      </c>
      <c r="N24" s="253">
        <f>IF(N19=0,0,N22/N19*N18)</f>
        <v>26.57236842105263</v>
      </c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139" t="s">
        <v>83</v>
      </c>
      <c r="B25" s="51" t="s">
        <v>84</v>
      </c>
      <c r="C25" s="152">
        <f>C24*'[2]2008 GP Connections, Jan &amp; Feb'!C8</f>
        <v>0.455445205479452</v>
      </c>
      <c r="D25" s="152">
        <f>D24*$C$8</f>
        <v>0.45184477611940305</v>
      </c>
      <c r="E25" s="152">
        <f>E24*$C$8</f>
        <v>0.85466008771929824</v>
      </c>
      <c r="F25" s="152">
        <f>F24*$C$8</f>
        <v>0.76075000000000004</v>
      </c>
      <c r="G25" s="152">
        <v>0.36508831908831912</v>
      </c>
      <c r="H25" s="152">
        <v>0.57872857142857148</v>
      </c>
      <c r="I25" s="152">
        <f t="shared" ref="I25:J25" si="4">I24*$C$8</f>
        <v>0.84749665327978574</v>
      </c>
      <c r="J25" s="152">
        <f t="shared" si="4"/>
        <v>0.7722927536231885</v>
      </c>
      <c r="K25" s="152">
        <f>K24*$C$8</f>
        <v>0.35520192307692311</v>
      </c>
      <c r="L25" s="152">
        <f>L24*$C$8</f>
        <v>0.53550000000000009</v>
      </c>
      <c r="M25" s="152">
        <v>0.44795977011494253</v>
      </c>
      <c r="N25" s="153">
        <f>N24*$C$8</f>
        <v>0.45173026315789472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154" t="s">
        <v>85</v>
      </c>
      <c r="B26" s="155" t="s">
        <v>86</v>
      </c>
      <c r="C26" s="156">
        <f>+C25+C23</f>
        <v>1.955445205479452</v>
      </c>
      <c r="D26" s="156">
        <f>+D25+D23</f>
        <v>4.0518447761194025</v>
      </c>
      <c r="E26" s="156">
        <f>+E25+E23</f>
        <v>6.8546600877192985</v>
      </c>
      <c r="F26" s="156">
        <f>+F25+F23</f>
        <v>5.2607499999999998</v>
      </c>
      <c r="G26" s="156">
        <v>2.7650883190883189</v>
      </c>
      <c r="H26" s="156">
        <v>4.1787285714285716</v>
      </c>
      <c r="I26" s="156">
        <f t="shared" ref="I26:J26" si="5">+I25+I23</f>
        <v>5.6474966532797852</v>
      </c>
      <c r="J26" s="156">
        <f t="shared" si="5"/>
        <v>4.9722927536231882</v>
      </c>
      <c r="K26" s="240">
        <f>+K25+K23</f>
        <v>2.1552019230769228</v>
      </c>
      <c r="L26" s="240">
        <f>+L25+L23</f>
        <v>3.2355</v>
      </c>
      <c r="M26" s="156">
        <v>2.5479597701149426</v>
      </c>
      <c r="N26" s="254">
        <f>+N25+N23</f>
        <v>2.2517302631578944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154" t="s">
        <v>87</v>
      </c>
      <c r="B27" s="155" t="s">
        <v>88</v>
      </c>
      <c r="C27" s="158">
        <f>C21*'[2]2008 GP Connections, Jan &amp; Feb'!C7</f>
        <v>165.55253472222222</v>
      </c>
      <c r="D27" s="158">
        <f>D21*$C$7</f>
        <v>203.1827357104701</v>
      </c>
      <c r="E27" s="158">
        <f>E21*$C$7</f>
        <v>208.3508213141026</v>
      </c>
      <c r="F27" s="158">
        <f>F21*$C$7</f>
        <v>194.23205128205132</v>
      </c>
      <c r="G27" s="158">
        <v>170.92068643162395</v>
      </c>
      <c r="H27" s="158">
        <v>215.78406784188039</v>
      </c>
      <c r="I27" s="158">
        <f>I21*$C$7</f>
        <v>210.22012887286328</v>
      </c>
      <c r="J27" s="158">
        <f>J21*$C$7</f>
        <v>202.01716746794875</v>
      </c>
      <c r="K27" s="241">
        <f>K21*$C$7</f>
        <v>195.72749732905987</v>
      </c>
      <c r="L27" s="241">
        <f>L21*$C$7</f>
        <v>185.34734241452995</v>
      </c>
      <c r="M27" s="158">
        <v>176.68255208333335</v>
      </c>
      <c r="N27" s="255">
        <f>N21*$C$7</f>
        <v>180.99295539529916</v>
      </c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154" t="s">
        <v>89</v>
      </c>
      <c r="B28" s="155" t="s">
        <v>88</v>
      </c>
      <c r="C28" s="158">
        <f>C21*'[2]2008 GP Connections, Jan &amp; Feb'!C6</f>
        <v>226.50364390427572</v>
      </c>
      <c r="D28" s="158">
        <f>D21*$C$6</f>
        <v>256.31502109875794</v>
      </c>
      <c r="E28" s="158">
        <f>E21*$C$6</f>
        <v>262.83456108774033</v>
      </c>
      <c r="F28" s="158">
        <f>F21*$C$6</f>
        <v>245.02373269230765</v>
      </c>
      <c r="G28" s="158">
        <v>215.61644593349354</v>
      </c>
      <c r="H28" s="158">
        <v>272.21160158253201</v>
      </c>
      <c r="I28" s="158">
        <f>I21*$C$6</f>
        <v>265.19269257311697</v>
      </c>
      <c r="J28" s="158">
        <f>J21*$C$6</f>
        <v>254.84465676081729</v>
      </c>
      <c r="K28" s="241">
        <f>K21*$C$6</f>
        <v>246.91023788060897</v>
      </c>
      <c r="L28" s="241">
        <f>L21*$C$6</f>
        <v>233.81567245592947</v>
      </c>
      <c r="M28" s="158">
        <v>222.88503945312496</v>
      </c>
      <c r="N28" s="255">
        <f>N21*$C$6</f>
        <v>228.32261323116981</v>
      </c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160" t="s">
        <v>90</v>
      </c>
      <c r="B29" s="155" t="s">
        <v>91</v>
      </c>
      <c r="C29" s="161">
        <f>C19*$C$9</f>
        <v>87.6</v>
      </c>
      <c r="D29" s="161">
        <f>D19*$C$9</f>
        <v>100.5</v>
      </c>
      <c r="E29" s="161">
        <f>E19*$C$9</f>
        <v>91.2</v>
      </c>
      <c r="F29" s="161">
        <f>F19*$C$9</f>
        <v>72</v>
      </c>
      <c r="G29" s="161">
        <v>70.2</v>
      </c>
      <c r="H29" s="161">
        <v>84</v>
      </c>
      <c r="I29" s="161">
        <f t="shared" ref="I29:J29" si="6">I19*$C$9</f>
        <v>74.7</v>
      </c>
      <c r="J29" s="161">
        <f t="shared" si="6"/>
        <v>69</v>
      </c>
      <c r="K29" s="242">
        <f>K19*$C$9</f>
        <v>62.4</v>
      </c>
      <c r="L29" s="242">
        <f>L19*$C$9</f>
        <v>58.8</v>
      </c>
      <c r="M29" s="161">
        <v>52.199999999999996</v>
      </c>
      <c r="N29" s="256">
        <f>N19*$C$9</f>
        <v>45.6</v>
      </c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144" t="s">
        <v>92</v>
      </c>
      <c r="B30" s="145"/>
      <c r="C30" s="163">
        <f t="shared" ref="C30:M30" si="7">SUM(C26:C29)</f>
        <v>481.61162383197745</v>
      </c>
      <c r="D30" s="163">
        <f t="shared" si="7"/>
        <v>564.04960158534743</v>
      </c>
      <c r="E30" s="163">
        <f>SUM(E26:E29)</f>
        <v>569.24004248956226</v>
      </c>
      <c r="F30" s="163">
        <f t="shared" si="7"/>
        <v>516.51653397435894</v>
      </c>
      <c r="G30" s="163">
        <v>459.50222068420578</v>
      </c>
      <c r="H30" s="163">
        <f t="shared" si="7"/>
        <v>576.17439799584099</v>
      </c>
      <c r="I30" s="163">
        <f t="shared" si="7"/>
        <v>555.76031809926008</v>
      </c>
      <c r="J30" s="163">
        <f>SUM(J26:J29)</f>
        <v>530.83411698238922</v>
      </c>
      <c r="K30" s="163">
        <f t="shared" si="7"/>
        <v>507.19293713274578</v>
      </c>
      <c r="L30" s="248">
        <f>SUM(L26:L29)</f>
        <v>481.19851487045941</v>
      </c>
      <c r="M30" s="163">
        <f t="shared" si="7"/>
        <v>454.31555130657324</v>
      </c>
      <c r="N30" s="257">
        <f>SUM(N26:N29)</f>
        <v>457.16729888962686</v>
      </c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139"/>
      <c r="B31" s="51"/>
      <c r="C31" s="51"/>
      <c r="D31" s="148"/>
      <c r="E31" s="51"/>
      <c r="F31" s="148"/>
      <c r="G31" s="148"/>
      <c r="H31" s="148"/>
      <c r="I31" s="148"/>
      <c r="J31" s="148"/>
      <c r="K31" s="148"/>
      <c r="L31" s="148"/>
      <c r="M31" s="148"/>
      <c r="N31" s="149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165" t="s">
        <v>93</v>
      </c>
      <c r="B32" s="166"/>
      <c r="C32" s="51"/>
      <c r="D32" s="148"/>
      <c r="E32" s="51"/>
      <c r="F32" s="51"/>
      <c r="G32" s="148"/>
      <c r="H32" s="148"/>
      <c r="I32" s="148"/>
      <c r="J32" s="148"/>
      <c r="K32" s="148"/>
      <c r="L32" s="148"/>
      <c r="M32" s="148"/>
      <c r="N32" s="149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167" t="s">
        <v>94</v>
      </c>
      <c r="B33" s="168"/>
      <c r="C33" s="169"/>
      <c r="D33" s="170"/>
      <c r="E33" s="169"/>
      <c r="F33" s="170"/>
      <c r="G33" s="170"/>
      <c r="H33" s="170"/>
      <c r="I33" s="170"/>
      <c r="J33" s="170"/>
      <c r="K33" s="170"/>
      <c r="L33" s="170"/>
      <c r="M33" s="170"/>
      <c r="N33" s="17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165" t="s">
        <v>95</v>
      </c>
      <c r="B34" s="166"/>
      <c r="C34" s="173">
        <f t="shared" ref="C34:N34" si="8">C33*30*$C$6</f>
        <v>0</v>
      </c>
      <c r="D34" s="173">
        <f t="shared" si="8"/>
        <v>0</v>
      </c>
      <c r="E34" s="173">
        <f t="shared" si="8"/>
        <v>0</v>
      </c>
      <c r="F34" s="173">
        <f t="shared" si="8"/>
        <v>0</v>
      </c>
      <c r="G34" s="173">
        <f t="shared" si="8"/>
        <v>0</v>
      </c>
      <c r="H34" s="173">
        <f t="shared" si="8"/>
        <v>0</v>
      </c>
      <c r="I34" s="173">
        <f t="shared" si="8"/>
        <v>0</v>
      </c>
      <c r="J34" s="173">
        <f t="shared" si="8"/>
        <v>0</v>
      </c>
      <c r="K34" s="173">
        <f t="shared" si="8"/>
        <v>0</v>
      </c>
      <c r="L34" s="173">
        <f t="shared" si="8"/>
        <v>0</v>
      </c>
      <c r="M34" s="173">
        <f t="shared" si="8"/>
        <v>0</v>
      </c>
      <c r="N34" s="174">
        <f t="shared" si="8"/>
        <v>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165"/>
      <c r="B35" s="166"/>
      <c r="C35" s="51"/>
      <c r="D35" s="148"/>
      <c r="E35" s="51"/>
      <c r="F35" s="148"/>
      <c r="G35" s="148"/>
      <c r="H35" s="148"/>
      <c r="I35" s="148"/>
      <c r="J35" s="148"/>
      <c r="K35" s="148"/>
      <c r="L35" s="148"/>
      <c r="M35" s="148"/>
      <c r="N35" s="14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139"/>
      <c r="B36" s="51"/>
      <c r="C36" s="51"/>
      <c r="D36" s="148"/>
      <c r="E36" s="51"/>
      <c r="F36" s="148"/>
      <c r="G36" s="148"/>
      <c r="H36" s="148"/>
      <c r="I36" s="148"/>
      <c r="J36" s="148"/>
      <c r="K36" s="148"/>
      <c r="L36" s="148"/>
      <c r="M36" s="148"/>
      <c r="N36" s="14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139" t="s">
        <v>52</v>
      </c>
      <c r="B37" s="51"/>
      <c r="C37" s="175"/>
      <c r="D37" s="176"/>
      <c r="E37" s="175"/>
      <c r="F37" s="176"/>
      <c r="G37" s="176"/>
      <c r="H37" s="176"/>
      <c r="I37" s="176"/>
      <c r="J37" s="176"/>
      <c r="K37" s="176"/>
      <c r="L37" s="176"/>
      <c r="M37" s="176"/>
      <c r="N37" s="17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178" t="s">
        <v>96</v>
      </c>
      <c r="B38" s="179"/>
      <c r="C38" s="180">
        <v>3</v>
      </c>
      <c r="D38" s="181">
        <v>3</v>
      </c>
      <c r="E38" s="180">
        <v>3</v>
      </c>
      <c r="F38" s="182">
        <v>3</v>
      </c>
      <c r="G38" s="182">
        <v>3</v>
      </c>
      <c r="H38" s="182">
        <v>3</v>
      </c>
      <c r="I38" s="182">
        <v>3</v>
      </c>
      <c r="J38" s="182">
        <v>3</v>
      </c>
      <c r="K38" s="182">
        <v>3</v>
      </c>
      <c r="L38" s="181">
        <v>3</v>
      </c>
      <c r="M38" s="181">
        <v>3</v>
      </c>
      <c r="N38" s="183">
        <v>3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144" t="s">
        <v>97</v>
      </c>
      <c r="B39" s="145"/>
      <c r="C39" s="184">
        <f>C13/12</f>
        <v>546.7332281250001</v>
      </c>
      <c r="D39" s="184">
        <f>C13/12</f>
        <v>546.7332281250001</v>
      </c>
      <c r="E39" s="185">
        <f>E13/12</f>
        <v>599.79879374999996</v>
      </c>
      <c r="F39" s="185">
        <f>E39</f>
        <v>599.79879374999996</v>
      </c>
      <c r="G39" s="185">
        <f>F39</f>
        <v>599.79879374999996</v>
      </c>
      <c r="H39" s="185">
        <f>G39</f>
        <v>599.79879374999996</v>
      </c>
      <c r="I39" s="185">
        <f t="shared" ref="I39:N39" si="9">H39</f>
        <v>599.79879374999996</v>
      </c>
      <c r="J39" s="185">
        <f t="shared" si="9"/>
        <v>599.79879374999996</v>
      </c>
      <c r="K39" s="185">
        <f t="shared" si="9"/>
        <v>599.79879374999996</v>
      </c>
      <c r="L39" s="185">
        <f t="shared" si="9"/>
        <v>599.79879374999996</v>
      </c>
      <c r="M39" s="185">
        <f t="shared" si="9"/>
        <v>599.79879374999996</v>
      </c>
      <c r="N39" s="185">
        <f t="shared" si="9"/>
        <v>599.79879374999996</v>
      </c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186"/>
      <c r="B40" s="187"/>
      <c r="C40" s="188"/>
      <c r="D40" s="189"/>
      <c r="E40" s="190"/>
      <c r="F40" s="191"/>
      <c r="G40" s="191"/>
      <c r="H40" s="191"/>
      <c r="I40" s="191"/>
      <c r="J40" s="191"/>
      <c r="K40" s="191"/>
      <c r="L40" s="191"/>
      <c r="M40" s="191"/>
      <c r="N40" s="192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193" t="s">
        <v>98</v>
      </c>
      <c r="B41" s="194"/>
      <c r="C41" s="195"/>
      <c r="D41" s="196"/>
      <c r="E41" s="197"/>
      <c r="F41" s="198"/>
      <c r="G41" s="197"/>
      <c r="H41" s="197"/>
      <c r="I41" s="197"/>
      <c r="J41" s="197"/>
      <c r="K41" s="197"/>
      <c r="L41" s="197"/>
      <c r="M41" s="197"/>
      <c r="N41" s="19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200" t="s">
        <v>99</v>
      </c>
      <c r="B42" s="201"/>
      <c r="C42" s="188"/>
      <c r="D42" s="189"/>
      <c r="E42" s="188"/>
      <c r="F42" s="191"/>
      <c r="G42" s="191"/>
      <c r="H42" s="191"/>
      <c r="I42" s="191"/>
      <c r="J42" s="191"/>
      <c r="K42" s="191"/>
      <c r="L42" s="191"/>
      <c r="M42" s="191"/>
      <c r="N42" s="19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139"/>
      <c r="B43" s="51"/>
      <c r="C43" s="51"/>
      <c r="D43" s="148"/>
      <c r="E43" s="51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245" ht="13.5" thickBot="1">
      <c r="A44" s="202" t="s">
        <v>100</v>
      </c>
      <c r="B44" s="203"/>
      <c r="C44" s="204">
        <f t="shared" ref="C44:N44" si="10">C30+C34+C39+C41+C42</f>
        <v>1028.3448519569774</v>
      </c>
      <c r="D44" s="204">
        <f>D30+D34+D39+D41+D42</f>
        <v>1110.7828297103474</v>
      </c>
      <c r="E44" s="204">
        <f>E30+E34+E39+E41+E42</f>
        <v>1169.0388362395622</v>
      </c>
      <c r="F44" s="205">
        <f t="shared" si="10"/>
        <v>1116.3153277243589</v>
      </c>
      <c r="G44" s="205">
        <f t="shared" si="10"/>
        <v>1059.3010144342056</v>
      </c>
      <c r="H44" s="205">
        <f t="shared" si="10"/>
        <v>1175.9731917458409</v>
      </c>
      <c r="I44" s="205">
        <f t="shared" si="10"/>
        <v>1155.55911184926</v>
      </c>
      <c r="J44" s="205">
        <f t="shared" si="10"/>
        <v>1130.6329107323891</v>
      </c>
      <c r="K44" s="204">
        <f>K30+K34+K39+K41+K42</f>
        <v>1106.9917308827457</v>
      </c>
      <c r="L44" s="204">
        <f>L30+L34+L39+L41+L422</f>
        <v>1080.9973086204593</v>
      </c>
      <c r="M44" s="205">
        <f t="shared" si="10"/>
        <v>1054.1143450565733</v>
      </c>
      <c r="N44" s="206">
        <f t="shared" si="10"/>
        <v>1056.9660926396268</v>
      </c>
    </row>
    <row r="46" spans="1:245" ht="18">
      <c r="A46" s="103" t="str">
        <f>+A1</f>
        <v>Gulf Power Connections Costs</v>
      </c>
      <c r="C46" s="207">
        <v>40179</v>
      </c>
      <c r="D46" s="207">
        <v>40210</v>
      </c>
      <c r="E46" s="207">
        <v>40238</v>
      </c>
      <c r="F46" s="207">
        <v>40269</v>
      </c>
      <c r="G46" s="207">
        <v>40299</v>
      </c>
      <c r="H46" s="207">
        <v>40330</v>
      </c>
      <c r="I46" s="207">
        <v>40360</v>
      </c>
      <c r="J46" s="207">
        <v>40391</v>
      </c>
      <c r="K46" s="207">
        <v>40422</v>
      </c>
      <c r="L46" s="207">
        <v>40452</v>
      </c>
      <c r="M46" s="207">
        <v>40483</v>
      </c>
      <c r="N46" s="258">
        <v>40513</v>
      </c>
    </row>
    <row r="47" spans="1:245" ht="18">
      <c r="C47" s="20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59"/>
    </row>
    <row r="48" spans="1:245" ht="18">
      <c r="A48" s="212" t="s">
        <v>101</v>
      </c>
      <c r="B48" s="213" t="s">
        <v>102</v>
      </c>
      <c r="C48" s="214">
        <f t="shared" ref="C48:N48" si="11">+C27</f>
        <v>165.55253472222222</v>
      </c>
      <c r="D48" s="214">
        <f>+D27</f>
        <v>203.1827357104701</v>
      </c>
      <c r="E48" s="214">
        <f>+E27</f>
        <v>208.3508213141026</v>
      </c>
      <c r="F48" s="214">
        <f t="shared" si="11"/>
        <v>194.23205128205132</v>
      </c>
      <c r="G48" s="214">
        <f t="shared" si="11"/>
        <v>170.92068643162395</v>
      </c>
      <c r="H48" s="214">
        <f t="shared" si="11"/>
        <v>215.78406784188039</v>
      </c>
      <c r="I48" s="214">
        <f t="shared" si="11"/>
        <v>210.22012887286328</v>
      </c>
      <c r="J48" s="214">
        <f t="shared" si="11"/>
        <v>202.01716746794875</v>
      </c>
      <c r="K48" s="214">
        <f t="shared" si="11"/>
        <v>195.72749732905987</v>
      </c>
      <c r="L48" s="214">
        <f t="shared" si="11"/>
        <v>185.34734241452995</v>
      </c>
      <c r="M48" s="214">
        <f t="shared" si="11"/>
        <v>176.68255208333335</v>
      </c>
      <c r="N48" s="260">
        <f t="shared" si="11"/>
        <v>180.99295539529916</v>
      </c>
      <c r="P48" s="216"/>
    </row>
    <row r="49" spans="1:16" ht="18">
      <c r="A49" s="212" t="s">
        <v>103</v>
      </c>
      <c r="B49" s="213" t="s">
        <v>16</v>
      </c>
      <c r="C49" s="214">
        <f>+C21*'[1]2008 Fully Loaded Calculations'!B19</f>
        <v>133.73813857211806</v>
      </c>
      <c r="D49" s="214">
        <f>+D21*'[1]2008 Fully Loaded Calculations'!B19</f>
        <v>145.77709559554017</v>
      </c>
      <c r="E49" s="214">
        <f>E21*'2010 Fully Loaded Calculations'!$B$19</f>
        <v>157.40904550280447</v>
      </c>
      <c r="F49" s="214">
        <f>F21*'2010 Fully Loaded Calculations'!$B$19</f>
        <v>146.74231474358973</v>
      </c>
      <c r="G49" s="214">
        <f>G21*'2010 Fully Loaded Calculations'!$B$19</f>
        <v>129.13057859909185</v>
      </c>
      <c r="H49" s="214">
        <f>H21*'2010 Fully Loaded Calculations'!$B$19</f>
        <v>163.02486325454061</v>
      </c>
      <c r="I49" s="214">
        <f>I21*'2010 Fully Loaded Calculations'!$B$19</f>
        <v>158.82130736344817</v>
      </c>
      <c r="J49" s="214">
        <f>J21*'2010 Fully Loaded Calculations'!$B$19</f>
        <v>152.62397002203522</v>
      </c>
      <c r="K49" s="214">
        <f>K21*'2010 Fully Loaded Calculations'!$B$19</f>
        <v>147.87212423210471</v>
      </c>
      <c r="L49" s="214">
        <f>L21*'2010 Fully Loaded Calculations'!$B$19</f>
        <v>140.02991719417733</v>
      </c>
      <c r="M49" s="214">
        <f>M21*'2010 Fully Loaded Calculations'!$B$19</f>
        <v>133.4836680989583</v>
      </c>
      <c r="N49" s="260">
        <f>N21*'2010 Fully Loaded Calculations'!$B$19</f>
        <v>136.74017780114846</v>
      </c>
      <c r="P49" s="216"/>
    </row>
    <row r="50" spans="1:16" ht="18">
      <c r="A50" s="212" t="s">
        <v>104</v>
      </c>
      <c r="B50" s="213" t="s">
        <v>33</v>
      </c>
      <c r="C50" s="214">
        <f>+C21*'[1]2008 Fully Loaded Calculations'!B20</f>
        <v>94.245912519201397</v>
      </c>
      <c r="D50" s="214">
        <f>+D21*'[1]2008 Fully Loaded Calculations'!B20</f>
        <v>102.72982370987513</v>
      </c>
      <c r="E50" s="214">
        <f>E21*'2010 Fully Loaded Calculations'!$B$20</f>
        <v>105.42551558493591</v>
      </c>
      <c r="F50" s="214">
        <f>F21*'2010 Fully Loaded Calculations'!$B$20</f>
        <v>98.281417948717959</v>
      </c>
      <c r="G50" s="214">
        <f>G21*'2010 Fully Loaded Calculations'!$B$20</f>
        <v>86.485867334401703</v>
      </c>
      <c r="H50" s="214">
        <f>H21*'2010 Fully Loaded Calculations'!$B$20</f>
        <v>109.18673832799146</v>
      </c>
      <c r="I50" s="214">
        <f>I21*'2010 Fully Loaded Calculations'!$B$20</f>
        <v>106.37138520966882</v>
      </c>
      <c r="J50" s="214">
        <f>J21*'2010 Fully Loaded Calculations'!$B$20</f>
        <v>102.22068673878206</v>
      </c>
      <c r="K50" s="214">
        <f>K21*'2010 Fully Loaded Calculations'!$B$20</f>
        <v>99.038113648504293</v>
      </c>
      <c r="L50" s="214">
        <f>L21*'2010 Fully Loaded Calculations'!$B$20</f>
        <v>93.785755261752143</v>
      </c>
      <c r="M50" s="214">
        <f>M21*'2010 Fully Loaded Calculations'!$B$20</f>
        <v>89.40137135416667</v>
      </c>
      <c r="N50" s="260">
        <f>N21*'2010 Fully Loaded Calculations'!$B$20</f>
        <v>91.582435430021363</v>
      </c>
      <c r="P50" s="216"/>
    </row>
    <row r="51" spans="1:16" ht="18">
      <c r="A51" s="212" t="s">
        <v>105</v>
      </c>
      <c r="B51" s="213" t="s">
        <v>106</v>
      </c>
      <c r="C51" s="214">
        <f t="shared" ref="C51:N51" si="12">+C26+C29</f>
        <v>89.555445205479444</v>
      </c>
      <c r="D51" s="214">
        <f>+D26+D29</f>
        <v>104.5518447761194</v>
      </c>
      <c r="E51" s="214">
        <f t="shared" si="12"/>
        <v>98.054660087719299</v>
      </c>
      <c r="F51" s="214">
        <f>+F26+F29</f>
        <v>77.260750000000002</v>
      </c>
      <c r="G51" s="214">
        <f>+G26+G29</f>
        <v>72.965088319088323</v>
      </c>
      <c r="H51" s="214">
        <f>+H26+H29</f>
        <v>88.178728571428564</v>
      </c>
      <c r="I51" s="214">
        <f t="shared" si="12"/>
        <v>80.347496653279791</v>
      </c>
      <c r="J51" s="214">
        <f t="shared" si="12"/>
        <v>73.972292753623194</v>
      </c>
      <c r="K51" s="214">
        <f t="shared" si="12"/>
        <v>64.555201923076922</v>
      </c>
      <c r="L51" s="214">
        <f t="shared" si="12"/>
        <v>62.035499999999999</v>
      </c>
      <c r="M51" s="214">
        <f t="shared" si="12"/>
        <v>54.747959770114939</v>
      </c>
      <c r="N51" s="260">
        <f t="shared" si="12"/>
        <v>47.851730263157897</v>
      </c>
      <c r="P51" s="216"/>
    </row>
    <row r="52" spans="1:16" ht="18">
      <c r="A52" s="212" t="s">
        <v>107</v>
      </c>
      <c r="B52" s="213" t="s">
        <v>99</v>
      </c>
      <c r="C52" s="214">
        <f t="shared" ref="C52:N52" si="13">+C42</f>
        <v>0</v>
      </c>
      <c r="D52" s="214">
        <f t="shared" si="13"/>
        <v>0</v>
      </c>
      <c r="E52" s="214">
        <f t="shared" si="13"/>
        <v>0</v>
      </c>
      <c r="F52" s="214">
        <f t="shared" si="13"/>
        <v>0</v>
      </c>
      <c r="G52" s="214">
        <f t="shared" si="13"/>
        <v>0</v>
      </c>
      <c r="H52" s="214">
        <f t="shared" si="13"/>
        <v>0</v>
      </c>
      <c r="I52" s="214">
        <f t="shared" si="13"/>
        <v>0</v>
      </c>
      <c r="J52" s="214">
        <f t="shared" si="13"/>
        <v>0</v>
      </c>
      <c r="K52" s="214">
        <f t="shared" si="13"/>
        <v>0</v>
      </c>
      <c r="L52" s="214">
        <f t="shared" si="13"/>
        <v>0</v>
      </c>
      <c r="M52" s="214">
        <f t="shared" si="13"/>
        <v>0</v>
      </c>
      <c r="N52" s="260">
        <f t="shared" si="13"/>
        <v>0</v>
      </c>
      <c r="P52" s="216"/>
    </row>
    <row r="53" spans="1:16" ht="18">
      <c r="A53" s="212" t="s">
        <v>101</v>
      </c>
      <c r="B53" s="217" t="s">
        <v>108</v>
      </c>
      <c r="C53" s="214">
        <f>('[1]2008 Fully Loaded Calculations'!D16*52*90)/12</f>
        <v>228.09062500000002</v>
      </c>
      <c r="D53" s="214">
        <f>('[1]2008 Fully Loaded Calculations'!D16*52*90)/12</f>
        <v>228.09062500000002</v>
      </c>
      <c r="E53" s="214">
        <f>'2010 Fully Loaded Calculations'!$D$16*90*52/12</f>
        <v>257.75625000000002</v>
      </c>
      <c r="F53" s="214">
        <f>'2010 Fully Loaded Calculations'!$D$16*90*52/12</f>
        <v>257.75625000000002</v>
      </c>
      <c r="G53" s="214">
        <f>'2010 Fully Loaded Calculations'!$D$16*90*52/12</f>
        <v>257.75625000000002</v>
      </c>
      <c r="H53" s="214">
        <f>'2010 Fully Loaded Calculations'!$D$16*90*52/12</f>
        <v>257.75625000000002</v>
      </c>
      <c r="I53" s="214">
        <f>'2010 Fully Loaded Calculations'!$D$16*90*52/12</f>
        <v>257.75625000000002</v>
      </c>
      <c r="J53" s="214">
        <f>'2010 Fully Loaded Calculations'!$D$16*90*52/12</f>
        <v>257.75625000000002</v>
      </c>
      <c r="K53" s="214">
        <f>'2010 Fully Loaded Calculations'!$D$16*90*52/12</f>
        <v>257.75625000000002</v>
      </c>
      <c r="L53" s="214">
        <f>'2010 Fully Loaded Calculations'!$D$16*90*52/12</f>
        <v>257.75625000000002</v>
      </c>
      <c r="M53" s="214">
        <f>'2010 Fully Loaded Calculations'!$D$16*90*52/12</f>
        <v>257.75625000000002</v>
      </c>
      <c r="N53" s="260">
        <f>'2010 Fully Loaded Calculations'!$D$16*90*52/12</f>
        <v>257.75625000000002</v>
      </c>
      <c r="P53" s="218"/>
    </row>
    <row r="54" spans="1:16" ht="18">
      <c r="A54" s="212" t="s">
        <v>103</v>
      </c>
      <c r="B54" s="217" t="s">
        <v>16</v>
      </c>
      <c r="C54" s="214">
        <f>'[1]2008 Fully Loaded Calculations'!D19*52*90/12</f>
        <v>192.57691468750002</v>
      </c>
      <c r="D54" s="214">
        <f>'[1]2008 Fully Loaded Calculations'!D19*52*90/12</f>
        <v>192.57691468750002</v>
      </c>
      <c r="E54" s="214">
        <f>'2010 Fully Loaded Calculations'!$D$19*90*52/12</f>
        <v>211.61788124999998</v>
      </c>
      <c r="F54" s="214">
        <f>'2010 Fully Loaded Calculations'!$D$19*90*52/12</f>
        <v>211.61788124999998</v>
      </c>
      <c r="G54" s="214">
        <f>'2010 Fully Loaded Calculations'!$D$19*90*52/12</f>
        <v>211.61788124999998</v>
      </c>
      <c r="H54" s="214">
        <f>'2010 Fully Loaded Calculations'!$D$19*90*52/12</f>
        <v>211.61788124999998</v>
      </c>
      <c r="I54" s="214">
        <f>'2010 Fully Loaded Calculations'!$D$19*90*52/12</f>
        <v>211.61788124999998</v>
      </c>
      <c r="J54" s="214">
        <f>'2010 Fully Loaded Calculations'!$D$19*90*52/12</f>
        <v>211.61788124999998</v>
      </c>
      <c r="K54" s="214">
        <f>'2010 Fully Loaded Calculations'!$D$19*90*52/12</f>
        <v>211.61788124999998</v>
      </c>
      <c r="L54" s="214">
        <f>'2010 Fully Loaded Calculations'!$D$19*90*52/12</f>
        <v>211.61788124999998</v>
      </c>
      <c r="M54" s="214">
        <f>'2010 Fully Loaded Calculations'!$D$19*90*52/12</f>
        <v>211.61788124999998</v>
      </c>
      <c r="N54" s="260">
        <f>'2010 Fully Loaded Calculations'!$D$19*90*52/12</f>
        <v>211.61788124999998</v>
      </c>
      <c r="P54" s="218"/>
    </row>
    <row r="55" spans="1:16" ht="18">
      <c r="A55" s="212" t="s">
        <v>104</v>
      </c>
      <c r="B55" s="217" t="s">
        <v>33</v>
      </c>
      <c r="C55" s="214">
        <f>'[1]2008 Fully Loaded Calculations'!D20*52*90/12</f>
        <v>126.0656884375</v>
      </c>
      <c r="D55" s="214">
        <f>'[1]2008 Fully Loaded Calculations'!D20*52*90/12</f>
        <v>126.0656884375</v>
      </c>
      <c r="E55" s="214">
        <f>'2010 Fully Loaded Calculations'!$D$20*90*52/12</f>
        <v>130.42466249999998</v>
      </c>
      <c r="F55" s="214">
        <f>'2010 Fully Loaded Calculations'!$D$20*90*52/12</f>
        <v>130.42466249999998</v>
      </c>
      <c r="G55" s="214">
        <f>'2010 Fully Loaded Calculations'!$D$20*90*52/12</f>
        <v>130.42466249999998</v>
      </c>
      <c r="H55" s="214">
        <f>'2010 Fully Loaded Calculations'!$D$20*90*52/12</f>
        <v>130.42466249999998</v>
      </c>
      <c r="I55" s="214">
        <f>'2010 Fully Loaded Calculations'!$D$20*90*52/12</f>
        <v>130.42466249999998</v>
      </c>
      <c r="J55" s="214">
        <f>'2010 Fully Loaded Calculations'!$D$20*90*52/12</f>
        <v>130.42466249999998</v>
      </c>
      <c r="K55" s="214">
        <f>'2010 Fully Loaded Calculations'!$D$20*90*52/12</f>
        <v>130.42466249999998</v>
      </c>
      <c r="L55" s="214">
        <f>'2010 Fully Loaded Calculations'!$D$20*90*52/12</f>
        <v>130.42466249999998</v>
      </c>
      <c r="M55" s="214">
        <f>'2010 Fully Loaded Calculations'!$D$20*90*52/12</f>
        <v>130.42466249999998</v>
      </c>
      <c r="N55" s="260">
        <f>'2010 Fully Loaded Calculations'!$D$20*90*52/12</f>
        <v>130.42466249999998</v>
      </c>
      <c r="P55" s="218"/>
    </row>
    <row r="56" spans="1:16" ht="18">
      <c r="B56" s="213" t="s">
        <v>109</v>
      </c>
      <c r="C56" s="214">
        <f t="shared" ref="C56:N56" si="14">SUM(C48:C55)</f>
        <v>1029.8252591440212</v>
      </c>
      <c r="D56" s="214">
        <f t="shared" si="14"/>
        <v>1102.9747279170049</v>
      </c>
      <c r="E56" s="214">
        <f t="shared" si="14"/>
        <v>1169.0388362395624</v>
      </c>
      <c r="F56" s="214">
        <f>SUM(F48:F55)</f>
        <v>1116.3153277243591</v>
      </c>
      <c r="G56" s="214">
        <f>SUM(G48:G55)</f>
        <v>1059.3010144342059</v>
      </c>
      <c r="H56" s="214">
        <f t="shared" si="14"/>
        <v>1175.9731917458412</v>
      </c>
      <c r="I56" s="214">
        <f t="shared" si="14"/>
        <v>1155.5591118492603</v>
      </c>
      <c r="J56" s="214">
        <f t="shared" si="14"/>
        <v>1130.6329107323893</v>
      </c>
      <c r="K56" s="214">
        <f t="shared" si="14"/>
        <v>1106.9917308827457</v>
      </c>
      <c r="L56" s="214">
        <f t="shared" si="14"/>
        <v>1080.9973086204595</v>
      </c>
      <c r="M56" s="214">
        <f t="shared" si="14"/>
        <v>1054.1143450565733</v>
      </c>
      <c r="N56" s="260">
        <f t="shared" si="14"/>
        <v>1056.9660926396268</v>
      </c>
      <c r="P56" s="216"/>
    </row>
    <row r="57" spans="1:16" ht="18">
      <c r="B57" s="213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60"/>
      <c r="P57" s="216"/>
    </row>
    <row r="58" spans="1:16" ht="18">
      <c r="A58" s="106" t="s">
        <v>110</v>
      </c>
      <c r="B58" s="213" t="s">
        <v>111</v>
      </c>
      <c r="C58" s="219">
        <f t="shared" ref="C58:N58" si="15">-C48-C53</f>
        <v>-393.64315972222221</v>
      </c>
      <c r="D58" s="219">
        <f t="shared" si="15"/>
        <v>-431.27336071047012</v>
      </c>
      <c r="E58" s="219">
        <f>-E48-E53</f>
        <v>-466.10707131410265</v>
      </c>
      <c r="F58" s="219">
        <f t="shared" si="15"/>
        <v>-451.98830128205134</v>
      </c>
      <c r="G58" s="219">
        <f t="shared" si="15"/>
        <v>-428.67693643162397</v>
      </c>
      <c r="H58" s="219">
        <f t="shared" si="15"/>
        <v>-473.54031784188044</v>
      </c>
      <c r="I58" s="219">
        <f t="shared" si="15"/>
        <v>-467.97637887286328</v>
      </c>
      <c r="J58" s="219">
        <f t="shared" si="15"/>
        <v>-459.77341746794878</v>
      </c>
      <c r="K58" s="219">
        <f t="shared" si="15"/>
        <v>-453.4837473290599</v>
      </c>
      <c r="L58" s="219">
        <f t="shared" si="15"/>
        <v>-443.10359241453</v>
      </c>
      <c r="M58" s="219">
        <f t="shared" si="15"/>
        <v>-434.43880208333337</v>
      </c>
      <c r="N58" s="261">
        <f t="shared" si="15"/>
        <v>-438.74920539529921</v>
      </c>
      <c r="P58" s="221"/>
    </row>
    <row r="59" spans="1:16" ht="18">
      <c r="A59" s="106" t="s">
        <v>112</v>
      </c>
      <c r="B59" s="213" t="s">
        <v>113</v>
      </c>
      <c r="C59" s="219">
        <f t="shared" ref="C59:N59" si="16">-C51</f>
        <v>-89.555445205479444</v>
      </c>
      <c r="D59" s="219">
        <f t="shared" si="16"/>
        <v>-104.5518447761194</v>
      </c>
      <c r="E59" s="219">
        <f>-E51</f>
        <v>-98.054660087719299</v>
      </c>
      <c r="F59" s="219">
        <f t="shared" si="16"/>
        <v>-77.260750000000002</v>
      </c>
      <c r="G59" s="219">
        <f t="shared" si="16"/>
        <v>-72.965088319088323</v>
      </c>
      <c r="H59" s="219">
        <f t="shared" si="16"/>
        <v>-88.178728571428564</v>
      </c>
      <c r="I59" s="219">
        <f t="shared" si="16"/>
        <v>-80.347496653279791</v>
      </c>
      <c r="J59" s="219">
        <f t="shared" si="16"/>
        <v>-73.972292753623194</v>
      </c>
      <c r="K59" s="219">
        <f t="shared" si="16"/>
        <v>-64.555201923076922</v>
      </c>
      <c r="L59" s="219">
        <f t="shared" si="16"/>
        <v>-62.035499999999999</v>
      </c>
      <c r="M59" s="219">
        <f t="shared" si="16"/>
        <v>-54.747959770114939</v>
      </c>
      <c r="N59" s="261">
        <f t="shared" si="16"/>
        <v>-47.851730263157897</v>
      </c>
      <c r="P59" s="221"/>
    </row>
    <row r="60" spans="1:16" ht="18">
      <c r="A60" s="106" t="s">
        <v>112</v>
      </c>
      <c r="B60" s="213" t="s">
        <v>99</v>
      </c>
      <c r="C60" s="214">
        <f t="shared" ref="C60:N60" si="17">-C52</f>
        <v>0</v>
      </c>
      <c r="D60" s="214">
        <f t="shared" si="17"/>
        <v>0</v>
      </c>
      <c r="E60" s="214">
        <f>-E52</f>
        <v>0</v>
      </c>
      <c r="F60" s="214">
        <f t="shared" si="17"/>
        <v>0</v>
      </c>
      <c r="G60" s="214">
        <f t="shared" si="17"/>
        <v>0</v>
      </c>
      <c r="H60" s="214">
        <f t="shared" si="17"/>
        <v>0</v>
      </c>
      <c r="I60" s="214">
        <f t="shared" si="17"/>
        <v>0</v>
      </c>
      <c r="J60" s="214">
        <f t="shared" si="17"/>
        <v>0</v>
      </c>
      <c r="K60" s="214">
        <f t="shared" si="17"/>
        <v>0</v>
      </c>
      <c r="L60" s="214">
        <f t="shared" si="17"/>
        <v>0</v>
      </c>
      <c r="M60" s="214">
        <f t="shared" si="17"/>
        <v>0</v>
      </c>
      <c r="N60" s="260">
        <f t="shared" si="17"/>
        <v>0</v>
      </c>
      <c r="P60" s="216"/>
    </row>
    <row r="61" spans="1:16" ht="18">
      <c r="A61" s="106" t="s">
        <v>114</v>
      </c>
      <c r="B61" s="213" t="s">
        <v>16</v>
      </c>
      <c r="C61" s="219">
        <f t="shared" ref="C61:N61" si="18">-C49-C50-C54-C55</f>
        <v>-546.62665421631948</v>
      </c>
      <c r="D61" s="219">
        <f t="shared" si="18"/>
        <v>-567.14952243041535</v>
      </c>
      <c r="E61" s="219">
        <f>-E49-E50-E54-E55</f>
        <v>-604.87710483774038</v>
      </c>
      <c r="F61" s="219">
        <f t="shared" si="18"/>
        <v>-587.06627644230764</v>
      </c>
      <c r="G61" s="219">
        <f t="shared" si="18"/>
        <v>-557.65898968349347</v>
      </c>
      <c r="H61" s="219">
        <f t="shared" si="18"/>
        <v>-614.25414533253206</v>
      </c>
      <c r="I61" s="219">
        <f t="shared" si="18"/>
        <v>-607.23523632311696</v>
      </c>
      <c r="J61" s="219">
        <f t="shared" si="18"/>
        <v>-596.88720051081725</v>
      </c>
      <c r="K61" s="219">
        <f t="shared" si="18"/>
        <v>-588.95278163060891</v>
      </c>
      <c r="L61" s="219">
        <f t="shared" si="18"/>
        <v>-575.85821620592947</v>
      </c>
      <c r="M61" s="219">
        <f t="shared" si="18"/>
        <v>-564.92758320312498</v>
      </c>
      <c r="N61" s="261">
        <f t="shared" si="18"/>
        <v>-570.36515698116978</v>
      </c>
      <c r="P61" s="221"/>
    </row>
    <row r="62" spans="1:16" ht="18">
      <c r="B62" s="213" t="s">
        <v>115</v>
      </c>
      <c r="C62" s="214">
        <f t="shared" ref="C62:N62" si="19">SUM(C58:C61)</f>
        <v>-1029.8252591440212</v>
      </c>
      <c r="D62" s="214">
        <f t="shared" si="19"/>
        <v>-1102.9747279170049</v>
      </c>
      <c r="E62" s="214">
        <f>SUM(E58:E61)</f>
        <v>-1169.0388362395624</v>
      </c>
      <c r="F62" s="214">
        <f t="shared" si="19"/>
        <v>-1116.3153277243591</v>
      </c>
      <c r="G62" s="214">
        <f t="shared" si="19"/>
        <v>-1059.3010144342056</v>
      </c>
      <c r="H62" s="214">
        <f t="shared" si="19"/>
        <v>-1175.9731917458412</v>
      </c>
      <c r="I62" s="214">
        <f t="shared" si="19"/>
        <v>-1155.55911184926</v>
      </c>
      <c r="J62" s="214">
        <f t="shared" si="19"/>
        <v>-1130.6329107323891</v>
      </c>
      <c r="K62" s="214">
        <f t="shared" si="19"/>
        <v>-1106.9917308827457</v>
      </c>
      <c r="L62" s="214">
        <f t="shared" si="19"/>
        <v>-1080.9973086204595</v>
      </c>
      <c r="M62" s="214">
        <f t="shared" si="19"/>
        <v>-1054.1143450565733</v>
      </c>
      <c r="N62" s="260">
        <f t="shared" si="19"/>
        <v>-1056.9660926396268</v>
      </c>
      <c r="P62" s="216"/>
    </row>
    <row r="63" spans="1:16">
      <c r="D63" s="19"/>
      <c r="N63" s="210"/>
    </row>
    <row r="64" spans="1:16">
      <c r="C64" s="35">
        <f t="shared" ref="C64:N64" si="20">+C56+C62</f>
        <v>0</v>
      </c>
      <c r="D64" s="35">
        <f t="shared" si="20"/>
        <v>0</v>
      </c>
      <c r="E64" s="35">
        <f t="shared" si="20"/>
        <v>0</v>
      </c>
      <c r="F64" s="35">
        <f t="shared" si="20"/>
        <v>0</v>
      </c>
      <c r="G64" s="35">
        <f t="shared" si="20"/>
        <v>0</v>
      </c>
      <c r="H64" s="35">
        <f t="shared" si="20"/>
        <v>0</v>
      </c>
      <c r="I64" s="35">
        <f t="shared" si="20"/>
        <v>0</v>
      </c>
      <c r="J64" s="35">
        <f t="shared" si="20"/>
        <v>0</v>
      </c>
      <c r="K64" s="35">
        <f t="shared" si="20"/>
        <v>0</v>
      </c>
      <c r="L64" s="35">
        <f t="shared" si="20"/>
        <v>0</v>
      </c>
      <c r="M64" s="35">
        <f t="shared" si="20"/>
        <v>0</v>
      </c>
      <c r="N64" s="232">
        <f t="shared" si="20"/>
        <v>0</v>
      </c>
    </row>
    <row r="65" spans="1:14">
      <c r="C65" s="71"/>
      <c r="N65" s="210"/>
    </row>
    <row r="66" spans="1:14">
      <c r="C66" s="71"/>
      <c r="N66" s="210"/>
    </row>
    <row r="67" spans="1:14">
      <c r="A67" s="103"/>
      <c r="C67" s="71"/>
      <c r="D67" s="71"/>
      <c r="N67" s="210"/>
    </row>
    <row r="68" spans="1:14">
      <c r="A68" s="103"/>
      <c r="N68" s="210"/>
    </row>
    <row r="69" spans="1:14">
      <c r="E69" s="71"/>
      <c r="F69" s="71"/>
      <c r="N69" s="210"/>
    </row>
    <row r="70" spans="1:14">
      <c r="E70" s="71"/>
      <c r="F70" s="71"/>
      <c r="N70" s="210"/>
    </row>
    <row r="71" spans="1:14">
      <c r="E71" s="71"/>
      <c r="F71" s="71"/>
      <c r="N71" s="210"/>
    </row>
    <row r="72" spans="1:14">
      <c r="E72" s="71"/>
      <c r="F72" s="71"/>
      <c r="N72" s="210"/>
    </row>
    <row r="73" spans="1:14">
      <c r="E73" s="35"/>
      <c r="F73" s="35"/>
      <c r="N73" s="210"/>
    </row>
    <row r="74" spans="1:14">
      <c r="E74" s="35"/>
      <c r="F74" s="35"/>
      <c r="N74" s="210"/>
    </row>
    <row r="75" spans="1:14">
      <c r="E75" s="71"/>
      <c r="F75" s="71"/>
      <c r="N75" s="210"/>
    </row>
    <row r="76" spans="1:14">
      <c r="A76" s="103"/>
      <c r="E76" s="71"/>
    </row>
    <row r="77" spans="1:14">
      <c r="C77" s="71"/>
      <c r="D77" s="71"/>
      <c r="E77" s="216"/>
      <c r="F77" s="216"/>
    </row>
    <row r="78" spans="1:14">
      <c r="C78" s="71"/>
      <c r="D78" s="71"/>
      <c r="E78" s="216"/>
      <c r="F78" s="216"/>
    </row>
    <row r="79" spans="1:14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mergeCells count="2">
    <mergeCell ref="H2:K2"/>
    <mergeCell ref="H3:K3"/>
  </mergeCells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zoomScaleNormal="100" workbookViewId="0"/>
  </sheetViews>
  <sheetFormatPr defaultRowHeight="12.75"/>
  <cols>
    <col min="1" max="1" width="28.85546875" customWidth="1"/>
    <col min="2" max="2" width="14" customWidth="1"/>
    <col min="3" max="3" width="1.7109375" customWidth="1"/>
    <col min="4" max="4" width="14" customWidth="1"/>
    <col min="5" max="5" width="9.7109375" customWidth="1"/>
    <col min="6" max="6" width="3.7109375" customWidth="1"/>
    <col min="7" max="7" width="29.28515625" customWidth="1"/>
    <col min="8" max="8" width="6.7109375" bestFit="1" customWidth="1"/>
    <col min="10" max="10" width="13.42578125" bestFit="1" customWidth="1"/>
    <col min="11" max="11" width="18.140625" bestFit="1" customWidth="1"/>
    <col min="12" max="12" width="11.7109375" customWidth="1"/>
  </cols>
  <sheetData>
    <row r="1" spans="1:12" s="4" customFormat="1" ht="18">
      <c r="A1" s="1" t="s">
        <v>0</v>
      </c>
      <c r="B1" s="2"/>
      <c r="C1" s="2"/>
      <c r="D1" s="2"/>
      <c r="E1" s="3"/>
    </row>
    <row r="2" spans="1:12" s="4" customFormat="1" ht="15.75">
      <c r="A2" s="5"/>
      <c r="B2" s="6" t="s">
        <v>1</v>
      </c>
      <c r="C2" s="6"/>
      <c r="D2" s="7" t="s">
        <v>2</v>
      </c>
      <c r="E2" s="5"/>
      <c r="G2" s="8" t="s">
        <v>117</v>
      </c>
      <c r="H2" s="9"/>
      <c r="I2" s="9"/>
      <c r="J2" s="9"/>
      <c r="K2" s="10"/>
      <c r="L2" s="11"/>
    </row>
    <row r="3" spans="1:12" s="4" customFormat="1" ht="15">
      <c r="A3" s="5"/>
      <c r="B3" s="6"/>
      <c r="C3" s="6"/>
      <c r="D3" s="7"/>
      <c r="E3" s="5"/>
      <c r="G3" s="12"/>
      <c r="H3" s="13"/>
      <c r="I3" s="14"/>
      <c r="J3" s="15" t="s">
        <v>4</v>
      </c>
      <c r="K3" s="16" t="s">
        <v>5</v>
      </c>
      <c r="L3" s="11"/>
    </row>
    <row r="4" spans="1:12">
      <c r="B4" s="17"/>
      <c r="D4" s="18"/>
      <c r="E4" s="19"/>
      <c r="G4" s="20" t="s">
        <v>6</v>
      </c>
      <c r="H4" s="21" t="s">
        <v>7</v>
      </c>
      <c r="I4" s="22"/>
      <c r="J4" s="23"/>
      <c r="K4" s="24">
        <v>0.253</v>
      </c>
      <c r="L4" s="25"/>
    </row>
    <row r="5" spans="1:12" ht="13.5">
      <c r="A5" s="26" t="s">
        <v>116</v>
      </c>
      <c r="G5" s="27" t="s">
        <v>9</v>
      </c>
      <c r="H5" s="21"/>
      <c r="I5" s="28">
        <v>-6.7000000000000002E-3</v>
      </c>
      <c r="J5" s="23"/>
      <c r="K5" s="29"/>
    </row>
    <row r="6" spans="1:12">
      <c r="G6" s="27" t="s">
        <v>10</v>
      </c>
      <c r="H6" s="21"/>
      <c r="I6" s="28">
        <v>0.18149999999999999</v>
      </c>
      <c r="J6" s="23"/>
      <c r="K6" s="29"/>
    </row>
    <row r="7" spans="1:12">
      <c r="B7" s="30" t="s">
        <v>11</v>
      </c>
      <c r="C7" s="30"/>
      <c r="D7" s="30" t="s">
        <v>12</v>
      </c>
      <c r="G7" s="27" t="s">
        <v>13</v>
      </c>
      <c r="H7" s="31"/>
      <c r="I7" s="28">
        <v>4.3299999999999998E-2</v>
      </c>
      <c r="J7" s="23"/>
      <c r="K7" s="29"/>
    </row>
    <row r="8" spans="1:12" ht="14.25">
      <c r="A8" s="32" t="s">
        <v>14</v>
      </c>
      <c r="B8" s="33">
        <v>32935</v>
      </c>
      <c r="C8" s="34"/>
      <c r="D8" s="33">
        <v>82482</v>
      </c>
      <c r="F8" s="35"/>
      <c r="G8" s="36" t="s">
        <v>15</v>
      </c>
      <c r="H8" s="37"/>
      <c r="I8" s="38">
        <v>7.0999999999999994E-2</v>
      </c>
      <c r="J8" s="39"/>
      <c r="K8" s="40"/>
    </row>
    <row r="9" spans="1:12" ht="14.25">
      <c r="A9" s="32" t="s">
        <v>16</v>
      </c>
      <c r="B9" s="41">
        <v>0.75549999999999995</v>
      </c>
      <c r="C9" s="32"/>
      <c r="D9" s="41">
        <v>0.82099999999999995</v>
      </c>
      <c r="F9" s="35"/>
      <c r="G9" s="42" t="s">
        <v>17</v>
      </c>
      <c r="H9" s="21" t="s">
        <v>18</v>
      </c>
      <c r="I9" s="23">
        <f>SUM(I5:I8)</f>
        <v>0.28909999999999997</v>
      </c>
      <c r="J9" s="23"/>
      <c r="K9" s="43">
        <f>I9*(1+K4)</f>
        <v>0.36224230000000002</v>
      </c>
    </row>
    <row r="10" spans="1:12" s="46" customFormat="1" ht="12.75" customHeight="1">
      <c r="A10" s="44" t="s">
        <v>19</v>
      </c>
      <c r="B10" s="45">
        <f>+B8*B9</f>
        <v>24882.392499999998</v>
      </c>
      <c r="C10" s="45"/>
      <c r="D10" s="45">
        <f>+D8*D9</f>
        <v>67717.721999999994</v>
      </c>
      <c r="F10" s="47"/>
      <c r="G10" s="27" t="s">
        <v>20</v>
      </c>
      <c r="H10" s="31" t="s">
        <v>21</v>
      </c>
      <c r="I10" s="28">
        <v>7.0800000000000002E-2</v>
      </c>
      <c r="J10" s="23">
        <f>I10*(1+I8)</f>
        <v>7.58268E-2</v>
      </c>
      <c r="K10" s="48">
        <f>J10*(1+K4)</f>
        <v>9.5010980400000014E-2</v>
      </c>
    </row>
    <row r="11" spans="1:12" ht="14.25">
      <c r="A11" s="32" t="s">
        <v>22</v>
      </c>
      <c r="B11" s="49">
        <v>0.50600000000000001</v>
      </c>
      <c r="C11" s="32"/>
      <c r="D11" s="49">
        <v>0.50600000000000001</v>
      </c>
      <c r="F11" s="35"/>
      <c r="G11" s="50" t="s">
        <v>16</v>
      </c>
      <c r="H11" s="21"/>
      <c r="I11" s="51"/>
      <c r="J11" s="51"/>
      <c r="K11" s="52">
        <f>SUM(K4:K10)</f>
        <v>0.71025328040000002</v>
      </c>
      <c r="L11" s="18"/>
    </row>
    <row r="12" spans="1:12" ht="14.25">
      <c r="A12" s="32" t="s">
        <v>23</v>
      </c>
      <c r="B12" s="53">
        <f>B8*B11</f>
        <v>16665.11</v>
      </c>
      <c r="C12" s="54"/>
      <c r="D12" s="53">
        <f>D8*D11</f>
        <v>41735.892</v>
      </c>
      <c r="G12" s="55"/>
      <c r="H12" s="21"/>
      <c r="I12" s="51"/>
      <c r="J12" s="23"/>
      <c r="K12" s="29"/>
    </row>
    <row r="13" spans="1:12" ht="14.25">
      <c r="A13" s="32" t="s">
        <v>24</v>
      </c>
      <c r="B13" s="54">
        <f>+B10+B8+B12</f>
        <v>74482.502500000002</v>
      </c>
      <c r="C13" s="32"/>
      <c r="D13" s="54">
        <f>+D10+D8+D12</f>
        <v>191935.614</v>
      </c>
      <c r="E13" s="56"/>
      <c r="F13" s="57"/>
      <c r="G13" s="20" t="s">
        <v>25</v>
      </c>
      <c r="H13" s="21" t="s">
        <v>26</v>
      </c>
      <c r="I13" s="28">
        <v>0.36630000000000001</v>
      </c>
      <c r="J13" s="23"/>
      <c r="K13" s="58">
        <f>I13*(1+K4)</f>
        <v>0.45897390000000005</v>
      </c>
    </row>
    <row r="14" spans="1:12" ht="13.5" thickBot="1">
      <c r="G14" s="27" t="s">
        <v>27</v>
      </c>
      <c r="H14" s="21"/>
      <c r="I14" s="23"/>
      <c r="J14" s="51"/>
      <c r="K14" s="59">
        <f>SUM(K11:K13)</f>
        <v>1.1692271804000001</v>
      </c>
    </row>
    <row r="15" spans="1:12" ht="13.5" thickTop="1">
      <c r="A15" s="60" t="s">
        <v>28</v>
      </c>
      <c r="B15" s="61">
        <f>+B13/52/40/60</f>
        <v>0.59681492387820512</v>
      </c>
      <c r="C15" s="61"/>
      <c r="D15" s="62">
        <f>+D13/52/40/60</f>
        <v>1.5379456249999999</v>
      </c>
      <c r="F15" s="63"/>
      <c r="G15" s="64"/>
      <c r="H15" s="65"/>
      <c r="I15" s="66"/>
      <c r="J15" s="66"/>
      <c r="K15" s="67"/>
    </row>
    <row r="16" spans="1:12">
      <c r="A16" s="68" t="s">
        <v>29</v>
      </c>
      <c r="B16" s="69">
        <f>+B8/52/40/60</f>
        <v>0.26390224358974362</v>
      </c>
      <c r="C16" s="69"/>
      <c r="D16" s="70">
        <f>+D8/52/40/60</f>
        <v>0.66091346153846153</v>
      </c>
      <c r="F16" s="71"/>
    </row>
    <row r="17" spans="1:12" ht="13.5" thickBot="1">
      <c r="A17" s="72" t="s">
        <v>30</v>
      </c>
      <c r="B17" s="73">
        <f>B15-B16</f>
        <v>0.33291268028846149</v>
      </c>
      <c r="C17" s="74"/>
      <c r="D17" s="75">
        <f>D15-D16</f>
        <v>0.87703216346153834</v>
      </c>
    </row>
    <row r="18" spans="1:12" ht="13.5" thickBot="1">
      <c r="F18" s="76"/>
      <c r="H18" s="77"/>
      <c r="I18" s="77"/>
      <c r="J18" s="77"/>
      <c r="K18" s="77"/>
      <c r="L18" s="77"/>
    </row>
    <row r="19" spans="1:12" ht="15.75">
      <c r="A19" s="78" t="s">
        <v>31</v>
      </c>
      <c r="B19" s="79">
        <f>+B10/52/40/60</f>
        <v>0.19937814503205126</v>
      </c>
      <c r="C19" s="80"/>
      <c r="D19" s="81">
        <f>+D10/52/40/60</f>
        <v>0.54260995192307682</v>
      </c>
      <c r="F19" s="82"/>
      <c r="G19" s="8" t="s">
        <v>118</v>
      </c>
      <c r="H19" s="9"/>
      <c r="I19" s="9"/>
      <c r="J19" s="9"/>
      <c r="K19" s="10"/>
      <c r="L19" s="83"/>
    </row>
    <row r="20" spans="1:12" ht="13.5" thickBot="1">
      <c r="A20" s="84" t="s">
        <v>33</v>
      </c>
      <c r="B20" s="85">
        <f>+B12/52/40/60</f>
        <v>0.13353453525641026</v>
      </c>
      <c r="C20" s="86"/>
      <c r="D20" s="87">
        <f>+D12/52/40/60</f>
        <v>0.33442221153846152</v>
      </c>
      <c r="G20" s="88"/>
      <c r="H20" s="89"/>
      <c r="I20" s="14"/>
      <c r="J20" s="15" t="s">
        <v>4</v>
      </c>
      <c r="K20" s="16" t="s">
        <v>5</v>
      </c>
      <c r="L20" s="77"/>
    </row>
    <row r="21" spans="1:12" ht="12.75" customHeight="1">
      <c r="A21" s="77" t="s">
        <v>34</v>
      </c>
      <c r="B21" s="90">
        <f>SUM(B19:B20)</f>
        <v>0.33291268028846155</v>
      </c>
      <c r="D21" s="91">
        <f>SUM(D19:D20)</f>
        <v>0.87703216346153834</v>
      </c>
      <c r="G21" s="20" t="s">
        <v>6</v>
      </c>
      <c r="H21" s="21" t="s">
        <v>7</v>
      </c>
      <c r="I21" s="22"/>
      <c r="J21" s="23"/>
      <c r="K21" s="24">
        <f>K4</f>
        <v>0.253</v>
      </c>
      <c r="L21" s="77"/>
    </row>
    <row r="22" spans="1:12">
      <c r="G22" s="27" t="s">
        <v>9</v>
      </c>
      <c r="H22" s="21"/>
      <c r="I22" s="28">
        <f>I5</f>
        <v>-6.7000000000000002E-3</v>
      </c>
      <c r="J22" s="23"/>
      <c r="K22" s="29"/>
      <c r="L22" s="77"/>
    </row>
    <row r="23" spans="1:12">
      <c r="G23" s="27" t="s">
        <v>10</v>
      </c>
      <c r="H23" s="21"/>
      <c r="I23" s="28">
        <f>I6</f>
        <v>0.18149999999999999</v>
      </c>
      <c r="J23" s="23"/>
      <c r="K23" s="29"/>
    </row>
    <row r="24" spans="1:12" ht="15">
      <c r="A24" s="5"/>
      <c r="B24" s="92"/>
      <c r="C24" s="92"/>
      <c r="D24" s="93"/>
      <c r="E24" s="92"/>
      <c r="G24" s="27" t="s">
        <v>13</v>
      </c>
      <c r="H24" s="31"/>
      <c r="I24" s="28">
        <f>I7</f>
        <v>4.3299999999999998E-2</v>
      </c>
      <c r="J24" s="23"/>
      <c r="K24" s="29"/>
    </row>
    <row r="25" spans="1:12" ht="14.25">
      <c r="A25" s="94"/>
      <c r="B25" s="92"/>
      <c r="C25" s="92"/>
      <c r="D25" s="93"/>
      <c r="E25" s="92"/>
      <c r="G25" s="36" t="s">
        <v>35</v>
      </c>
      <c r="H25" s="37"/>
      <c r="I25" s="38">
        <v>0.1041</v>
      </c>
      <c r="J25" s="39"/>
      <c r="K25" s="40"/>
    </row>
    <row r="26" spans="1:12">
      <c r="A26" s="95"/>
      <c r="B26" s="96"/>
      <c r="C26" s="95"/>
      <c r="D26" s="97"/>
      <c r="G26" s="42" t="s">
        <v>17</v>
      </c>
      <c r="H26" s="21" t="s">
        <v>18</v>
      </c>
      <c r="I26" s="23">
        <f>SUM(I22:I25)</f>
        <v>0.32219999999999999</v>
      </c>
      <c r="J26" s="23"/>
      <c r="K26" s="43">
        <f>I26*(1+K21)</f>
        <v>0.40371660000000004</v>
      </c>
    </row>
    <row r="27" spans="1:12">
      <c r="A27" s="95"/>
      <c r="B27" s="98"/>
      <c r="C27" s="95"/>
      <c r="D27" s="97"/>
      <c r="G27" s="27" t="s">
        <v>20</v>
      </c>
      <c r="H27" s="31" t="s">
        <v>21</v>
      </c>
      <c r="I27" s="28">
        <f>I10</f>
        <v>7.0800000000000002E-2</v>
      </c>
      <c r="J27" s="23">
        <f>I27*(1+I25)</f>
        <v>7.8170280000000009E-2</v>
      </c>
      <c r="K27" s="48">
        <f>J27*(1+K4)</f>
        <v>9.7947360840000025E-2</v>
      </c>
    </row>
    <row r="28" spans="1:12">
      <c r="A28" s="95"/>
      <c r="B28" s="99"/>
      <c r="C28" s="95"/>
      <c r="D28" s="97"/>
      <c r="G28" s="20" t="s">
        <v>16</v>
      </c>
      <c r="H28" s="21"/>
      <c r="I28" s="51"/>
      <c r="J28" s="51"/>
      <c r="K28" s="52">
        <f>SUM(K21:K27)</f>
        <v>0.75466396083999998</v>
      </c>
    </row>
    <row r="29" spans="1:12">
      <c r="A29" s="95"/>
      <c r="B29" s="100"/>
      <c r="C29" s="95"/>
      <c r="D29" s="97"/>
      <c r="G29" s="55"/>
      <c r="H29" s="21"/>
      <c r="I29" s="51"/>
      <c r="J29" s="23"/>
      <c r="K29" s="29"/>
    </row>
    <row r="30" spans="1:12">
      <c r="A30" s="95"/>
      <c r="B30" s="99"/>
      <c r="C30" s="95"/>
      <c r="D30" s="97"/>
      <c r="G30" s="20" t="s">
        <v>25</v>
      </c>
      <c r="H30" s="21" t="s">
        <v>26</v>
      </c>
      <c r="I30" s="28">
        <f>I13</f>
        <v>0.36630000000000001</v>
      </c>
      <c r="J30" s="23"/>
      <c r="K30" s="58">
        <f>I30*(1+K21)</f>
        <v>0.45897390000000005</v>
      </c>
    </row>
    <row r="31" spans="1:12" ht="13.5" thickBot="1">
      <c r="A31" s="95"/>
      <c r="B31" s="100"/>
      <c r="C31" s="95"/>
      <c r="D31" s="97"/>
      <c r="G31" s="27" t="s">
        <v>27</v>
      </c>
      <c r="H31" s="21"/>
      <c r="I31" s="23"/>
      <c r="J31" s="51"/>
      <c r="K31" s="59">
        <f>SUM(K28:K30)</f>
        <v>1.21363786084</v>
      </c>
    </row>
    <row r="32" spans="1:12" ht="13.5" thickTop="1">
      <c r="A32" s="95"/>
      <c r="B32" s="98"/>
      <c r="C32" s="95"/>
      <c r="D32" s="97"/>
      <c r="G32" s="64"/>
      <c r="H32" s="65"/>
      <c r="I32" s="66"/>
      <c r="J32" s="66"/>
      <c r="K32" s="67"/>
    </row>
    <row r="33" spans="1:11">
      <c r="A33" s="95"/>
      <c r="B33" s="95"/>
      <c r="C33" s="95"/>
      <c r="D33" s="97"/>
    </row>
    <row r="34" spans="1:11">
      <c r="A34" s="92"/>
      <c r="B34" s="101"/>
      <c r="C34" s="95"/>
      <c r="D34" s="97"/>
    </row>
    <row r="35" spans="1:11">
      <c r="A35" s="92"/>
      <c r="B35" s="101"/>
      <c r="C35" s="95"/>
      <c r="D35" s="97"/>
      <c r="G35" s="71"/>
      <c r="K35" s="18"/>
    </row>
    <row r="36" spans="1:11">
      <c r="C36" s="101"/>
      <c r="D36" s="93"/>
    </row>
    <row r="37" spans="1:11">
      <c r="C37" s="101"/>
      <c r="D37" s="93"/>
    </row>
  </sheetData>
  <phoneticPr fontId="2" type="noConversion"/>
  <printOptions horizontalCentered="1"/>
  <pageMargins left="0.75" right="0.75" top="1" bottom="1" header="0.5" footer="0.5"/>
  <pageSetup scale="83" orientation="landscape" horizontalDpi="355" verticalDpi="355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zoomScale="95" zoomScaleNormal="100" zoomScaleSheetLayoutView="85" workbookViewId="0"/>
  </sheetViews>
  <sheetFormatPr defaultRowHeight="12.75"/>
  <cols>
    <col min="1" max="1" width="34.85546875" customWidth="1"/>
    <col min="2" max="2" width="11" customWidth="1"/>
    <col min="3" max="4" width="14" bestFit="1" customWidth="1"/>
    <col min="5" max="5" width="17.2851562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102" t="s">
        <v>36</v>
      </c>
      <c r="B1" s="102"/>
    </row>
    <row r="2" spans="1:245" s="103" customFormat="1">
      <c r="E2" s="104">
        <v>40210</v>
      </c>
    </row>
    <row r="3" spans="1:245">
      <c r="A3" s="105" t="s">
        <v>37</v>
      </c>
      <c r="B3" s="105"/>
      <c r="C3" s="51"/>
      <c r="E3" s="106" t="s">
        <v>38</v>
      </c>
    </row>
    <row r="4" spans="1:245">
      <c r="A4" s="77" t="s">
        <v>39</v>
      </c>
      <c r="B4" s="51" t="s">
        <v>40</v>
      </c>
      <c r="C4" s="222">
        <v>10</v>
      </c>
      <c r="D4" s="108" t="s">
        <v>41</v>
      </c>
      <c r="I4" s="109"/>
      <c r="J4" s="109"/>
    </row>
    <row r="5" spans="1:245">
      <c r="A5" s="77" t="s">
        <v>42</v>
      </c>
      <c r="B5" s="51" t="s">
        <v>43</v>
      </c>
      <c r="C5" s="222">
        <v>5</v>
      </c>
      <c r="D5" s="108" t="s">
        <v>41</v>
      </c>
      <c r="I5" s="109"/>
      <c r="J5" s="110"/>
    </row>
    <row r="6" spans="1:245" s="114" customFormat="1">
      <c r="A6" s="111" t="s">
        <v>44</v>
      </c>
      <c r="B6" s="112" t="s">
        <v>45</v>
      </c>
      <c r="C6" s="113">
        <f>'[1]2009 Fully Loaded Calculations'!B17</f>
        <v>0.3247958173076923</v>
      </c>
      <c r="F6"/>
      <c r="G6"/>
      <c r="H6"/>
      <c r="I6" s="109"/>
      <c r="J6" s="109"/>
    </row>
    <row r="7" spans="1:245" s="114" customFormat="1">
      <c r="A7" s="111" t="s">
        <v>46</v>
      </c>
      <c r="B7" s="112" t="s">
        <v>45</v>
      </c>
      <c r="C7" s="113">
        <f>'[1]2009 Fully Loaded Calculations'!B16</f>
        <v>0.2574679487179487</v>
      </c>
      <c r="D7" s="115"/>
      <c r="F7"/>
      <c r="G7"/>
      <c r="H7"/>
      <c r="I7" s="109"/>
      <c r="J7" s="109"/>
    </row>
    <row r="8" spans="1:245" s="114" customFormat="1">
      <c r="A8" s="111" t="s">
        <v>47</v>
      </c>
      <c r="B8" s="112" t="s">
        <v>48</v>
      </c>
      <c r="C8" s="223">
        <v>1.7000000000000001E-2</v>
      </c>
    </row>
    <row r="9" spans="1:245" s="114" customFormat="1">
      <c r="A9" s="111" t="s">
        <v>49</v>
      </c>
      <c r="B9" s="112" t="s">
        <v>50</v>
      </c>
      <c r="C9" s="224">
        <v>0.3</v>
      </c>
      <c r="F9"/>
      <c r="I9" s="118"/>
      <c r="J9" s="119"/>
    </row>
    <row r="10" spans="1:245">
      <c r="A10" s="77" t="s">
        <v>51</v>
      </c>
      <c r="B10" s="51"/>
      <c r="C10" s="51"/>
      <c r="J10" s="57"/>
    </row>
    <row r="11" spans="1:245">
      <c r="A11" s="95"/>
    </row>
    <row r="12" spans="1:245">
      <c r="A12" s="95" t="s">
        <v>52</v>
      </c>
      <c r="C12">
        <v>2008</v>
      </c>
      <c r="D12">
        <v>2009</v>
      </c>
      <c r="E12" s="71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225" t="s">
        <v>53</v>
      </c>
      <c r="B13" s="121"/>
      <c r="C13" s="122">
        <f>'[1]2008 Fully Loaded Calculations'!D15*52*90</f>
        <v>6560.7987375000012</v>
      </c>
      <c r="D13" s="123">
        <f>'[1]2009 Fully Loaded Calculations'!D15*52*90</f>
        <v>7022.0133750000005</v>
      </c>
    </row>
    <row r="14" spans="1:245" ht="13.5" thickBot="1">
      <c r="C14" s="12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125" t="s">
        <v>54</v>
      </c>
      <c r="B15" s="126"/>
      <c r="C15" s="126" t="s">
        <v>55</v>
      </c>
      <c r="D15" s="126" t="s">
        <v>56</v>
      </c>
      <c r="E15" s="126" t="s">
        <v>57</v>
      </c>
      <c r="F15" s="126" t="s">
        <v>58</v>
      </c>
      <c r="G15" s="126" t="s">
        <v>59</v>
      </c>
      <c r="H15" s="126" t="s">
        <v>60</v>
      </c>
      <c r="I15" s="126" t="s">
        <v>61</v>
      </c>
      <c r="J15" s="126" t="s">
        <v>62</v>
      </c>
      <c r="K15" s="126" t="s">
        <v>63</v>
      </c>
      <c r="L15" s="126" t="s">
        <v>64</v>
      </c>
      <c r="M15" s="126" t="s">
        <v>65</v>
      </c>
      <c r="N15" s="127" t="s">
        <v>66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128" t="s">
        <v>67</v>
      </c>
      <c r="B16" s="129"/>
      <c r="C16" s="130">
        <v>5048</v>
      </c>
      <c r="D16" s="130">
        <v>5776</v>
      </c>
      <c r="E16" s="131"/>
      <c r="F16" s="131"/>
      <c r="G16" s="131"/>
      <c r="H16" s="131"/>
      <c r="I16" s="131"/>
      <c r="J16" s="131"/>
      <c r="K16" s="130"/>
      <c r="L16" s="130"/>
      <c r="M16" s="130"/>
      <c r="N16" s="132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134" t="s">
        <v>68</v>
      </c>
      <c r="B17" s="135" t="s">
        <v>69</v>
      </c>
      <c r="C17" s="136">
        <f>+C16--952-290</f>
        <v>5710</v>
      </c>
      <c r="D17" s="136">
        <f>D16-778-351</f>
        <v>4647</v>
      </c>
      <c r="E17" s="136"/>
      <c r="F17" s="136"/>
      <c r="G17" s="137"/>
      <c r="H17" s="136"/>
      <c r="I17" s="136"/>
      <c r="J17" s="136"/>
      <c r="K17" s="136"/>
      <c r="L17" s="136"/>
      <c r="M17" s="136"/>
      <c r="N17" s="138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139" t="s">
        <v>70</v>
      </c>
      <c r="B18" s="51" t="s">
        <v>71</v>
      </c>
      <c r="C18" s="140">
        <f>+C17*$C$4/60</f>
        <v>951.66666666666663</v>
      </c>
      <c r="D18" s="140">
        <f>+D17*$C$4/60</f>
        <v>774.5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128" t="s">
        <v>72</v>
      </c>
      <c r="B19" s="129" t="s">
        <v>73</v>
      </c>
      <c r="C19" s="142">
        <v>292</v>
      </c>
      <c r="D19" s="142">
        <v>276</v>
      </c>
      <c r="E19" s="142"/>
      <c r="F19" s="142"/>
      <c r="G19" s="142"/>
      <c r="H19" s="142"/>
      <c r="I19" s="142"/>
      <c r="J19" s="142"/>
      <c r="K19" s="142"/>
      <c r="L19" s="142"/>
      <c r="M19" s="142"/>
      <c r="N19" s="14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139" t="s">
        <v>74</v>
      </c>
      <c r="B20" s="51" t="s">
        <v>75</v>
      </c>
      <c r="C20" s="140">
        <f>+C19*$C$5/60</f>
        <v>24.333333333333332</v>
      </c>
      <c r="D20" s="140">
        <f>+D19*$C$5/60</f>
        <v>23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1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144" t="s">
        <v>76</v>
      </c>
      <c r="B21" s="145" t="s">
        <v>77</v>
      </c>
      <c r="C21" s="146">
        <f>C18+C20</f>
        <v>976</v>
      </c>
      <c r="D21" s="146">
        <f>D18+D20</f>
        <v>797.5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7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128" t="s">
        <v>78</v>
      </c>
      <c r="B22" s="129" t="s">
        <v>79</v>
      </c>
      <c r="C22" s="142">
        <v>12</v>
      </c>
      <c r="D22" s="142">
        <v>28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139" t="s">
        <v>80</v>
      </c>
      <c r="B23" s="51" t="s">
        <v>81</v>
      </c>
      <c r="C23" s="148">
        <f>+C22*$C$9</f>
        <v>3.5999999999999996</v>
      </c>
      <c r="D23" s="148">
        <f>+D22*$C$9</f>
        <v>8.4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139" t="s">
        <v>82</v>
      </c>
      <c r="B24" s="51"/>
      <c r="C24" s="150">
        <f>IF(C19=0,0,C22/C19*C18)</f>
        <v>39.109589041095887</v>
      </c>
      <c r="D24" s="150">
        <f>IF(D19=0,0,D22/D19*D18)</f>
        <v>78.572463768115952</v>
      </c>
      <c r="E24" s="150"/>
      <c r="F24" s="150"/>
      <c r="G24" s="150"/>
      <c r="H24" s="150"/>
      <c r="I24" s="150"/>
      <c r="J24" s="150"/>
      <c r="K24" s="150"/>
      <c r="L24" s="150"/>
      <c r="M24" s="150"/>
      <c r="N24" s="151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139" t="s">
        <v>83</v>
      </c>
      <c r="B25" s="51" t="s">
        <v>84</v>
      </c>
      <c r="C25" s="152">
        <f>C24*'[4]2008 GP Connections, Jan &amp; Feb'!C8</f>
        <v>1.5252739726027396</v>
      </c>
      <c r="D25" s="152">
        <f>D24*'[5]2008 GP Connections, Jan &amp; Feb'!C8</f>
        <v>3.0643260869565223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3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154" t="s">
        <v>85</v>
      </c>
      <c r="B26" s="155" t="s">
        <v>86</v>
      </c>
      <c r="C26" s="156">
        <f>+C25+C23</f>
        <v>5.1252739726027396</v>
      </c>
      <c r="D26" s="156">
        <f>+D25+D23</f>
        <v>11.464326086956522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7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154" t="s">
        <v>87</v>
      </c>
      <c r="B27" s="155" t="s">
        <v>88</v>
      </c>
      <c r="C27" s="158">
        <f>C21*'[4]2008 GP Connections, Jan &amp; Feb'!C7</f>
        <v>228.7578205128205</v>
      </c>
      <c r="D27" s="158">
        <f>D21*'[5]2008 GP Connections, Jan &amp; Feb'!C7</f>
        <v>186.92045272435897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9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154" t="s">
        <v>89</v>
      </c>
      <c r="B28" s="155" t="s">
        <v>88</v>
      </c>
      <c r="C28" s="158">
        <f>C21*'[4]2008 GP Connections, Jan &amp; Feb'!C6</f>
        <v>312.97907944866409</v>
      </c>
      <c r="D28" s="158">
        <f>D21*'[5]2008 GP Connections, Jan &amp; Feb'!C6</f>
        <v>255.73854084048119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9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160" t="s">
        <v>90</v>
      </c>
      <c r="B29" s="155" t="s">
        <v>91</v>
      </c>
      <c r="C29" s="161">
        <f>C19*$C$9</f>
        <v>87.6</v>
      </c>
      <c r="D29" s="161">
        <f>D19*$C$9</f>
        <v>82.8</v>
      </c>
      <c r="E29" s="161"/>
      <c r="F29" s="161"/>
      <c r="G29" s="161"/>
      <c r="H29" s="161"/>
      <c r="I29" s="161"/>
      <c r="J29" s="161"/>
      <c r="K29" s="161"/>
      <c r="L29" s="161"/>
      <c r="M29" s="161"/>
      <c r="N29" s="162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144" t="s">
        <v>92</v>
      </c>
      <c r="B30" s="145"/>
      <c r="C30" s="163">
        <f>SUM(C26:C29)</f>
        <v>634.46217393408733</v>
      </c>
      <c r="D30" s="163">
        <f>SUM(D26:D29)</f>
        <v>536.92331965179665</v>
      </c>
      <c r="E30" s="163"/>
      <c r="F30" s="163"/>
      <c r="G30" s="163"/>
      <c r="H30" s="163"/>
      <c r="I30" s="163"/>
      <c r="J30" s="163"/>
      <c r="K30" s="163"/>
      <c r="L30" s="163"/>
      <c r="M30" s="163"/>
      <c r="N30" s="16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139"/>
      <c r="B31" s="51"/>
      <c r="C31" s="51"/>
      <c r="D31" s="148"/>
      <c r="E31" s="51"/>
      <c r="F31" s="148"/>
      <c r="G31" s="148"/>
      <c r="H31" s="148"/>
      <c r="I31" s="148"/>
      <c r="J31" s="148"/>
      <c r="K31" s="148"/>
      <c r="L31" s="148"/>
      <c r="M31" s="148"/>
      <c r="N31" s="149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165" t="s">
        <v>93</v>
      </c>
      <c r="B32" s="166"/>
      <c r="C32" s="51"/>
      <c r="D32" s="148"/>
      <c r="E32" s="51"/>
      <c r="F32" s="51"/>
      <c r="G32" s="148"/>
      <c r="H32" s="148"/>
      <c r="I32" s="148"/>
      <c r="J32" s="148"/>
      <c r="K32" s="148"/>
      <c r="L32" s="148"/>
      <c r="M32" s="148"/>
      <c r="N32" s="149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167" t="s">
        <v>94</v>
      </c>
      <c r="B33" s="168"/>
      <c r="C33" s="169"/>
      <c r="D33" s="170"/>
      <c r="E33" s="169"/>
      <c r="F33" s="170"/>
      <c r="G33" s="170"/>
      <c r="H33" s="170"/>
      <c r="I33" s="170"/>
      <c r="J33" s="170"/>
      <c r="K33" s="170"/>
      <c r="L33" s="170"/>
      <c r="M33" s="170"/>
      <c r="N33" s="17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165" t="s">
        <v>95</v>
      </c>
      <c r="B34" s="166"/>
      <c r="C34" s="173">
        <f t="shared" ref="C34:N34" si="0">C33*30*$C$6</f>
        <v>0</v>
      </c>
      <c r="D34" s="173">
        <f t="shared" si="0"/>
        <v>0</v>
      </c>
      <c r="E34" s="173">
        <f t="shared" si="0"/>
        <v>0</v>
      </c>
      <c r="F34" s="173">
        <f t="shared" si="0"/>
        <v>0</v>
      </c>
      <c r="G34" s="173">
        <f t="shared" si="0"/>
        <v>0</v>
      </c>
      <c r="H34" s="173">
        <f t="shared" si="0"/>
        <v>0</v>
      </c>
      <c r="I34" s="173">
        <f t="shared" si="0"/>
        <v>0</v>
      </c>
      <c r="J34" s="173">
        <f t="shared" si="0"/>
        <v>0</v>
      </c>
      <c r="K34" s="173">
        <f t="shared" si="0"/>
        <v>0</v>
      </c>
      <c r="L34" s="173">
        <f t="shared" si="0"/>
        <v>0</v>
      </c>
      <c r="M34" s="173">
        <f t="shared" si="0"/>
        <v>0</v>
      </c>
      <c r="N34" s="174">
        <f t="shared" si="0"/>
        <v>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165"/>
      <c r="B35" s="166"/>
      <c r="C35" s="51"/>
      <c r="D35" s="148"/>
      <c r="E35" s="51"/>
      <c r="F35" s="148"/>
      <c r="G35" s="148"/>
      <c r="H35" s="148"/>
      <c r="I35" s="148"/>
      <c r="J35" s="148"/>
      <c r="K35" s="148"/>
      <c r="L35" s="148"/>
      <c r="M35" s="148"/>
      <c r="N35" s="14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139"/>
      <c r="B36" s="51"/>
      <c r="C36" s="51"/>
      <c r="D36" s="148"/>
      <c r="E36" s="51"/>
      <c r="F36" s="148"/>
      <c r="G36" s="148"/>
      <c r="H36" s="148"/>
      <c r="I36" s="148"/>
      <c r="J36" s="148"/>
      <c r="K36" s="148"/>
      <c r="L36" s="148"/>
      <c r="M36" s="148"/>
      <c r="N36" s="14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139" t="s">
        <v>52</v>
      </c>
      <c r="B37" s="51"/>
      <c r="C37" s="175"/>
      <c r="D37" s="176"/>
      <c r="E37" s="175"/>
      <c r="F37" s="176"/>
      <c r="G37" s="176"/>
      <c r="H37" s="176"/>
      <c r="I37" s="176"/>
      <c r="J37" s="176"/>
      <c r="K37" s="176"/>
      <c r="L37" s="176"/>
      <c r="M37" s="176"/>
      <c r="N37" s="17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178" t="s">
        <v>96</v>
      </c>
      <c r="B38" s="179"/>
      <c r="C38" s="180">
        <v>3</v>
      </c>
      <c r="D38" s="181">
        <v>3</v>
      </c>
      <c r="E38" s="180">
        <v>3</v>
      </c>
      <c r="F38" s="182">
        <v>3</v>
      </c>
      <c r="G38" s="182">
        <v>3</v>
      </c>
      <c r="H38" s="182">
        <v>3</v>
      </c>
      <c r="I38" s="182">
        <v>3</v>
      </c>
      <c r="J38" s="182">
        <v>3</v>
      </c>
      <c r="K38" s="182">
        <v>3</v>
      </c>
      <c r="L38" s="181">
        <v>3</v>
      </c>
      <c r="M38" s="181">
        <v>3</v>
      </c>
      <c r="N38" s="183">
        <v>3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144" t="s">
        <v>97</v>
      </c>
      <c r="B39" s="145"/>
      <c r="C39" s="184">
        <f>E39</f>
        <v>585.16778125000008</v>
      </c>
      <c r="D39" s="184">
        <f>E39</f>
        <v>585.16778125000008</v>
      </c>
      <c r="E39" s="185">
        <f>D13/12</f>
        <v>585.16778125000008</v>
      </c>
      <c r="F39" s="185">
        <f t="shared" ref="F39:N39" si="1">E39</f>
        <v>585.16778125000008</v>
      </c>
      <c r="G39" s="185">
        <f t="shared" si="1"/>
        <v>585.16778125000008</v>
      </c>
      <c r="H39" s="185">
        <f t="shared" si="1"/>
        <v>585.16778125000008</v>
      </c>
      <c r="I39" s="185">
        <f t="shared" si="1"/>
        <v>585.16778125000008</v>
      </c>
      <c r="J39" s="185">
        <f t="shared" si="1"/>
        <v>585.16778125000008</v>
      </c>
      <c r="K39" s="185">
        <f t="shared" si="1"/>
        <v>585.16778125000008</v>
      </c>
      <c r="L39" s="185">
        <f t="shared" si="1"/>
        <v>585.16778125000008</v>
      </c>
      <c r="M39" s="185">
        <f t="shared" si="1"/>
        <v>585.16778125000008</v>
      </c>
      <c r="N39" s="185">
        <f t="shared" si="1"/>
        <v>585.16778125000008</v>
      </c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186"/>
      <c r="B40" s="187"/>
      <c r="C40" s="188"/>
      <c r="D40" s="189"/>
      <c r="E40" s="190"/>
      <c r="F40" s="191"/>
      <c r="G40" s="191"/>
      <c r="H40" s="191"/>
      <c r="I40" s="191"/>
      <c r="J40" s="191"/>
      <c r="K40" s="191"/>
      <c r="L40" s="191"/>
      <c r="M40" s="191"/>
      <c r="N40" s="192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193" t="s">
        <v>98</v>
      </c>
      <c r="B41" s="194"/>
      <c r="C41" s="195"/>
      <c r="D41" s="196"/>
      <c r="E41" s="197"/>
      <c r="F41" s="198"/>
      <c r="G41" s="197"/>
      <c r="H41" s="197"/>
      <c r="I41" s="197"/>
      <c r="J41" s="197"/>
      <c r="K41" s="197"/>
      <c r="L41" s="197"/>
      <c r="M41" s="197"/>
      <c r="N41" s="19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200" t="s">
        <v>99</v>
      </c>
      <c r="B42" s="201"/>
      <c r="C42" s="188"/>
      <c r="D42" s="189"/>
      <c r="E42" s="188"/>
      <c r="F42" s="191"/>
      <c r="G42" s="191"/>
      <c r="H42" s="191"/>
      <c r="I42" s="191"/>
      <c r="J42" s="191"/>
      <c r="K42" s="191"/>
      <c r="L42" s="191"/>
      <c r="M42" s="191"/>
      <c r="N42" s="19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139"/>
      <c r="B43" s="51"/>
      <c r="C43" s="51"/>
      <c r="D43" s="148"/>
      <c r="E43" s="51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245" ht="13.5" thickBot="1">
      <c r="A44" s="202" t="s">
        <v>100</v>
      </c>
      <c r="B44" s="203"/>
      <c r="C44" s="204">
        <f t="shared" ref="C44:N44" si="2">C30+C34+C39+C41+C42</f>
        <v>1219.6299551840875</v>
      </c>
      <c r="D44" s="205">
        <f t="shared" si="2"/>
        <v>1122.0911009017968</v>
      </c>
      <c r="E44" s="204">
        <f t="shared" si="2"/>
        <v>585.16778125000008</v>
      </c>
      <c r="F44" s="205">
        <f t="shared" si="2"/>
        <v>585.16778125000008</v>
      </c>
      <c r="G44" s="205">
        <f t="shared" si="2"/>
        <v>585.16778125000008</v>
      </c>
      <c r="H44" s="205">
        <f t="shared" si="2"/>
        <v>585.16778125000008</v>
      </c>
      <c r="I44" s="205">
        <f t="shared" si="2"/>
        <v>585.16778125000008</v>
      </c>
      <c r="J44" s="205">
        <f t="shared" si="2"/>
        <v>585.16778125000008</v>
      </c>
      <c r="K44" s="205">
        <f t="shared" si="2"/>
        <v>585.16778125000008</v>
      </c>
      <c r="L44" s="205">
        <f t="shared" si="2"/>
        <v>585.16778125000008</v>
      </c>
      <c r="M44" s="205">
        <f t="shared" si="2"/>
        <v>585.16778125000008</v>
      </c>
      <c r="N44" s="206">
        <f t="shared" si="2"/>
        <v>585.16778125000008</v>
      </c>
    </row>
    <row r="46" spans="1:245" ht="18">
      <c r="A46" s="103" t="str">
        <f>+A1</f>
        <v>Gulf Power Connections Costs</v>
      </c>
      <c r="C46" s="207">
        <v>40179</v>
      </c>
      <c r="D46" s="208">
        <v>40210</v>
      </c>
      <c r="E46" s="207">
        <v>39873</v>
      </c>
      <c r="F46" s="207">
        <v>39904</v>
      </c>
      <c r="G46" s="207">
        <v>39934</v>
      </c>
      <c r="H46" s="207">
        <v>39965</v>
      </c>
      <c r="I46" s="207">
        <v>39995</v>
      </c>
      <c r="J46" s="207">
        <v>40026</v>
      </c>
      <c r="K46" s="207">
        <v>40057</v>
      </c>
      <c r="L46" s="207">
        <v>40087</v>
      </c>
      <c r="M46" s="207">
        <v>40118</v>
      </c>
      <c r="N46" s="207">
        <v>40148</v>
      </c>
    </row>
    <row r="47" spans="1:245" ht="18">
      <c r="C47" s="209"/>
      <c r="D47" s="226"/>
      <c r="E47" s="210"/>
      <c r="F47" s="210"/>
      <c r="G47" s="210"/>
      <c r="H47" s="210"/>
      <c r="I47" s="210"/>
      <c r="J47" s="210"/>
      <c r="K47" s="210"/>
      <c r="L47" s="210"/>
      <c r="M47" s="210"/>
      <c r="N47" s="210"/>
    </row>
    <row r="48" spans="1:245" ht="18">
      <c r="A48" s="212" t="s">
        <v>101</v>
      </c>
      <c r="B48" s="213" t="s">
        <v>102</v>
      </c>
      <c r="C48" s="214">
        <f t="shared" ref="C48:N48" si="3">+C27</f>
        <v>228.7578205128205</v>
      </c>
      <c r="D48" s="215">
        <f t="shared" si="3"/>
        <v>186.92045272435897</v>
      </c>
      <c r="E48" s="214">
        <f t="shared" si="3"/>
        <v>0</v>
      </c>
      <c r="F48" s="214">
        <f t="shared" si="3"/>
        <v>0</v>
      </c>
      <c r="G48" s="214">
        <f t="shared" si="3"/>
        <v>0</v>
      </c>
      <c r="H48" s="214">
        <f t="shared" si="3"/>
        <v>0</v>
      </c>
      <c r="I48" s="214">
        <f t="shared" si="3"/>
        <v>0</v>
      </c>
      <c r="J48" s="214">
        <f t="shared" si="3"/>
        <v>0</v>
      </c>
      <c r="K48" s="214">
        <f t="shared" si="3"/>
        <v>0</v>
      </c>
      <c r="L48" s="214">
        <f t="shared" si="3"/>
        <v>0</v>
      </c>
      <c r="M48" s="214">
        <f t="shared" si="3"/>
        <v>0</v>
      </c>
      <c r="N48" s="214">
        <f t="shared" si="3"/>
        <v>0</v>
      </c>
      <c r="P48" s="216"/>
    </row>
    <row r="49" spans="1:16" ht="18">
      <c r="A49" s="212" t="s">
        <v>103</v>
      </c>
      <c r="B49" s="213" t="s">
        <v>16</v>
      </c>
      <c r="C49" s="214">
        <f>+C21*'[1]2008 Fully Loaded Calculations'!B19</f>
        <v>184.79720138705127</v>
      </c>
      <c r="D49" s="215">
        <f>+D21*'[1]2008 Fully Loaded Calculations'!B19</f>
        <v>150.99976240386619</v>
      </c>
      <c r="E49" s="214">
        <f>E21*'[1]2009 Fully Loaded Calculations'!B19</f>
        <v>0</v>
      </c>
      <c r="F49" s="214">
        <f>F21*'[1]2009 Fully Loaded Calculations'!B19</f>
        <v>0</v>
      </c>
      <c r="G49" s="214">
        <f>G21*'[1]2009 Fully Loaded Calculations'!B19</f>
        <v>0</v>
      </c>
      <c r="H49" s="214">
        <f>H21*'[1]2009 Fully Loaded Calculations'!B19</f>
        <v>0</v>
      </c>
      <c r="I49" s="214">
        <f>I21*'[1]2009 Fully Loaded Calculations'!B19</f>
        <v>0</v>
      </c>
      <c r="J49" s="214">
        <f>J21*'[1]2009 Fully Loaded Calculations'!B19</f>
        <v>0</v>
      </c>
      <c r="K49" s="214">
        <f>K21*'[1]2009 Fully Loaded Calculations'!B19</f>
        <v>0</v>
      </c>
      <c r="L49" s="214">
        <f>L21*'[1]2009 Fully Loaded Calculations'!B19</f>
        <v>0</v>
      </c>
      <c r="M49" s="214">
        <f>M21*'[1]2009 Fully Loaded Calculations'!B19</f>
        <v>0</v>
      </c>
      <c r="N49" s="214">
        <f>N21*'[1]2009 Fully Loaded Calculations'!B19</f>
        <v>0</v>
      </c>
      <c r="P49" s="216"/>
    </row>
    <row r="50" spans="1:16" ht="18">
      <c r="A50" s="212" t="s">
        <v>104</v>
      </c>
      <c r="B50" s="213" t="s">
        <v>33</v>
      </c>
      <c r="C50" s="214">
        <f>+C21*'[1]2008 Fully Loaded Calculations'!B20</f>
        <v>130.22748081935899</v>
      </c>
      <c r="D50" s="215">
        <f>+D21*'[1]2008 Fully Loaded Calculations'!B20</f>
        <v>106.4102622473758</v>
      </c>
      <c r="E50" s="214">
        <f>E21*'[1]2009 Fully Loaded Calculations'!B20</f>
        <v>0</v>
      </c>
      <c r="F50" s="214">
        <f>F21*'[1]2009 Fully Loaded Calculations'!B20</f>
        <v>0</v>
      </c>
      <c r="G50" s="214">
        <f>G21*'[1]2009 Fully Loaded Calculations'!B20</f>
        <v>0</v>
      </c>
      <c r="H50" s="214">
        <f>H21*'[1]2009 Fully Loaded Calculations'!B20</f>
        <v>0</v>
      </c>
      <c r="I50" s="214">
        <f>I21*'[1]2009 Fully Loaded Calculations'!B20</f>
        <v>0</v>
      </c>
      <c r="J50" s="214">
        <f>J21*'[1]2009 Fully Loaded Calculations'!B20</f>
        <v>0</v>
      </c>
      <c r="K50" s="214">
        <f>K21*'[1]2009 Fully Loaded Calculations'!B20</f>
        <v>0</v>
      </c>
      <c r="L50" s="214">
        <f>L21*'[1]2009 Fully Loaded Calculations'!B20</f>
        <v>0</v>
      </c>
      <c r="M50" s="214">
        <f>M21*'[1]2009 Fully Loaded Calculations'!B20</f>
        <v>0</v>
      </c>
      <c r="N50" s="214">
        <f>N21*'[1]2009 Fully Loaded Calculations'!B20</f>
        <v>0</v>
      </c>
      <c r="P50" s="216"/>
    </row>
    <row r="51" spans="1:16" ht="18">
      <c r="A51" s="212" t="s">
        <v>105</v>
      </c>
      <c r="B51" s="213" t="s">
        <v>106</v>
      </c>
      <c r="C51" s="214">
        <f t="shared" ref="C51:N51" si="4">+C26+C29</f>
        <v>92.725273972602736</v>
      </c>
      <c r="D51" s="215">
        <f t="shared" si="4"/>
        <v>94.264326086956515</v>
      </c>
      <c r="E51" s="214">
        <f t="shared" si="4"/>
        <v>0</v>
      </c>
      <c r="F51" s="214">
        <f t="shared" si="4"/>
        <v>0</v>
      </c>
      <c r="G51" s="214">
        <f t="shared" si="4"/>
        <v>0</v>
      </c>
      <c r="H51" s="214">
        <f t="shared" si="4"/>
        <v>0</v>
      </c>
      <c r="I51" s="214">
        <f t="shared" si="4"/>
        <v>0</v>
      </c>
      <c r="J51" s="214">
        <f t="shared" si="4"/>
        <v>0</v>
      </c>
      <c r="K51" s="214">
        <f t="shared" si="4"/>
        <v>0</v>
      </c>
      <c r="L51" s="214">
        <f t="shared" si="4"/>
        <v>0</v>
      </c>
      <c r="M51" s="214">
        <f t="shared" si="4"/>
        <v>0</v>
      </c>
      <c r="N51" s="214">
        <f t="shared" si="4"/>
        <v>0</v>
      </c>
      <c r="P51" s="216"/>
    </row>
    <row r="52" spans="1:16" ht="18">
      <c r="A52" s="212" t="s">
        <v>107</v>
      </c>
      <c r="B52" s="213" t="s">
        <v>99</v>
      </c>
      <c r="C52" s="214">
        <f t="shared" ref="C52:N52" si="5">+C42</f>
        <v>0</v>
      </c>
      <c r="D52" s="215">
        <f t="shared" si="5"/>
        <v>0</v>
      </c>
      <c r="E52" s="214">
        <f t="shared" si="5"/>
        <v>0</v>
      </c>
      <c r="F52" s="214">
        <f t="shared" si="5"/>
        <v>0</v>
      </c>
      <c r="G52" s="214">
        <f t="shared" si="5"/>
        <v>0</v>
      </c>
      <c r="H52" s="214">
        <f t="shared" si="5"/>
        <v>0</v>
      </c>
      <c r="I52" s="214">
        <f t="shared" si="5"/>
        <v>0</v>
      </c>
      <c r="J52" s="214">
        <f t="shared" si="5"/>
        <v>0</v>
      </c>
      <c r="K52" s="214">
        <f t="shared" si="5"/>
        <v>0</v>
      </c>
      <c r="L52" s="214">
        <f t="shared" si="5"/>
        <v>0</v>
      </c>
      <c r="M52" s="214">
        <f t="shared" si="5"/>
        <v>0</v>
      </c>
      <c r="N52" s="214">
        <f t="shared" si="5"/>
        <v>0</v>
      </c>
      <c r="P52" s="216"/>
    </row>
    <row r="53" spans="1:16" ht="18">
      <c r="A53" s="212" t="s">
        <v>101</v>
      </c>
      <c r="B53" s="217" t="s">
        <v>108</v>
      </c>
      <c r="C53" s="214">
        <f>('[1]2009 Fully Loaded Calculations'!D16*52*90)/12</f>
        <v>251.46875</v>
      </c>
      <c r="D53" s="215">
        <f>('[1]2009 Fully Loaded Calculations'!D16*52*90)/12</f>
        <v>251.46875</v>
      </c>
      <c r="E53" s="214">
        <f>('[1]2009 Fully Loaded Calculations'!D16*52*90)/12</f>
        <v>251.46875</v>
      </c>
      <c r="F53" s="214">
        <f>('[1]2009 Fully Loaded Calculations'!D16*52*90)/12</f>
        <v>251.46875</v>
      </c>
      <c r="G53" s="214">
        <f>('[1]2009 Fully Loaded Calculations'!D16*52*90)/12</f>
        <v>251.46875</v>
      </c>
      <c r="H53" s="214">
        <f>('[1]2009 Fully Loaded Calculations'!D16*52*90)/12</f>
        <v>251.46875</v>
      </c>
      <c r="I53" s="214">
        <f>('[1]2009 Fully Loaded Calculations'!D16*52*90)/12</f>
        <v>251.46875</v>
      </c>
      <c r="J53" s="214">
        <f>('[1]2009 Fully Loaded Calculations'!D16*52*90)/12</f>
        <v>251.46875</v>
      </c>
      <c r="K53" s="214">
        <f>('[1]2009 Fully Loaded Calculations'!D16*52*90)/12</f>
        <v>251.46875</v>
      </c>
      <c r="L53" s="214">
        <f>('[1]2009 Fully Loaded Calculations'!D16*52*90)/12</f>
        <v>251.46875</v>
      </c>
      <c r="M53" s="214">
        <f>('[1]2009 Fully Loaded Calculations'!D16*52*90)/12</f>
        <v>251.46875</v>
      </c>
      <c r="N53" s="214">
        <f>('[1]2009 Fully Loaded Calculations'!D16*52*90)/12</f>
        <v>251.46875</v>
      </c>
      <c r="P53" s="218"/>
    </row>
    <row r="54" spans="1:16" ht="18">
      <c r="A54" s="212" t="s">
        <v>103</v>
      </c>
      <c r="B54" s="217" t="s">
        <v>16</v>
      </c>
      <c r="C54" s="214">
        <f>'[1]2009 Fully Loaded Calculations'!D19*52*90/12</f>
        <v>206.45584375000001</v>
      </c>
      <c r="D54" s="215">
        <f>'[1]2009 Fully Loaded Calculations'!D19*52*90/12</f>
        <v>206.45584375000001</v>
      </c>
      <c r="E54" s="214">
        <f>('[1]2009 Fully Loaded Calculations'!D19*52*90)/12</f>
        <v>206.45584375000001</v>
      </c>
      <c r="F54" s="214">
        <f>('[1]2009 Fully Loaded Calculations'!D19*52*90)/12</f>
        <v>206.45584375000001</v>
      </c>
      <c r="G54" s="214">
        <f>('[1]2009 Fully Loaded Calculations'!D19*52*90)/12</f>
        <v>206.45584375000001</v>
      </c>
      <c r="H54" s="214">
        <f>('[1]2009 Fully Loaded Calculations'!D19*52*90)/12</f>
        <v>206.45584375000001</v>
      </c>
      <c r="I54" s="214">
        <f>('[1]2009 Fully Loaded Calculations'!D19*52*90)/12</f>
        <v>206.45584375000001</v>
      </c>
      <c r="J54" s="214">
        <f>('[1]2009 Fully Loaded Calculations'!D19*52*90)/12</f>
        <v>206.45584375000001</v>
      </c>
      <c r="K54" s="214">
        <f>('[1]2009 Fully Loaded Calculations'!D19*52*90)/12</f>
        <v>206.45584375000001</v>
      </c>
      <c r="L54" s="214">
        <f>('[1]2009 Fully Loaded Calculations'!D19*52*90)/12</f>
        <v>206.45584375000001</v>
      </c>
      <c r="M54" s="214">
        <f>('[1]2009 Fully Loaded Calculations'!D19*52*90)/12</f>
        <v>206.45584375000001</v>
      </c>
      <c r="N54" s="214">
        <f>('[1]2009 Fully Loaded Calculations'!D19*52*90)/12</f>
        <v>206.45584375000001</v>
      </c>
      <c r="P54" s="218"/>
    </row>
    <row r="55" spans="1:16" ht="18">
      <c r="A55" s="212" t="s">
        <v>104</v>
      </c>
      <c r="B55" s="217" t="s">
        <v>33</v>
      </c>
      <c r="C55" s="214">
        <f>'[1]2009 Fully Loaded Calculations'!D20*52*90/12</f>
        <v>127.24318749999999</v>
      </c>
      <c r="D55" s="215">
        <f>'[1]2009 Fully Loaded Calculations'!D20*52*90/12</f>
        <v>127.24318749999999</v>
      </c>
      <c r="E55" s="214">
        <f>('[1]2009 Fully Loaded Calculations'!D20*52*90)/12</f>
        <v>127.24318749999999</v>
      </c>
      <c r="F55" s="214">
        <f>('[1]2009 Fully Loaded Calculations'!D20*52*90)/12</f>
        <v>127.24318749999999</v>
      </c>
      <c r="G55" s="214">
        <f>('[1]2009 Fully Loaded Calculations'!D20*52*90)/12</f>
        <v>127.24318749999999</v>
      </c>
      <c r="H55" s="214">
        <f>('[1]2009 Fully Loaded Calculations'!D20*52*90)/12</f>
        <v>127.24318749999999</v>
      </c>
      <c r="I55" s="214">
        <f>('[1]2009 Fully Loaded Calculations'!D20*52*90)/12</f>
        <v>127.24318749999999</v>
      </c>
      <c r="J55" s="214">
        <f>('[1]2009 Fully Loaded Calculations'!D20*52*90)/12</f>
        <v>127.24318749999999</v>
      </c>
      <c r="K55" s="214">
        <f>('[1]2009 Fully Loaded Calculations'!D20*52*90)/12</f>
        <v>127.24318749999999</v>
      </c>
      <c r="L55" s="214">
        <f>('[1]2009 Fully Loaded Calculations'!D20*52*90)/12</f>
        <v>127.24318749999999</v>
      </c>
      <c r="M55" s="214">
        <f>('[1]2009 Fully Loaded Calculations'!D20*52*90)/12</f>
        <v>127.24318749999999</v>
      </c>
      <c r="N55" s="214">
        <f>('[1]2009 Fully Loaded Calculations'!D20*52*90)/12</f>
        <v>127.24318749999999</v>
      </c>
      <c r="P55" s="218"/>
    </row>
    <row r="56" spans="1:16" ht="18">
      <c r="B56" s="213" t="s">
        <v>109</v>
      </c>
      <c r="C56" s="214">
        <f t="shared" ref="C56:N56" si="6">SUM(C48:C55)</f>
        <v>1221.6755579418336</v>
      </c>
      <c r="D56" s="215">
        <f t="shared" si="6"/>
        <v>1123.7625847125576</v>
      </c>
      <c r="E56" s="214">
        <f t="shared" si="6"/>
        <v>585.16778124999996</v>
      </c>
      <c r="F56" s="214">
        <f t="shared" si="6"/>
        <v>585.16778124999996</v>
      </c>
      <c r="G56" s="214">
        <f t="shared" si="6"/>
        <v>585.16778124999996</v>
      </c>
      <c r="H56" s="214">
        <f t="shared" si="6"/>
        <v>585.16778124999996</v>
      </c>
      <c r="I56" s="214">
        <f t="shared" si="6"/>
        <v>585.16778124999996</v>
      </c>
      <c r="J56" s="214">
        <f t="shared" si="6"/>
        <v>585.16778124999996</v>
      </c>
      <c r="K56" s="214">
        <f t="shared" si="6"/>
        <v>585.16778124999996</v>
      </c>
      <c r="L56" s="214">
        <f t="shared" si="6"/>
        <v>585.16778124999996</v>
      </c>
      <c r="M56" s="214">
        <f t="shared" si="6"/>
        <v>585.16778124999996</v>
      </c>
      <c r="N56" s="214">
        <f t="shared" si="6"/>
        <v>585.16778124999996</v>
      </c>
      <c r="P56" s="216"/>
    </row>
    <row r="57" spans="1:16" ht="18">
      <c r="B57" s="213"/>
      <c r="C57" s="214"/>
      <c r="D57" s="215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P57" s="216"/>
    </row>
    <row r="58" spans="1:16" ht="18">
      <c r="A58" s="106" t="s">
        <v>110</v>
      </c>
      <c r="B58" s="213" t="s">
        <v>111</v>
      </c>
      <c r="C58" s="219">
        <f t="shared" ref="C58:N58" si="7">-C48-C53</f>
        <v>-480.2265705128205</v>
      </c>
      <c r="D58" s="220">
        <f t="shared" si="7"/>
        <v>-438.38920272435894</v>
      </c>
      <c r="E58" s="219">
        <f t="shared" si="7"/>
        <v>-251.46875</v>
      </c>
      <c r="F58" s="219">
        <f t="shared" si="7"/>
        <v>-251.46875</v>
      </c>
      <c r="G58" s="219">
        <f t="shared" si="7"/>
        <v>-251.46875</v>
      </c>
      <c r="H58" s="219">
        <f t="shared" si="7"/>
        <v>-251.46875</v>
      </c>
      <c r="I58" s="219">
        <f t="shared" si="7"/>
        <v>-251.46875</v>
      </c>
      <c r="J58" s="219">
        <f t="shared" si="7"/>
        <v>-251.46875</v>
      </c>
      <c r="K58" s="219">
        <f t="shared" si="7"/>
        <v>-251.46875</v>
      </c>
      <c r="L58" s="219">
        <f t="shared" si="7"/>
        <v>-251.46875</v>
      </c>
      <c r="M58" s="219">
        <f t="shared" si="7"/>
        <v>-251.46875</v>
      </c>
      <c r="N58" s="219">
        <f t="shared" si="7"/>
        <v>-251.46875</v>
      </c>
      <c r="P58" s="221"/>
    </row>
    <row r="59" spans="1:16" ht="18">
      <c r="A59" s="106" t="s">
        <v>112</v>
      </c>
      <c r="B59" s="213" t="s">
        <v>113</v>
      </c>
      <c r="C59" s="219">
        <f t="shared" ref="C59:N59" si="8">-C51</f>
        <v>-92.725273972602736</v>
      </c>
      <c r="D59" s="220">
        <f t="shared" si="8"/>
        <v>-94.264326086956515</v>
      </c>
      <c r="E59" s="219">
        <f t="shared" si="8"/>
        <v>0</v>
      </c>
      <c r="F59" s="219">
        <f t="shared" si="8"/>
        <v>0</v>
      </c>
      <c r="G59" s="219">
        <f t="shared" si="8"/>
        <v>0</v>
      </c>
      <c r="H59" s="219">
        <f t="shared" si="8"/>
        <v>0</v>
      </c>
      <c r="I59" s="219">
        <f t="shared" si="8"/>
        <v>0</v>
      </c>
      <c r="J59" s="219">
        <f t="shared" si="8"/>
        <v>0</v>
      </c>
      <c r="K59" s="219">
        <f t="shared" si="8"/>
        <v>0</v>
      </c>
      <c r="L59" s="219">
        <f t="shared" si="8"/>
        <v>0</v>
      </c>
      <c r="M59" s="219">
        <f t="shared" si="8"/>
        <v>0</v>
      </c>
      <c r="N59" s="219">
        <f t="shared" si="8"/>
        <v>0</v>
      </c>
      <c r="P59" s="221"/>
    </row>
    <row r="60" spans="1:16" ht="18">
      <c r="A60" s="106" t="s">
        <v>112</v>
      </c>
      <c r="B60" s="213" t="s">
        <v>99</v>
      </c>
      <c r="C60" s="214">
        <f t="shared" ref="C60:N60" si="9">-C52</f>
        <v>0</v>
      </c>
      <c r="D60" s="215">
        <f t="shared" si="9"/>
        <v>0</v>
      </c>
      <c r="E60" s="214">
        <f t="shared" si="9"/>
        <v>0</v>
      </c>
      <c r="F60" s="214">
        <f t="shared" si="9"/>
        <v>0</v>
      </c>
      <c r="G60" s="214">
        <f t="shared" si="9"/>
        <v>0</v>
      </c>
      <c r="H60" s="214">
        <f t="shared" si="9"/>
        <v>0</v>
      </c>
      <c r="I60" s="214">
        <f t="shared" si="9"/>
        <v>0</v>
      </c>
      <c r="J60" s="214">
        <f t="shared" si="9"/>
        <v>0</v>
      </c>
      <c r="K60" s="214">
        <f t="shared" si="9"/>
        <v>0</v>
      </c>
      <c r="L60" s="214">
        <f t="shared" si="9"/>
        <v>0</v>
      </c>
      <c r="M60" s="214">
        <f t="shared" si="9"/>
        <v>0</v>
      </c>
      <c r="N60" s="214">
        <f t="shared" si="9"/>
        <v>0</v>
      </c>
      <c r="P60" s="216"/>
    </row>
    <row r="61" spans="1:16" ht="18">
      <c r="A61" s="106" t="s">
        <v>114</v>
      </c>
      <c r="B61" s="213" t="s">
        <v>16</v>
      </c>
      <c r="C61" s="219">
        <f t="shared" ref="C61:N61" si="10">-C49-C50-C54-C55</f>
        <v>-648.72371345641022</v>
      </c>
      <c r="D61" s="220">
        <f t="shared" si="10"/>
        <v>-591.10905590124196</v>
      </c>
      <c r="E61" s="219">
        <f t="shared" si="10"/>
        <v>-333.69903125000002</v>
      </c>
      <c r="F61" s="219">
        <f t="shared" si="10"/>
        <v>-333.69903125000002</v>
      </c>
      <c r="G61" s="219">
        <f t="shared" si="10"/>
        <v>-333.69903125000002</v>
      </c>
      <c r="H61" s="219">
        <f t="shared" si="10"/>
        <v>-333.69903125000002</v>
      </c>
      <c r="I61" s="219">
        <f t="shared" si="10"/>
        <v>-333.69903125000002</v>
      </c>
      <c r="J61" s="219">
        <f t="shared" si="10"/>
        <v>-333.69903125000002</v>
      </c>
      <c r="K61" s="219">
        <f t="shared" si="10"/>
        <v>-333.69903125000002</v>
      </c>
      <c r="L61" s="219">
        <f t="shared" si="10"/>
        <v>-333.69903125000002</v>
      </c>
      <c r="M61" s="219">
        <f t="shared" si="10"/>
        <v>-333.69903125000002</v>
      </c>
      <c r="N61" s="219">
        <f t="shared" si="10"/>
        <v>-333.69903125000002</v>
      </c>
      <c r="P61" s="221"/>
    </row>
    <row r="62" spans="1:16" ht="18">
      <c r="B62" s="213" t="s">
        <v>115</v>
      </c>
      <c r="C62" s="214">
        <f t="shared" ref="C62:N62" si="11">SUM(C58:C61)</f>
        <v>-1221.6755579418334</v>
      </c>
      <c r="D62" s="215">
        <f t="shared" si="11"/>
        <v>-1123.7625847125573</v>
      </c>
      <c r="E62" s="214">
        <f t="shared" si="11"/>
        <v>-585.16778124999996</v>
      </c>
      <c r="F62" s="214">
        <f t="shared" si="11"/>
        <v>-585.16778124999996</v>
      </c>
      <c r="G62" s="214">
        <f t="shared" si="11"/>
        <v>-585.16778124999996</v>
      </c>
      <c r="H62" s="214">
        <f t="shared" si="11"/>
        <v>-585.16778124999996</v>
      </c>
      <c r="I62" s="214">
        <f t="shared" si="11"/>
        <v>-585.16778124999996</v>
      </c>
      <c r="J62" s="214">
        <f t="shared" si="11"/>
        <v>-585.16778124999996</v>
      </c>
      <c r="K62" s="214">
        <f t="shared" si="11"/>
        <v>-585.16778124999996</v>
      </c>
      <c r="L62" s="214">
        <f t="shared" si="11"/>
        <v>-585.16778124999996</v>
      </c>
      <c r="M62" s="214">
        <f t="shared" si="11"/>
        <v>-585.16778124999996</v>
      </c>
      <c r="N62" s="214">
        <f t="shared" si="11"/>
        <v>-585.16778124999996</v>
      </c>
      <c r="P62" s="216"/>
    </row>
    <row r="63" spans="1:16">
      <c r="D63" s="19"/>
    </row>
    <row r="64" spans="1:16">
      <c r="C64" s="35">
        <f t="shared" ref="C64:N64" si="12">+C56+C62</f>
        <v>0</v>
      </c>
      <c r="D64" s="35">
        <f t="shared" si="12"/>
        <v>0</v>
      </c>
      <c r="E64" s="35">
        <f t="shared" si="12"/>
        <v>0</v>
      </c>
      <c r="F64" s="35">
        <f t="shared" si="12"/>
        <v>0</v>
      </c>
      <c r="G64" s="35">
        <f t="shared" si="12"/>
        <v>0</v>
      </c>
      <c r="H64" s="35">
        <f t="shared" si="12"/>
        <v>0</v>
      </c>
      <c r="I64" s="35">
        <f t="shared" si="12"/>
        <v>0</v>
      </c>
      <c r="J64" s="35">
        <f t="shared" si="12"/>
        <v>0</v>
      </c>
      <c r="K64" s="35">
        <f t="shared" si="12"/>
        <v>0</v>
      </c>
      <c r="L64" s="35">
        <f t="shared" si="12"/>
        <v>0</v>
      </c>
      <c r="M64" s="35">
        <f t="shared" si="12"/>
        <v>0</v>
      </c>
      <c r="N64" s="35">
        <f t="shared" si="12"/>
        <v>0</v>
      </c>
    </row>
    <row r="65" spans="1:6">
      <c r="C65" s="71"/>
    </row>
    <row r="66" spans="1:6">
      <c r="C66" s="71"/>
    </row>
    <row r="67" spans="1:6">
      <c r="A67" s="103"/>
      <c r="C67" s="71"/>
      <c r="D67" s="71"/>
    </row>
    <row r="68" spans="1:6">
      <c r="A68" s="103"/>
    </row>
    <row r="69" spans="1:6">
      <c r="E69" s="71"/>
      <c r="F69" s="71"/>
    </row>
    <row r="70" spans="1:6">
      <c r="E70" s="71"/>
      <c r="F70" s="71"/>
    </row>
    <row r="71" spans="1:6">
      <c r="E71" s="71"/>
      <c r="F71" s="71"/>
    </row>
    <row r="72" spans="1:6">
      <c r="E72" s="71"/>
      <c r="F72" s="71"/>
    </row>
    <row r="73" spans="1:6">
      <c r="E73" s="35"/>
      <c r="F73" s="35"/>
    </row>
    <row r="74" spans="1:6">
      <c r="E74" s="35"/>
      <c r="F74" s="35"/>
    </row>
    <row r="75" spans="1:6">
      <c r="E75" s="71"/>
      <c r="F75" s="71"/>
    </row>
    <row r="76" spans="1:6">
      <c r="A76" s="103"/>
      <c r="E76" s="71"/>
    </row>
    <row r="77" spans="1:6">
      <c r="C77" s="71"/>
      <c r="D77" s="71"/>
      <c r="E77" s="216"/>
      <c r="F77" s="216"/>
    </row>
    <row r="78" spans="1:6">
      <c r="C78" s="71"/>
      <c r="D78" s="71"/>
      <c r="E78" s="216"/>
      <c r="F78" s="216"/>
    </row>
    <row r="79" spans="1:6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83"/>
  <sheetViews>
    <sheetView zoomScale="95" zoomScaleNormal="100" zoomScaleSheetLayoutView="85" workbookViewId="0"/>
  </sheetViews>
  <sheetFormatPr defaultRowHeight="12.75"/>
  <cols>
    <col min="1" max="1" width="34.85546875" customWidth="1"/>
    <col min="2" max="2" width="11" customWidth="1"/>
    <col min="3" max="3" width="11.85546875" customWidth="1"/>
    <col min="4" max="4" width="13" customWidth="1"/>
    <col min="5" max="5" width="17.28515625" customWidth="1"/>
    <col min="6" max="6" width="13.5703125" customWidth="1"/>
    <col min="7" max="7" width="15.28515625" customWidth="1"/>
    <col min="8" max="12" width="14" bestFit="1" customWidth="1"/>
    <col min="13" max="14" width="14.28515625" customWidth="1"/>
  </cols>
  <sheetData>
    <row r="1" spans="1:245" ht="18">
      <c r="A1" s="102" t="s">
        <v>36</v>
      </c>
      <c r="B1" s="102"/>
    </row>
    <row r="2" spans="1:245" s="103" customFormat="1">
      <c r="E2" s="104">
        <v>40148</v>
      </c>
    </row>
    <row r="3" spans="1:245">
      <c r="A3" s="105" t="s">
        <v>37</v>
      </c>
      <c r="B3" s="105"/>
      <c r="C3" s="51"/>
      <c r="E3" s="106" t="s">
        <v>38</v>
      </c>
    </row>
    <row r="4" spans="1:245">
      <c r="A4" s="77" t="s">
        <v>39</v>
      </c>
      <c r="B4" s="51" t="s">
        <v>40</v>
      </c>
      <c r="C4" s="107">
        <v>10</v>
      </c>
      <c r="D4" s="108" t="s">
        <v>41</v>
      </c>
      <c r="I4" s="109"/>
      <c r="J4" s="109"/>
    </row>
    <row r="5" spans="1:245">
      <c r="A5" s="77" t="s">
        <v>42</v>
      </c>
      <c r="B5" s="51" t="s">
        <v>43</v>
      </c>
      <c r="C5" s="107">
        <v>5</v>
      </c>
      <c r="D5" s="108" t="s">
        <v>41</v>
      </c>
      <c r="I5" s="109"/>
      <c r="J5" s="110"/>
    </row>
    <row r="6" spans="1:245" s="114" customFormat="1">
      <c r="A6" s="111" t="s">
        <v>44</v>
      </c>
      <c r="B6" s="112" t="s">
        <v>45</v>
      </c>
      <c r="C6" s="113">
        <f>'[1]2009 Fully Loaded Calculations'!B17</f>
        <v>0.3247958173076923</v>
      </c>
      <c r="F6"/>
      <c r="G6"/>
      <c r="H6"/>
      <c r="I6" s="109"/>
      <c r="J6" s="109"/>
    </row>
    <row r="7" spans="1:245" s="114" customFormat="1">
      <c r="A7" s="111" t="s">
        <v>46</v>
      </c>
      <c r="B7" s="112" t="s">
        <v>45</v>
      </c>
      <c r="C7" s="113">
        <f>'[1]2009 Fully Loaded Calculations'!B16</f>
        <v>0.2574679487179487</v>
      </c>
      <c r="D7" s="115"/>
      <c r="F7"/>
      <c r="G7"/>
      <c r="H7"/>
      <c r="I7" s="109"/>
      <c r="J7" s="109"/>
    </row>
    <row r="8" spans="1:245" s="114" customFormat="1">
      <c r="A8" s="111" t="s">
        <v>47</v>
      </c>
      <c r="B8" s="112" t="s">
        <v>48</v>
      </c>
      <c r="C8" s="116">
        <v>1.7000000000000001E-2</v>
      </c>
    </row>
    <row r="9" spans="1:245" s="114" customFormat="1">
      <c r="A9" s="111" t="s">
        <v>49</v>
      </c>
      <c r="B9" s="112" t="s">
        <v>50</v>
      </c>
      <c r="C9" s="117">
        <v>0.3</v>
      </c>
      <c r="F9"/>
      <c r="I9" s="118"/>
      <c r="J9" s="119"/>
    </row>
    <row r="10" spans="1:245">
      <c r="A10" s="77" t="s">
        <v>51</v>
      </c>
      <c r="B10" s="51"/>
      <c r="C10" s="51"/>
      <c r="J10" s="57"/>
    </row>
    <row r="11" spans="1:245">
      <c r="A11" s="95"/>
    </row>
    <row r="12" spans="1:245">
      <c r="A12" s="95" t="s">
        <v>52</v>
      </c>
      <c r="C12">
        <v>2008</v>
      </c>
      <c r="D12">
        <v>2009</v>
      </c>
      <c r="E12" s="71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</row>
    <row r="13" spans="1:245" s="114" customFormat="1">
      <c r="A13" s="120" t="s">
        <v>53</v>
      </c>
      <c r="B13" s="121"/>
      <c r="C13" s="122">
        <f>'[1]2008 Fully Loaded Calculations'!D15*52*90</f>
        <v>6560.7987375000012</v>
      </c>
      <c r="D13" s="123">
        <f>'[1]2009 Fully Loaded Calculations'!D15*52*90</f>
        <v>7022.0133750000005</v>
      </c>
    </row>
    <row r="14" spans="1:245" ht="13.5" thickBot="1">
      <c r="C14" s="12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</row>
    <row r="15" spans="1:245">
      <c r="A15" s="125" t="s">
        <v>54</v>
      </c>
      <c r="B15" s="126"/>
      <c r="C15" s="126" t="s">
        <v>55</v>
      </c>
      <c r="D15" s="126" t="s">
        <v>56</v>
      </c>
      <c r="E15" s="126" t="s">
        <v>57</v>
      </c>
      <c r="F15" s="126" t="s">
        <v>58</v>
      </c>
      <c r="G15" s="126" t="s">
        <v>59</v>
      </c>
      <c r="H15" s="126" t="s">
        <v>60</v>
      </c>
      <c r="I15" s="126" t="s">
        <v>61</v>
      </c>
      <c r="J15" s="126" t="s">
        <v>62</v>
      </c>
      <c r="K15" s="126" t="s">
        <v>63</v>
      </c>
      <c r="L15" s="126" t="s">
        <v>64</v>
      </c>
      <c r="M15" s="126" t="s">
        <v>65</v>
      </c>
      <c r="N15" s="127" t="s">
        <v>66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</row>
    <row r="16" spans="1:245" s="133" customFormat="1">
      <c r="A16" s="128" t="s">
        <v>67</v>
      </c>
      <c r="B16" s="129"/>
      <c r="C16" s="130">
        <v>5355</v>
      </c>
      <c r="D16" s="130">
        <v>5683</v>
      </c>
      <c r="E16" s="131">
        <v>5534</v>
      </c>
      <c r="F16" s="131">
        <v>5338</v>
      </c>
      <c r="G16" s="131">
        <v>5533</v>
      </c>
      <c r="H16" s="131">
        <v>6084</v>
      </c>
      <c r="I16" s="131">
        <v>6170</v>
      </c>
      <c r="J16" s="131">
        <v>6115</v>
      </c>
      <c r="K16" s="130">
        <v>5697</v>
      </c>
      <c r="L16" s="130">
        <v>5367</v>
      </c>
      <c r="M16" s="130">
        <v>4677</v>
      </c>
      <c r="N16" s="132">
        <v>4989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</row>
    <row r="17" spans="1:245">
      <c r="A17" s="134" t="s">
        <v>68</v>
      </c>
      <c r="B17" s="135" t="s">
        <v>69</v>
      </c>
      <c r="C17" s="136">
        <f>+C16-1021-242</f>
        <v>4092</v>
      </c>
      <c r="D17" s="136">
        <f>+D16-980-251</f>
        <v>4452</v>
      </c>
      <c r="E17" s="136">
        <f>+E16-1031-272</f>
        <v>4231</v>
      </c>
      <c r="F17" s="136">
        <f>+F16-958-300</f>
        <v>4080</v>
      </c>
      <c r="G17" s="137">
        <f>+G16-968-311</f>
        <v>4254</v>
      </c>
      <c r="H17" s="136">
        <f>+H16-1182-355</f>
        <v>4547</v>
      </c>
      <c r="I17" s="136">
        <f>+I16-1079-357</f>
        <v>4734</v>
      </c>
      <c r="J17" s="136">
        <f>+J16-1033-338</f>
        <v>4744</v>
      </c>
      <c r="K17" s="136">
        <f>K16-998-338</f>
        <v>4361</v>
      </c>
      <c r="L17" s="136">
        <f>L16-1055-289</f>
        <v>4023</v>
      </c>
      <c r="M17" s="136">
        <f>M16-786-293</f>
        <v>3598</v>
      </c>
      <c r="N17" s="138">
        <f>4989-833-303</f>
        <v>3853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</row>
    <row r="18" spans="1:245">
      <c r="A18" s="139" t="s">
        <v>70</v>
      </c>
      <c r="B18" s="51" t="s">
        <v>71</v>
      </c>
      <c r="C18" s="140">
        <f t="shared" ref="C18:N18" si="0">+C17*$C$4/60</f>
        <v>682</v>
      </c>
      <c r="D18" s="140">
        <f t="shared" si="0"/>
        <v>742</v>
      </c>
      <c r="E18" s="140">
        <f t="shared" si="0"/>
        <v>705.16666666666663</v>
      </c>
      <c r="F18" s="140">
        <f t="shared" si="0"/>
        <v>680</v>
      </c>
      <c r="G18" s="140">
        <f t="shared" si="0"/>
        <v>709</v>
      </c>
      <c r="H18" s="140">
        <f t="shared" si="0"/>
        <v>757.83333333333337</v>
      </c>
      <c r="I18" s="140">
        <f t="shared" si="0"/>
        <v>789</v>
      </c>
      <c r="J18" s="140">
        <f t="shared" si="0"/>
        <v>790.66666666666663</v>
      </c>
      <c r="K18" s="140">
        <f t="shared" si="0"/>
        <v>726.83333333333337</v>
      </c>
      <c r="L18" s="140">
        <f t="shared" si="0"/>
        <v>670.5</v>
      </c>
      <c r="M18" s="140">
        <f t="shared" si="0"/>
        <v>599.66666666666663</v>
      </c>
      <c r="N18" s="141">
        <f t="shared" si="0"/>
        <v>642.16666666666663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</row>
    <row r="19" spans="1:245" s="133" customFormat="1">
      <c r="A19" s="128" t="s">
        <v>72</v>
      </c>
      <c r="B19" s="129" t="s">
        <v>73</v>
      </c>
      <c r="C19" s="142">
        <v>292</v>
      </c>
      <c r="D19" s="142">
        <v>335</v>
      </c>
      <c r="E19" s="142">
        <v>308</v>
      </c>
      <c r="F19" s="142">
        <v>303</v>
      </c>
      <c r="G19" s="142">
        <v>297</v>
      </c>
      <c r="H19" s="142">
        <v>324</v>
      </c>
      <c r="I19" s="142">
        <v>328</v>
      </c>
      <c r="J19" s="142">
        <v>339</v>
      </c>
      <c r="K19" s="142">
        <v>266</v>
      </c>
      <c r="L19" s="142">
        <v>271</v>
      </c>
      <c r="M19" s="142">
        <v>237</v>
      </c>
      <c r="N19" s="143">
        <v>236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</row>
    <row r="20" spans="1:245">
      <c r="A20" s="139" t="s">
        <v>74</v>
      </c>
      <c r="B20" s="51" t="s">
        <v>75</v>
      </c>
      <c r="C20" s="140">
        <f t="shared" ref="C20:N20" si="1">+C19*$C$5/60</f>
        <v>24.333333333333332</v>
      </c>
      <c r="D20" s="140">
        <f t="shared" si="1"/>
        <v>27.916666666666668</v>
      </c>
      <c r="E20" s="140">
        <f t="shared" si="1"/>
        <v>25.666666666666668</v>
      </c>
      <c r="F20" s="140">
        <f t="shared" si="1"/>
        <v>25.25</v>
      </c>
      <c r="G20" s="140">
        <f t="shared" si="1"/>
        <v>24.75</v>
      </c>
      <c r="H20" s="140">
        <f t="shared" si="1"/>
        <v>27</v>
      </c>
      <c r="I20" s="140">
        <f t="shared" si="1"/>
        <v>27.333333333333332</v>
      </c>
      <c r="J20" s="140">
        <f t="shared" si="1"/>
        <v>28.25</v>
      </c>
      <c r="K20" s="140">
        <f t="shared" si="1"/>
        <v>22.166666666666668</v>
      </c>
      <c r="L20" s="140">
        <f t="shared" si="1"/>
        <v>22.583333333333332</v>
      </c>
      <c r="M20" s="140">
        <f t="shared" si="1"/>
        <v>19.75</v>
      </c>
      <c r="N20" s="141">
        <f t="shared" si="1"/>
        <v>19.666666666666668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</row>
    <row r="21" spans="1:245">
      <c r="A21" s="144" t="s">
        <v>76</v>
      </c>
      <c r="B21" s="145" t="s">
        <v>77</v>
      </c>
      <c r="C21" s="146">
        <f t="shared" ref="C21:N21" si="2">C18+C20</f>
        <v>706.33333333333337</v>
      </c>
      <c r="D21" s="146">
        <f t="shared" si="2"/>
        <v>769.91666666666663</v>
      </c>
      <c r="E21" s="146">
        <f t="shared" si="2"/>
        <v>730.83333333333326</v>
      </c>
      <c r="F21" s="146">
        <f t="shared" si="2"/>
        <v>705.25</v>
      </c>
      <c r="G21" s="146">
        <f t="shared" si="2"/>
        <v>733.75</v>
      </c>
      <c r="H21" s="146">
        <f t="shared" si="2"/>
        <v>784.83333333333337</v>
      </c>
      <c r="I21" s="146">
        <f t="shared" si="2"/>
        <v>816.33333333333337</v>
      </c>
      <c r="J21" s="146">
        <f t="shared" si="2"/>
        <v>818.91666666666663</v>
      </c>
      <c r="K21" s="146">
        <f t="shared" si="2"/>
        <v>749</v>
      </c>
      <c r="L21" s="146">
        <f t="shared" si="2"/>
        <v>693.08333333333337</v>
      </c>
      <c r="M21" s="146">
        <f t="shared" si="2"/>
        <v>619.41666666666663</v>
      </c>
      <c r="N21" s="147">
        <f t="shared" si="2"/>
        <v>661.83333333333326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</row>
    <row r="22" spans="1:245" s="133" customFormat="1">
      <c r="A22" s="128" t="s">
        <v>78</v>
      </c>
      <c r="B22" s="129" t="s">
        <v>79</v>
      </c>
      <c r="C22" s="142">
        <v>5</v>
      </c>
      <c r="D22" s="142">
        <v>12</v>
      </c>
      <c r="E22" s="142">
        <v>15</v>
      </c>
      <c r="F22" s="142">
        <v>15</v>
      </c>
      <c r="G22" s="142">
        <v>9</v>
      </c>
      <c r="H22" s="142">
        <v>79</v>
      </c>
      <c r="I22" s="142">
        <v>17</v>
      </c>
      <c r="J22" s="142">
        <v>9</v>
      </c>
      <c r="K22" s="142">
        <v>7</v>
      </c>
      <c r="L22" s="142">
        <v>8</v>
      </c>
      <c r="M22" s="142">
        <v>14</v>
      </c>
      <c r="N22" s="143">
        <v>14</v>
      </c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</row>
    <row r="23" spans="1:245">
      <c r="A23" s="139" t="s">
        <v>80</v>
      </c>
      <c r="B23" s="51" t="s">
        <v>81</v>
      </c>
      <c r="C23" s="148">
        <f t="shared" ref="C23:N23" si="3">+C22*$C$9</f>
        <v>1.5</v>
      </c>
      <c r="D23" s="148">
        <f t="shared" si="3"/>
        <v>3.5999999999999996</v>
      </c>
      <c r="E23" s="148">
        <f t="shared" si="3"/>
        <v>4.5</v>
      </c>
      <c r="F23" s="148">
        <f t="shared" si="3"/>
        <v>4.5</v>
      </c>
      <c r="G23" s="148">
        <f t="shared" si="3"/>
        <v>2.6999999999999997</v>
      </c>
      <c r="H23" s="148">
        <f t="shared" si="3"/>
        <v>23.7</v>
      </c>
      <c r="I23" s="148">
        <f t="shared" si="3"/>
        <v>5.0999999999999996</v>
      </c>
      <c r="J23" s="148">
        <f t="shared" si="3"/>
        <v>2.6999999999999997</v>
      </c>
      <c r="K23" s="148">
        <f t="shared" si="3"/>
        <v>2.1</v>
      </c>
      <c r="L23" s="148">
        <f t="shared" si="3"/>
        <v>2.4</v>
      </c>
      <c r="M23" s="148">
        <f t="shared" si="3"/>
        <v>4.2</v>
      </c>
      <c r="N23" s="149">
        <f t="shared" si="3"/>
        <v>4.2</v>
      </c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</row>
    <row r="24" spans="1:245">
      <c r="A24" s="139" t="s">
        <v>82</v>
      </c>
      <c r="B24" s="51"/>
      <c r="C24" s="150">
        <f t="shared" ref="C24:N24" si="4">IF(C19=0,0,C22/C19*C18)</f>
        <v>11.67808219178082</v>
      </c>
      <c r="D24" s="150">
        <f t="shared" si="4"/>
        <v>26.579104477611942</v>
      </c>
      <c r="E24" s="150">
        <f t="shared" si="4"/>
        <v>34.342532467532465</v>
      </c>
      <c r="F24" s="150">
        <f t="shared" si="4"/>
        <v>33.663366336633665</v>
      </c>
      <c r="G24" s="150">
        <f t="shared" si="4"/>
        <v>21.484848484848484</v>
      </c>
      <c r="H24" s="150">
        <f t="shared" si="4"/>
        <v>184.7803497942387</v>
      </c>
      <c r="I24" s="150">
        <f t="shared" si="4"/>
        <v>40.893292682926827</v>
      </c>
      <c r="J24" s="150">
        <f t="shared" si="4"/>
        <v>20.991150442477874</v>
      </c>
      <c r="K24" s="150">
        <f t="shared" si="4"/>
        <v>19.12719298245614</v>
      </c>
      <c r="L24" s="150">
        <f t="shared" si="4"/>
        <v>19.793357933579337</v>
      </c>
      <c r="M24" s="150">
        <f t="shared" si="4"/>
        <v>35.423347398030941</v>
      </c>
      <c r="N24" s="151">
        <f t="shared" si="4"/>
        <v>38.094632768361578</v>
      </c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</row>
    <row r="25" spans="1:245">
      <c r="A25" s="139" t="s">
        <v>83</v>
      </c>
      <c r="B25" s="51" t="s">
        <v>84</v>
      </c>
      <c r="C25" s="152">
        <f>C24*'[2]2008 GP Connections, Jan &amp; Feb'!C8</f>
        <v>0.455445205479452</v>
      </c>
      <c r="D25" s="152">
        <f>D24*'[3]2008 GP Connections, Jan &amp; Feb'!C8</f>
        <v>1.0365850746268657</v>
      </c>
      <c r="E25" s="152">
        <f t="shared" ref="E25:N25" si="5">E24*$C8</f>
        <v>0.58382305194805195</v>
      </c>
      <c r="F25" s="152">
        <f t="shared" si="5"/>
        <v>0.57227722772277234</v>
      </c>
      <c r="G25" s="152">
        <f t="shared" si="5"/>
        <v>0.36524242424242426</v>
      </c>
      <c r="H25" s="152">
        <f t="shared" si="5"/>
        <v>3.1412659465020583</v>
      </c>
      <c r="I25" s="152">
        <f t="shared" si="5"/>
        <v>0.69518597560975615</v>
      </c>
      <c r="J25" s="152">
        <f t="shared" si="5"/>
        <v>0.35684955752212388</v>
      </c>
      <c r="K25" s="152">
        <f t="shared" si="5"/>
        <v>0.3251622807017544</v>
      </c>
      <c r="L25" s="152">
        <f t="shared" si="5"/>
        <v>0.33648708487084877</v>
      </c>
      <c r="M25" s="152">
        <f t="shared" si="5"/>
        <v>0.60219690576652607</v>
      </c>
      <c r="N25" s="153">
        <f t="shared" si="5"/>
        <v>0.64760875706214682</v>
      </c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</row>
    <row r="26" spans="1:245">
      <c r="A26" s="154" t="s">
        <v>85</v>
      </c>
      <c r="B26" s="155" t="s">
        <v>86</v>
      </c>
      <c r="C26" s="156">
        <f t="shared" ref="C26:N26" si="6">+C25+C23</f>
        <v>1.955445205479452</v>
      </c>
      <c r="D26" s="156">
        <f t="shared" si="6"/>
        <v>4.6365850746268649</v>
      </c>
      <c r="E26" s="156">
        <f t="shared" si="6"/>
        <v>5.0838230519480518</v>
      </c>
      <c r="F26" s="156">
        <f t="shared" si="6"/>
        <v>5.0722772277227719</v>
      </c>
      <c r="G26" s="156">
        <f t="shared" si="6"/>
        <v>3.0652424242424239</v>
      </c>
      <c r="H26" s="156">
        <f t="shared" si="6"/>
        <v>26.841265946502059</v>
      </c>
      <c r="I26" s="156">
        <f t="shared" si="6"/>
        <v>5.7951859756097557</v>
      </c>
      <c r="J26" s="156">
        <f t="shared" si="6"/>
        <v>3.0568495575221237</v>
      </c>
      <c r="K26" s="156">
        <f t="shared" si="6"/>
        <v>2.4251622807017545</v>
      </c>
      <c r="L26" s="156">
        <f t="shared" si="6"/>
        <v>2.7364870848708485</v>
      </c>
      <c r="M26" s="156">
        <f t="shared" si="6"/>
        <v>4.8021969057665261</v>
      </c>
      <c r="N26" s="157">
        <f t="shared" si="6"/>
        <v>4.8476087570621473</v>
      </c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</row>
    <row r="27" spans="1:245">
      <c r="A27" s="154" t="s">
        <v>87</v>
      </c>
      <c r="B27" s="155" t="s">
        <v>88</v>
      </c>
      <c r="C27" s="158">
        <f>C21*'[2]2008 GP Connections, Jan &amp; Feb'!C7</f>
        <v>165.55253472222222</v>
      </c>
      <c r="D27" s="158">
        <f>D21*'[3]2008 GP Connections, Jan &amp; Feb'!C7</f>
        <v>180.4553879540598</v>
      </c>
      <c r="E27" s="158">
        <f t="shared" ref="E27:N27" si="7">+E21*$C$7</f>
        <v>188.16615918803416</v>
      </c>
      <c r="F27" s="158">
        <f t="shared" si="7"/>
        <v>181.57927083333331</v>
      </c>
      <c r="G27" s="158">
        <f t="shared" si="7"/>
        <v>188.91710737179486</v>
      </c>
      <c r="H27" s="158">
        <f t="shared" si="7"/>
        <v>202.06942841880343</v>
      </c>
      <c r="I27" s="158">
        <f t="shared" si="7"/>
        <v>210.17966880341879</v>
      </c>
      <c r="J27" s="158">
        <f t="shared" si="7"/>
        <v>210.84479433760683</v>
      </c>
      <c r="K27" s="158">
        <f t="shared" si="7"/>
        <v>192.84349358974359</v>
      </c>
      <c r="L27" s="158">
        <f t="shared" si="7"/>
        <v>178.44674412393164</v>
      </c>
      <c r="M27" s="158">
        <f t="shared" si="7"/>
        <v>159.47993856837604</v>
      </c>
      <c r="N27" s="159">
        <f t="shared" si="7"/>
        <v>170.4008707264957</v>
      </c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</row>
    <row r="28" spans="1:245">
      <c r="A28" s="154" t="s">
        <v>89</v>
      </c>
      <c r="B28" s="155" t="s">
        <v>88</v>
      </c>
      <c r="C28" s="158">
        <f>C21*'[2]2008 GP Connections, Jan &amp; Feb'!C6</f>
        <v>226.50364390427572</v>
      </c>
      <c r="D28" s="158">
        <f>D21*'[3]2008 GP Connections, Jan &amp; Feb'!C6</f>
        <v>246.89324752614479</v>
      </c>
      <c r="E28" s="158">
        <f t="shared" ref="E28:N28" si="8">+E21*$C$6</f>
        <v>237.37160981570511</v>
      </c>
      <c r="F28" s="158">
        <f t="shared" si="8"/>
        <v>229.06225015625</v>
      </c>
      <c r="G28" s="158">
        <f t="shared" si="8"/>
        <v>238.31893094951923</v>
      </c>
      <c r="H28" s="158">
        <f t="shared" si="8"/>
        <v>254.91058395032053</v>
      </c>
      <c r="I28" s="158">
        <f t="shared" si="8"/>
        <v>265.14165219551285</v>
      </c>
      <c r="J28" s="158">
        <f t="shared" si="8"/>
        <v>265.98070805689099</v>
      </c>
      <c r="K28" s="158">
        <f t="shared" si="8"/>
        <v>243.27206716346154</v>
      </c>
      <c r="L28" s="158">
        <f t="shared" si="8"/>
        <v>225.11056771233976</v>
      </c>
      <c r="M28" s="158">
        <f t="shared" si="8"/>
        <v>201.18394250400638</v>
      </c>
      <c r="N28" s="159">
        <f t="shared" si="8"/>
        <v>214.96069842147432</v>
      </c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</row>
    <row r="29" spans="1:245">
      <c r="A29" s="160" t="s">
        <v>90</v>
      </c>
      <c r="B29" s="155" t="s">
        <v>91</v>
      </c>
      <c r="C29" s="161">
        <f t="shared" ref="C29:N29" si="9">C19*$C$9</f>
        <v>87.6</v>
      </c>
      <c r="D29" s="161">
        <f t="shared" si="9"/>
        <v>100.5</v>
      </c>
      <c r="E29" s="161">
        <f t="shared" si="9"/>
        <v>92.399999999999991</v>
      </c>
      <c r="F29" s="161">
        <f t="shared" si="9"/>
        <v>90.899999999999991</v>
      </c>
      <c r="G29" s="161">
        <f t="shared" si="9"/>
        <v>89.1</v>
      </c>
      <c r="H29" s="161">
        <f t="shared" si="9"/>
        <v>97.2</v>
      </c>
      <c r="I29" s="161">
        <f t="shared" si="9"/>
        <v>98.399999999999991</v>
      </c>
      <c r="J29" s="161">
        <f t="shared" si="9"/>
        <v>101.7</v>
      </c>
      <c r="K29" s="161">
        <f t="shared" si="9"/>
        <v>79.8</v>
      </c>
      <c r="L29" s="161">
        <f t="shared" si="9"/>
        <v>81.3</v>
      </c>
      <c r="M29" s="161">
        <f t="shared" si="9"/>
        <v>71.099999999999994</v>
      </c>
      <c r="N29" s="162">
        <f t="shared" si="9"/>
        <v>70.8</v>
      </c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</row>
    <row r="30" spans="1:245" s="103" customFormat="1">
      <c r="A30" s="144" t="s">
        <v>92</v>
      </c>
      <c r="B30" s="145"/>
      <c r="C30" s="163">
        <f t="shared" ref="C30:N30" si="10">SUM(C26:C29)</f>
        <v>481.61162383197745</v>
      </c>
      <c r="D30" s="163">
        <f t="shared" si="10"/>
        <v>532.48522055483147</v>
      </c>
      <c r="E30" s="163">
        <f t="shared" si="10"/>
        <v>523.02159205568728</v>
      </c>
      <c r="F30" s="163">
        <f t="shared" si="10"/>
        <v>506.61379821730605</v>
      </c>
      <c r="G30" s="163">
        <f t="shared" si="10"/>
        <v>519.40128074555651</v>
      </c>
      <c r="H30" s="163">
        <f t="shared" si="10"/>
        <v>581.02127831562609</v>
      </c>
      <c r="I30" s="163">
        <f t="shared" si="10"/>
        <v>579.51650697454136</v>
      </c>
      <c r="J30" s="163">
        <f t="shared" si="10"/>
        <v>581.58235195201996</v>
      </c>
      <c r="K30" s="163">
        <f t="shared" si="10"/>
        <v>518.3407230339069</v>
      </c>
      <c r="L30" s="163">
        <f t="shared" si="10"/>
        <v>487.59379892114225</v>
      </c>
      <c r="M30" s="163">
        <f t="shared" si="10"/>
        <v>436.566077978149</v>
      </c>
      <c r="N30" s="164">
        <f t="shared" si="10"/>
        <v>461.00917790503217</v>
      </c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</row>
    <row r="31" spans="1:245">
      <c r="A31" s="139"/>
      <c r="B31" s="51"/>
      <c r="C31" s="51"/>
      <c r="D31" s="148"/>
      <c r="E31" s="51"/>
      <c r="F31" s="148"/>
      <c r="G31" s="148"/>
      <c r="H31" s="148"/>
      <c r="I31" s="148"/>
      <c r="J31" s="148"/>
      <c r="K31" s="148"/>
      <c r="L31" s="148"/>
      <c r="M31" s="148"/>
      <c r="N31" s="149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</row>
    <row r="32" spans="1:245">
      <c r="A32" s="165" t="s">
        <v>93</v>
      </c>
      <c r="B32" s="166"/>
      <c r="C32" s="51"/>
      <c r="D32" s="148"/>
      <c r="E32" s="51"/>
      <c r="F32" s="51"/>
      <c r="G32" s="148"/>
      <c r="H32" s="148"/>
      <c r="I32" s="148"/>
      <c r="J32" s="148"/>
      <c r="K32" s="148"/>
      <c r="L32" s="148"/>
      <c r="M32" s="148"/>
      <c r="N32" s="149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</row>
    <row r="33" spans="1:245" s="172" customFormat="1">
      <c r="A33" s="167" t="s">
        <v>94</v>
      </c>
      <c r="B33" s="168"/>
      <c r="C33" s="169"/>
      <c r="D33" s="170"/>
      <c r="E33" s="169"/>
      <c r="F33" s="170"/>
      <c r="G33" s="170"/>
      <c r="H33" s="170"/>
      <c r="I33" s="170"/>
      <c r="J33" s="170"/>
      <c r="K33" s="170"/>
      <c r="L33" s="170"/>
      <c r="M33" s="170"/>
      <c r="N33" s="171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</row>
    <row r="34" spans="1:245" s="103" customFormat="1">
      <c r="A34" s="165" t="s">
        <v>95</v>
      </c>
      <c r="B34" s="166"/>
      <c r="C34" s="173">
        <f t="shared" ref="C34:N34" si="11">C33*30*$C$6</f>
        <v>0</v>
      </c>
      <c r="D34" s="173">
        <f t="shared" si="11"/>
        <v>0</v>
      </c>
      <c r="E34" s="173">
        <f t="shared" si="11"/>
        <v>0</v>
      </c>
      <c r="F34" s="173">
        <f t="shared" si="11"/>
        <v>0</v>
      </c>
      <c r="G34" s="173">
        <f t="shared" si="11"/>
        <v>0</v>
      </c>
      <c r="H34" s="173">
        <f t="shared" si="11"/>
        <v>0</v>
      </c>
      <c r="I34" s="173">
        <f t="shared" si="11"/>
        <v>0</v>
      </c>
      <c r="J34" s="173">
        <f t="shared" si="11"/>
        <v>0</v>
      </c>
      <c r="K34" s="173">
        <f t="shared" si="11"/>
        <v>0</v>
      </c>
      <c r="L34" s="173">
        <f t="shared" si="11"/>
        <v>0</v>
      </c>
      <c r="M34" s="173">
        <f t="shared" si="11"/>
        <v>0</v>
      </c>
      <c r="N34" s="174">
        <f t="shared" si="11"/>
        <v>0</v>
      </c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</row>
    <row r="35" spans="1:245">
      <c r="A35" s="165"/>
      <c r="B35" s="166"/>
      <c r="C35" s="51"/>
      <c r="D35" s="148"/>
      <c r="E35" s="51"/>
      <c r="F35" s="148"/>
      <c r="G35" s="148"/>
      <c r="H35" s="148"/>
      <c r="I35" s="148"/>
      <c r="J35" s="148"/>
      <c r="K35" s="148"/>
      <c r="L35" s="148"/>
      <c r="M35" s="148"/>
      <c r="N35" s="149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</row>
    <row r="36" spans="1:245">
      <c r="A36" s="139"/>
      <c r="B36" s="51"/>
      <c r="C36" s="51"/>
      <c r="D36" s="148"/>
      <c r="E36" s="51"/>
      <c r="F36" s="148"/>
      <c r="G36" s="148"/>
      <c r="H36" s="148"/>
      <c r="I36" s="148"/>
      <c r="J36" s="148"/>
      <c r="K36" s="148"/>
      <c r="L36" s="148"/>
      <c r="M36" s="148"/>
      <c r="N36" s="149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</row>
    <row r="37" spans="1:245">
      <c r="A37" s="139" t="s">
        <v>52</v>
      </c>
      <c r="B37" s="51"/>
      <c r="C37" s="175"/>
      <c r="D37" s="176"/>
      <c r="E37" s="175"/>
      <c r="F37" s="176"/>
      <c r="G37" s="176"/>
      <c r="H37" s="176"/>
      <c r="I37" s="176"/>
      <c r="J37" s="176"/>
      <c r="K37" s="176"/>
      <c r="L37" s="176"/>
      <c r="M37" s="176"/>
      <c r="N37" s="177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</row>
    <row r="38" spans="1:245" s="172" customFormat="1">
      <c r="A38" s="178" t="s">
        <v>96</v>
      </c>
      <c r="B38" s="179"/>
      <c r="C38" s="180">
        <v>3</v>
      </c>
      <c r="D38" s="181">
        <v>3</v>
      </c>
      <c r="E38" s="180">
        <v>3</v>
      </c>
      <c r="F38" s="182">
        <v>3</v>
      </c>
      <c r="G38" s="182">
        <v>3</v>
      </c>
      <c r="H38" s="182">
        <v>3</v>
      </c>
      <c r="I38" s="182">
        <v>3</v>
      </c>
      <c r="J38" s="182">
        <v>3</v>
      </c>
      <c r="K38" s="182">
        <v>3</v>
      </c>
      <c r="L38" s="181">
        <v>3</v>
      </c>
      <c r="M38" s="181">
        <v>3</v>
      </c>
      <c r="N38" s="183">
        <v>3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</row>
    <row r="39" spans="1:245" s="103" customFormat="1">
      <c r="A39" s="144" t="s">
        <v>97</v>
      </c>
      <c r="B39" s="145"/>
      <c r="C39" s="184">
        <f>C13/12</f>
        <v>546.7332281250001</v>
      </c>
      <c r="D39" s="184">
        <f>C13/12</f>
        <v>546.7332281250001</v>
      </c>
      <c r="E39" s="185">
        <f>D13/12</f>
        <v>585.16778125000008</v>
      </c>
      <c r="F39" s="185">
        <f t="shared" ref="F39:N39" si="12">E39</f>
        <v>585.16778125000008</v>
      </c>
      <c r="G39" s="185">
        <f t="shared" si="12"/>
        <v>585.16778125000008</v>
      </c>
      <c r="H39" s="185">
        <f t="shared" si="12"/>
        <v>585.16778125000008</v>
      </c>
      <c r="I39" s="185">
        <f t="shared" si="12"/>
        <v>585.16778125000008</v>
      </c>
      <c r="J39" s="185">
        <f t="shared" si="12"/>
        <v>585.16778125000008</v>
      </c>
      <c r="K39" s="185">
        <f t="shared" si="12"/>
        <v>585.16778125000008</v>
      </c>
      <c r="L39" s="185">
        <f t="shared" si="12"/>
        <v>585.16778125000008</v>
      </c>
      <c r="M39" s="185">
        <f t="shared" si="12"/>
        <v>585.16778125000008</v>
      </c>
      <c r="N39" s="185">
        <f t="shared" si="12"/>
        <v>585.16778125000008</v>
      </c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</row>
    <row r="40" spans="1:245">
      <c r="A40" s="186"/>
      <c r="B40" s="187"/>
      <c r="C40" s="188"/>
      <c r="D40" s="189"/>
      <c r="E40" s="190"/>
      <c r="F40" s="191"/>
      <c r="G40" s="191"/>
      <c r="H40" s="191"/>
      <c r="I40" s="191"/>
      <c r="J40" s="191"/>
      <c r="K40" s="191"/>
      <c r="L40" s="191"/>
      <c r="M40" s="191"/>
      <c r="N40" s="192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</row>
    <row r="41" spans="1:245">
      <c r="A41" s="193" t="s">
        <v>98</v>
      </c>
      <c r="B41" s="194"/>
      <c r="C41" s="195"/>
      <c r="D41" s="196"/>
      <c r="E41" s="197"/>
      <c r="F41" s="198"/>
      <c r="G41" s="197"/>
      <c r="H41" s="197"/>
      <c r="I41" s="197"/>
      <c r="J41" s="197"/>
      <c r="K41" s="197"/>
      <c r="L41" s="197"/>
      <c r="M41" s="197"/>
      <c r="N41" s="199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</row>
    <row r="42" spans="1:245">
      <c r="A42" s="200" t="s">
        <v>99</v>
      </c>
      <c r="B42" s="201"/>
      <c r="C42" s="188"/>
      <c r="D42" s="189"/>
      <c r="E42" s="188"/>
      <c r="F42" s="191"/>
      <c r="G42" s="191"/>
      <c r="H42" s="191"/>
      <c r="I42" s="191"/>
      <c r="J42" s="191"/>
      <c r="K42" s="191"/>
      <c r="L42" s="191"/>
      <c r="M42" s="191"/>
      <c r="N42" s="192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</row>
    <row r="43" spans="1:245">
      <c r="A43" s="139"/>
      <c r="B43" s="51"/>
      <c r="C43" s="51"/>
      <c r="D43" s="148"/>
      <c r="E43" s="51"/>
      <c r="F43" s="148"/>
      <c r="G43" s="148"/>
      <c r="H43" s="148"/>
      <c r="I43" s="148"/>
      <c r="J43" s="148"/>
      <c r="K43" s="148"/>
      <c r="L43" s="148"/>
      <c r="M43" s="148"/>
      <c r="N43" s="149"/>
    </row>
    <row r="44" spans="1:245" ht="13.5" thickBot="1">
      <c r="A44" s="202" t="s">
        <v>100</v>
      </c>
      <c r="B44" s="203"/>
      <c r="C44" s="204">
        <f t="shared" ref="C44:N44" si="13">C30+C34+C39+C41+C42</f>
        <v>1028.3448519569774</v>
      </c>
      <c r="D44" s="205">
        <f t="shared" si="13"/>
        <v>1079.2184486798315</v>
      </c>
      <c r="E44" s="204">
        <f t="shared" si="13"/>
        <v>1108.1893733056872</v>
      </c>
      <c r="F44" s="205">
        <f t="shared" si="13"/>
        <v>1091.7815794673061</v>
      </c>
      <c r="G44" s="205">
        <f t="shared" si="13"/>
        <v>1104.5690619955567</v>
      </c>
      <c r="H44" s="205">
        <f t="shared" si="13"/>
        <v>1166.1890595656262</v>
      </c>
      <c r="I44" s="205">
        <f t="shared" si="13"/>
        <v>1164.6842882245414</v>
      </c>
      <c r="J44" s="205">
        <f t="shared" si="13"/>
        <v>1166.7501332020202</v>
      </c>
      <c r="K44" s="205">
        <f t="shared" si="13"/>
        <v>1103.5085042839069</v>
      </c>
      <c r="L44" s="205">
        <f t="shared" si="13"/>
        <v>1072.7615801711422</v>
      </c>
      <c r="M44" s="205">
        <f t="shared" si="13"/>
        <v>1021.7338592281491</v>
      </c>
      <c r="N44" s="206">
        <f t="shared" si="13"/>
        <v>1046.1769591550324</v>
      </c>
    </row>
    <row r="46" spans="1:245" ht="18">
      <c r="A46" s="103" t="str">
        <f>+A1</f>
        <v>Gulf Power Connections Costs</v>
      </c>
      <c r="C46" s="207">
        <v>39814</v>
      </c>
      <c r="D46" s="207">
        <v>39845</v>
      </c>
      <c r="E46" s="207">
        <v>39873</v>
      </c>
      <c r="F46" s="207">
        <v>39904</v>
      </c>
      <c r="G46" s="207">
        <v>39934</v>
      </c>
      <c r="H46" s="207">
        <v>39965</v>
      </c>
      <c r="I46" s="207">
        <v>39995</v>
      </c>
      <c r="J46" s="207">
        <v>40026</v>
      </c>
      <c r="K46" s="207">
        <v>40057</v>
      </c>
      <c r="L46" s="207">
        <v>40087</v>
      </c>
      <c r="M46" s="207">
        <v>40118</v>
      </c>
      <c r="N46" s="208">
        <v>40148</v>
      </c>
    </row>
    <row r="47" spans="1:245" ht="18">
      <c r="C47" s="209"/>
      <c r="D47" s="209"/>
      <c r="E47" s="210"/>
      <c r="F47" s="210"/>
      <c r="G47" s="210"/>
      <c r="H47" s="210"/>
      <c r="I47" s="210"/>
      <c r="J47" s="210"/>
      <c r="K47" s="210"/>
      <c r="L47" s="210"/>
      <c r="M47" s="210"/>
      <c r="N47" s="211"/>
    </row>
    <row r="48" spans="1:245" ht="18">
      <c r="A48" s="212" t="s">
        <v>101</v>
      </c>
      <c r="B48" s="213" t="s">
        <v>102</v>
      </c>
      <c r="C48" s="214">
        <f t="shared" ref="C48:N48" si="14">+C27</f>
        <v>165.55253472222222</v>
      </c>
      <c r="D48" s="214">
        <f t="shared" si="14"/>
        <v>180.4553879540598</v>
      </c>
      <c r="E48" s="214">
        <f t="shared" si="14"/>
        <v>188.16615918803416</v>
      </c>
      <c r="F48" s="214">
        <f t="shared" si="14"/>
        <v>181.57927083333331</v>
      </c>
      <c r="G48" s="214">
        <f t="shared" si="14"/>
        <v>188.91710737179486</v>
      </c>
      <c r="H48" s="214">
        <f t="shared" si="14"/>
        <v>202.06942841880343</v>
      </c>
      <c r="I48" s="214">
        <f t="shared" si="14"/>
        <v>210.17966880341879</v>
      </c>
      <c r="J48" s="214">
        <f t="shared" si="14"/>
        <v>210.84479433760683</v>
      </c>
      <c r="K48" s="214">
        <f t="shared" si="14"/>
        <v>192.84349358974359</v>
      </c>
      <c r="L48" s="214">
        <f t="shared" si="14"/>
        <v>178.44674412393164</v>
      </c>
      <c r="M48" s="214">
        <f t="shared" si="14"/>
        <v>159.47993856837604</v>
      </c>
      <c r="N48" s="215">
        <f t="shared" si="14"/>
        <v>170.4008707264957</v>
      </c>
      <c r="P48" s="216"/>
    </row>
    <row r="49" spans="1:16" ht="18">
      <c r="A49" s="212" t="s">
        <v>103</v>
      </c>
      <c r="B49" s="213" t="s">
        <v>16</v>
      </c>
      <c r="C49" s="214">
        <f>+C21*'[1]2008 Fully Loaded Calculations'!B19</f>
        <v>133.73813857211806</v>
      </c>
      <c r="D49" s="214">
        <f>+D21*'[1]2008 Fully Loaded Calculations'!B19</f>
        <v>145.77709559554017</v>
      </c>
      <c r="E49" s="214">
        <f>E21*'[1]2009 Fully Loaded Calculations'!B19</f>
        <v>142.15953326655981</v>
      </c>
      <c r="F49" s="214">
        <f>F21*'[1]2009 Fully Loaded Calculations'!B19</f>
        <v>137.18313911458333</v>
      </c>
      <c r="G49" s="214">
        <f>G21*'[1]2009 Fully Loaded Calculations'!B19</f>
        <v>142.726874619391</v>
      </c>
      <c r="H49" s="214">
        <f>H21*'[1]2009 Fully Loaded Calculations'!B19</f>
        <v>152.66345317040597</v>
      </c>
      <c r="I49" s="214">
        <f>I21*'[1]2009 Fully Loaded Calculations'!B19</f>
        <v>158.7907397809829</v>
      </c>
      <c r="J49" s="214">
        <f>J21*'[1]2009 Fully Loaded Calculations'!B19</f>
        <v>159.29324212206194</v>
      </c>
      <c r="K49" s="214">
        <f>K21*'[1]2009 Fully Loaded Calculations'!B19</f>
        <v>145.69325940705127</v>
      </c>
      <c r="L49" s="214">
        <f>L21*'[1]2009 Fully Loaded Calculations'!B19</f>
        <v>134.81651518563032</v>
      </c>
      <c r="M49" s="214">
        <f>M21*'[1]2009 Fully Loaded Calculations'!B19</f>
        <v>120.4870935884081</v>
      </c>
      <c r="N49" s="215">
        <f>N21*'[1]2009 Fully Loaded Calculations'!B19</f>
        <v>128.73785783386748</v>
      </c>
      <c r="P49" s="216"/>
    </row>
    <row r="50" spans="1:16" ht="18">
      <c r="A50" s="212" t="s">
        <v>104</v>
      </c>
      <c r="B50" s="213" t="s">
        <v>33</v>
      </c>
      <c r="C50" s="214">
        <f>+C21*'[1]2008 Fully Loaded Calculations'!B20</f>
        <v>94.245912519201397</v>
      </c>
      <c r="D50" s="214">
        <f>+D21*'[1]2008 Fully Loaded Calculations'!B20</f>
        <v>102.72982370987513</v>
      </c>
      <c r="E50" s="214">
        <f>E21*'[1]2009 Fully Loaded Calculations'!B20</f>
        <v>95.21207654914528</v>
      </c>
      <c r="F50" s="214">
        <f>F21*'[1]2009 Fully Loaded Calculations'!B20</f>
        <v>91.879111041666661</v>
      </c>
      <c r="G50" s="214">
        <f>G21*'[1]2009 Fully Loaded Calculations'!B20</f>
        <v>95.592056330128202</v>
      </c>
      <c r="H50" s="214">
        <f>H21*'[1]2009 Fully Loaded Calculations'!B20</f>
        <v>102.24713077991453</v>
      </c>
      <c r="I50" s="214">
        <f>I21*'[1]2009 Fully Loaded Calculations'!B20</f>
        <v>106.35091241452992</v>
      </c>
      <c r="J50" s="214">
        <f>J21*'[1]2009 Fully Loaded Calculations'!B20</f>
        <v>106.68746593482905</v>
      </c>
      <c r="K50" s="214">
        <f>K21*'[1]2009 Fully Loaded Calculations'!B20</f>
        <v>97.578807756410257</v>
      </c>
      <c r="L50" s="214">
        <f>L21*'[1]2009 Fully Loaded Calculations'!B20</f>
        <v>90.294052526709407</v>
      </c>
      <c r="M50" s="214">
        <f>M21*'[1]2009 Fully Loaded Calculations'!B20</f>
        <v>80.696848915598281</v>
      </c>
      <c r="N50" s="215">
        <f>N21*'[1]2009 Fully Loaded Calculations'!B20</f>
        <v>86.222840587606825</v>
      </c>
      <c r="P50" s="216"/>
    </row>
    <row r="51" spans="1:16" ht="18">
      <c r="A51" s="212" t="s">
        <v>105</v>
      </c>
      <c r="B51" s="213" t="s">
        <v>106</v>
      </c>
      <c r="C51" s="214">
        <f t="shared" ref="C51:N51" si="15">+C26+C29</f>
        <v>89.555445205479444</v>
      </c>
      <c r="D51" s="214">
        <f t="shared" si="15"/>
        <v>105.13658507462686</v>
      </c>
      <c r="E51" s="214">
        <f t="shared" si="15"/>
        <v>97.483823051948036</v>
      </c>
      <c r="F51" s="214">
        <f t="shared" si="15"/>
        <v>95.97227722772277</v>
      </c>
      <c r="G51" s="214">
        <f t="shared" si="15"/>
        <v>92.165242424242422</v>
      </c>
      <c r="H51" s="214">
        <f t="shared" si="15"/>
        <v>124.04126594650207</v>
      </c>
      <c r="I51" s="214">
        <f t="shared" si="15"/>
        <v>104.19518597560975</v>
      </c>
      <c r="J51" s="214">
        <f t="shared" si="15"/>
        <v>104.75684955752213</v>
      </c>
      <c r="K51" s="214">
        <f t="shared" si="15"/>
        <v>82.225162280701753</v>
      </c>
      <c r="L51" s="214">
        <f t="shared" si="15"/>
        <v>84.036487084870842</v>
      </c>
      <c r="M51" s="214">
        <f t="shared" si="15"/>
        <v>75.902196905766516</v>
      </c>
      <c r="N51" s="215">
        <f t="shared" si="15"/>
        <v>75.647608757062144</v>
      </c>
      <c r="P51" s="216"/>
    </row>
    <row r="52" spans="1:16" ht="18">
      <c r="A52" s="212" t="s">
        <v>107</v>
      </c>
      <c r="B52" s="213" t="s">
        <v>99</v>
      </c>
      <c r="C52" s="214">
        <f t="shared" ref="C52:N52" si="16">+C42</f>
        <v>0</v>
      </c>
      <c r="D52" s="214">
        <f t="shared" si="16"/>
        <v>0</v>
      </c>
      <c r="E52" s="214">
        <f t="shared" si="16"/>
        <v>0</v>
      </c>
      <c r="F52" s="214">
        <f t="shared" si="16"/>
        <v>0</v>
      </c>
      <c r="G52" s="214">
        <f t="shared" si="16"/>
        <v>0</v>
      </c>
      <c r="H52" s="214">
        <f t="shared" si="16"/>
        <v>0</v>
      </c>
      <c r="I52" s="214">
        <f t="shared" si="16"/>
        <v>0</v>
      </c>
      <c r="J52" s="214">
        <f t="shared" si="16"/>
        <v>0</v>
      </c>
      <c r="K52" s="214">
        <f t="shared" si="16"/>
        <v>0</v>
      </c>
      <c r="L52" s="214">
        <f t="shared" si="16"/>
        <v>0</v>
      </c>
      <c r="M52" s="214">
        <f t="shared" si="16"/>
        <v>0</v>
      </c>
      <c r="N52" s="215">
        <f t="shared" si="16"/>
        <v>0</v>
      </c>
      <c r="P52" s="216"/>
    </row>
    <row r="53" spans="1:16" ht="18">
      <c r="A53" s="212" t="s">
        <v>101</v>
      </c>
      <c r="B53" s="217" t="s">
        <v>108</v>
      </c>
      <c r="C53" s="214">
        <f>('[1]2008 Fully Loaded Calculations'!D16*52*90)/12</f>
        <v>228.09062500000002</v>
      </c>
      <c r="D53" s="214">
        <f>('[1]2008 Fully Loaded Calculations'!D16*52*90)/12</f>
        <v>228.09062500000002</v>
      </c>
      <c r="E53" s="214">
        <f>('[1]2009 Fully Loaded Calculations'!D16*52*90)/12</f>
        <v>251.46875</v>
      </c>
      <c r="F53" s="214">
        <f>('[1]2009 Fully Loaded Calculations'!D16*52*90)/12</f>
        <v>251.46875</v>
      </c>
      <c r="G53" s="214">
        <f>('[1]2009 Fully Loaded Calculations'!D16*52*90)/12</f>
        <v>251.46875</v>
      </c>
      <c r="H53" s="214">
        <f>('[1]2009 Fully Loaded Calculations'!D16*52*90)/12</f>
        <v>251.46875</v>
      </c>
      <c r="I53" s="214">
        <f>('[1]2009 Fully Loaded Calculations'!D16*52*90)/12</f>
        <v>251.46875</v>
      </c>
      <c r="J53" s="214">
        <f>('[1]2009 Fully Loaded Calculations'!D16*52*90)/12</f>
        <v>251.46875</v>
      </c>
      <c r="K53" s="214">
        <f>('[1]2009 Fully Loaded Calculations'!D16*52*90)/12</f>
        <v>251.46875</v>
      </c>
      <c r="L53" s="214">
        <f>('[1]2009 Fully Loaded Calculations'!D16*52*90)/12</f>
        <v>251.46875</v>
      </c>
      <c r="M53" s="214">
        <f>('[1]2009 Fully Loaded Calculations'!D16*52*90)/12</f>
        <v>251.46875</v>
      </c>
      <c r="N53" s="215">
        <f>('[1]2009 Fully Loaded Calculations'!D16*52*90)/12</f>
        <v>251.46875</v>
      </c>
      <c r="P53" s="218"/>
    </row>
    <row r="54" spans="1:16" ht="18">
      <c r="A54" s="212" t="s">
        <v>103</v>
      </c>
      <c r="B54" s="217" t="s">
        <v>16</v>
      </c>
      <c r="C54" s="214">
        <f>'[1]2008 Fully Loaded Calculations'!D19*52*90/12</f>
        <v>192.57691468750002</v>
      </c>
      <c r="D54" s="214">
        <f>'[1]2008 Fully Loaded Calculations'!D19*52*90/12</f>
        <v>192.57691468750002</v>
      </c>
      <c r="E54" s="214">
        <f>('[1]2009 Fully Loaded Calculations'!D19*52*90)/12</f>
        <v>206.45584375000001</v>
      </c>
      <c r="F54" s="214">
        <f>('[1]2009 Fully Loaded Calculations'!D19*52*90)/12</f>
        <v>206.45584375000001</v>
      </c>
      <c r="G54" s="214">
        <f>('[1]2009 Fully Loaded Calculations'!D19*52*90)/12</f>
        <v>206.45584375000001</v>
      </c>
      <c r="H54" s="214">
        <f>('[1]2009 Fully Loaded Calculations'!D19*52*90)/12</f>
        <v>206.45584375000001</v>
      </c>
      <c r="I54" s="214">
        <f>('[1]2009 Fully Loaded Calculations'!D19*52*90)/12</f>
        <v>206.45584375000001</v>
      </c>
      <c r="J54" s="214">
        <f>('[1]2009 Fully Loaded Calculations'!D19*52*90)/12</f>
        <v>206.45584375000001</v>
      </c>
      <c r="K54" s="214">
        <f>('[1]2009 Fully Loaded Calculations'!D19*52*90)/12</f>
        <v>206.45584375000001</v>
      </c>
      <c r="L54" s="214">
        <f>('[1]2009 Fully Loaded Calculations'!D19*52*90)/12</f>
        <v>206.45584375000001</v>
      </c>
      <c r="M54" s="214">
        <f>('[1]2009 Fully Loaded Calculations'!D19*52*90)/12</f>
        <v>206.45584375000001</v>
      </c>
      <c r="N54" s="215">
        <f>('[1]2009 Fully Loaded Calculations'!D19*52*90)/12</f>
        <v>206.45584375000001</v>
      </c>
      <c r="P54" s="218"/>
    </row>
    <row r="55" spans="1:16" ht="18">
      <c r="A55" s="212" t="s">
        <v>104</v>
      </c>
      <c r="B55" s="217" t="s">
        <v>33</v>
      </c>
      <c r="C55" s="214">
        <f>'[1]2008 Fully Loaded Calculations'!D20*52*90/12</f>
        <v>126.0656884375</v>
      </c>
      <c r="D55" s="214">
        <f>'[1]2008 Fully Loaded Calculations'!D20*52*90/12</f>
        <v>126.0656884375</v>
      </c>
      <c r="E55" s="214">
        <f>('[1]2009 Fully Loaded Calculations'!D20*52*90)/12</f>
        <v>127.24318749999999</v>
      </c>
      <c r="F55" s="214">
        <f>('[1]2009 Fully Loaded Calculations'!D20*52*90)/12</f>
        <v>127.24318749999999</v>
      </c>
      <c r="G55" s="214">
        <f>('[1]2009 Fully Loaded Calculations'!D20*52*90)/12</f>
        <v>127.24318749999999</v>
      </c>
      <c r="H55" s="214">
        <f>('[1]2009 Fully Loaded Calculations'!D20*52*90)/12</f>
        <v>127.24318749999999</v>
      </c>
      <c r="I55" s="214">
        <f>('[1]2009 Fully Loaded Calculations'!D20*52*90)/12</f>
        <v>127.24318749999999</v>
      </c>
      <c r="J55" s="214">
        <f>('[1]2009 Fully Loaded Calculations'!D20*52*90)/12</f>
        <v>127.24318749999999</v>
      </c>
      <c r="K55" s="214">
        <f>('[1]2009 Fully Loaded Calculations'!D20*52*90)/12</f>
        <v>127.24318749999999</v>
      </c>
      <c r="L55" s="214">
        <f>('[1]2009 Fully Loaded Calculations'!D20*52*90)/12</f>
        <v>127.24318749999999</v>
      </c>
      <c r="M55" s="214">
        <f>('[1]2009 Fully Loaded Calculations'!D20*52*90)/12</f>
        <v>127.24318749999999</v>
      </c>
      <c r="N55" s="215">
        <f>('[1]2009 Fully Loaded Calculations'!D20*52*90)/12</f>
        <v>127.24318749999999</v>
      </c>
      <c r="P55" s="218"/>
    </row>
    <row r="56" spans="1:16" ht="18">
      <c r="B56" s="213" t="s">
        <v>109</v>
      </c>
      <c r="C56" s="214">
        <f t="shared" ref="C56:N56" si="17">SUM(C48:C55)</f>
        <v>1029.8252591440212</v>
      </c>
      <c r="D56" s="214">
        <f t="shared" si="17"/>
        <v>1080.832120459102</v>
      </c>
      <c r="E56" s="214">
        <f t="shared" si="17"/>
        <v>1108.1893733056872</v>
      </c>
      <c r="F56" s="214">
        <f t="shared" si="17"/>
        <v>1091.7815794673061</v>
      </c>
      <c r="G56" s="214">
        <f t="shared" si="17"/>
        <v>1104.5690619955565</v>
      </c>
      <c r="H56" s="214">
        <f t="shared" si="17"/>
        <v>1166.1890595656259</v>
      </c>
      <c r="I56" s="214">
        <f t="shared" si="17"/>
        <v>1164.6842882245414</v>
      </c>
      <c r="J56" s="214">
        <f t="shared" si="17"/>
        <v>1166.7501332020199</v>
      </c>
      <c r="K56" s="214">
        <f t="shared" si="17"/>
        <v>1103.5085042839069</v>
      </c>
      <c r="L56" s="214">
        <f t="shared" si="17"/>
        <v>1072.7615801711422</v>
      </c>
      <c r="M56" s="214">
        <f t="shared" si="17"/>
        <v>1021.733859228149</v>
      </c>
      <c r="N56" s="215">
        <f t="shared" si="17"/>
        <v>1046.1769591550321</v>
      </c>
      <c r="P56" s="216"/>
    </row>
    <row r="57" spans="1:16" ht="18">
      <c r="B57" s="213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5"/>
      <c r="P57" s="216"/>
    </row>
    <row r="58" spans="1:16" ht="18">
      <c r="A58" s="106" t="s">
        <v>110</v>
      </c>
      <c r="B58" s="213" t="s">
        <v>111</v>
      </c>
      <c r="C58" s="219">
        <f t="shared" ref="C58:N58" si="18">-C48-C53</f>
        <v>-393.64315972222221</v>
      </c>
      <c r="D58" s="219">
        <f t="shared" si="18"/>
        <v>-408.54601295405985</v>
      </c>
      <c r="E58" s="219">
        <f t="shared" si="18"/>
        <v>-439.63490918803416</v>
      </c>
      <c r="F58" s="219">
        <f t="shared" si="18"/>
        <v>-433.04802083333334</v>
      </c>
      <c r="G58" s="219">
        <f t="shared" si="18"/>
        <v>-440.38585737179483</v>
      </c>
      <c r="H58" s="219">
        <f t="shared" si="18"/>
        <v>-453.53817841880345</v>
      </c>
      <c r="I58" s="219">
        <f t="shared" si="18"/>
        <v>-461.64841880341879</v>
      </c>
      <c r="J58" s="219">
        <f t="shared" si="18"/>
        <v>-462.3135443376068</v>
      </c>
      <c r="K58" s="219">
        <f t="shared" si="18"/>
        <v>-444.31224358974362</v>
      </c>
      <c r="L58" s="219">
        <f t="shared" si="18"/>
        <v>-429.91549412393164</v>
      </c>
      <c r="M58" s="219">
        <f t="shared" si="18"/>
        <v>-410.94868856837604</v>
      </c>
      <c r="N58" s="220">
        <f t="shared" si="18"/>
        <v>-421.86962072649567</v>
      </c>
      <c r="P58" s="221"/>
    </row>
    <row r="59" spans="1:16" ht="18">
      <c r="A59" s="106" t="s">
        <v>112</v>
      </c>
      <c r="B59" s="213" t="s">
        <v>113</v>
      </c>
      <c r="C59" s="219">
        <f t="shared" ref="C59:N59" si="19">-C51</f>
        <v>-89.555445205479444</v>
      </c>
      <c r="D59" s="219">
        <f t="shared" si="19"/>
        <v>-105.13658507462686</v>
      </c>
      <c r="E59" s="219">
        <f t="shared" si="19"/>
        <v>-97.483823051948036</v>
      </c>
      <c r="F59" s="219">
        <f t="shared" si="19"/>
        <v>-95.97227722772277</v>
      </c>
      <c r="G59" s="219">
        <f t="shared" si="19"/>
        <v>-92.165242424242422</v>
      </c>
      <c r="H59" s="219">
        <f t="shared" si="19"/>
        <v>-124.04126594650207</v>
      </c>
      <c r="I59" s="219">
        <f t="shared" si="19"/>
        <v>-104.19518597560975</v>
      </c>
      <c r="J59" s="219">
        <f t="shared" si="19"/>
        <v>-104.75684955752213</v>
      </c>
      <c r="K59" s="219">
        <f t="shared" si="19"/>
        <v>-82.225162280701753</v>
      </c>
      <c r="L59" s="219">
        <f t="shared" si="19"/>
        <v>-84.036487084870842</v>
      </c>
      <c r="M59" s="219">
        <f t="shared" si="19"/>
        <v>-75.902196905766516</v>
      </c>
      <c r="N59" s="220">
        <f t="shared" si="19"/>
        <v>-75.647608757062144</v>
      </c>
      <c r="P59" s="221"/>
    </row>
    <row r="60" spans="1:16" ht="18">
      <c r="A60" s="106" t="s">
        <v>112</v>
      </c>
      <c r="B60" s="213" t="s">
        <v>99</v>
      </c>
      <c r="C60" s="214">
        <f t="shared" ref="C60:N60" si="20">-C52</f>
        <v>0</v>
      </c>
      <c r="D60" s="214">
        <f t="shared" si="20"/>
        <v>0</v>
      </c>
      <c r="E60" s="214">
        <f t="shared" si="20"/>
        <v>0</v>
      </c>
      <c r="F60" s="214">
        <f t="shared" si="20"/>
        <v>0</v>
      </c>
      <c r="G60" s="214">
        <f t="shared" si="20"/>
        <v>0</v>
      </c>
      <c r="H60" s="214">
        <f t="shared" si="20"/>
        <v>0</v>
      </c>
      <c r="I60" s="214">
        <f t="shared" si="20"/>
        <v>0</v>
      </c>
      <c r="J60" s="214">
        <f t="shared" si="20"/>
        <v>0</v>
      </c>
      <c r="K60" s="214">
        <f t="shared" si="20"/>
        <v>0</v>
      </c>
      <c r="L60" s="214">
        <f t="shared" si="20"/>
        <v>0</v>
      </c>
      <c r="M60" s="214">
        <f t="shared" si="20"/>
        <v>0</v>
      </c>
      <c r="N60" s="215">
        <f t="shared" si="20"/>
        <v>0</v>
      </c>
      <c r="P60" s="216"/>
    </row>
    <row r="61" spans="1:16" ht="18">
      <c r="A61" s="106" t="s">
        <v>114</v>
      </c>
      <c r="B61" s="213" t="s">
        <v>16</v>
      </c>
      <c r="C61" s="219">
        <f t="shared" ref="C61:N61" si="21">-C49-C50-C54-C55</f>
        <v>-546.62665421631948</v>
      </c>
      <c r="D61" s="219">
        <f t="shared" si="21"/>
        <v>-567.14952243041535</v>
      </c>
      <c r="E61" s="219">
        <f t="shared" si="21"/>
        <v>-571.0706410657051</v>
      </c>
      <c r="F61" s="219">
        <f t="shared" si="21"/>
        <v>-562.76128140624996</v>
      </c>
      <c r="G61" s="219">
        <f t="shared" si="21"/>
        <v>-572.01796219951916</v>
      </c>
      <c r="H61" s="219">
        <f t="shared" si="21"/>
        <v>-588.60961520032049</v>
      </c>
      <c r="I61" s="219">
        <f t="shared" si="21"/>
        <v>-598.84068344551281</v>
      </c>
      <c r="J61" s="219">
        <f t="shared" si="21"/>
        <v>-599.67973930689095</v>
      </c>
      <c r="K61" s="219">
        <f t="shared" si="21"/>
        <v>-576.9710984134615</v>
      </c>
      <c r="L61" s="219">
        <f t="shared" si="21"/>
        <v>-558.80959896233969</v>
      </c>
      <c r="M61" s="219">
        <f t="shared" si="21"/>
        <v>-534.88297375400634</v>
      </c>
      <c r="N61" s="220">
        <f t="shared" si="21"/>
        <v>-548.65972967147434</v>
      </c>
      <c r="P61" s="221"/>
    </row>
    <row r="62" spans="1:16" ht="18">
      <c r="B62" s="213" t="s">
        <v>115</v>
      </c>
      <c r="C62" s="214">
        <f t="shared" ref="C62:N62" si="22">SUM(C58:C61)</f>
        <v>-1029.8252591440212</v>
      </c>
      <c r="D62" s="214">
        <f t="shared" si="22"/>
        <v>-1080.832120459102</v>
      </c>
      <c r="E62" s="214">
        <f t="shared" si="22"/>
        <v>-1108.1893733056872</v>
      </c>
      <c r="F62" s="214">
        <f t="shared" si="22"/>
        <v>-1091.7815794673061</v>
      </c>
      <c r="G62" s="214">
        <f t="shared" si="22"/>
        <v>-1104.5690619955565</v>
      </c>
      <c r="H62" s="214">
        <f t="shared" si="22"/>
        <v>-1166.1890595656259</v>
      </c>
      <c r="I62" s="214">
        <f t="shared" si="22"/>
        <v>-1164.6842882245414</v>
      </c>
      <c r="J62" s="214">
        <f t="shared" si="22"/>
        <v>-1166.7501332020199</v>
      </c>
      <c r="K62" s="214">
        <f t="shared" si="22"/>
        <v>-1103.5085042839069</v>
      </c>
      <c r="L62" s="214">
        <f t="shared" si="22"/>
        <v>-1072.7615801711422</v>
      </c>
      <c r="M62" s="214">
        <f t="shared" si="22"/>
        <v>-1021.733859228149</v>
      </c>
      <c r="N62" s="215">
        <f t="shared" si="22"/>
        <v>-1046.1769591550321</v>
      </c>
      <c r="P62" s="216"/>
    </row>
    <row r="63" spans="1:16">
      <c r="D63" s="19"/>
    </row>
    <row r="64" spans="1:16">
      <c r="C64" s="35">
        <f t="shared" ref="C64:N64" si="23">+C56+C62</f>
        <v>0</v>
      </c>
      <c r="D64" s="35">
        <f t="shared" si="23"/>
        <v>0</v>
      </c>
      <c r="E64" s="35">
        <f t="shared" si="23"/>
        <v>0</v>
      </c>
      <c r="F64" s="35">
        <f t="shared" si="23"/>
        <v>0</v>
      </c>
      <c r="G64" s="35">
        <f t="shared" si="23"/>
        <v>0</v>
      </c>
      <c r="H64" s="35">
        <f t="shared" si="23"/>
        <v>0</v>
      </c>
      <c r="I64" s="35">
        <f t="shared" si="23"/>
        <v>0</v>
      </c>
      <c r="J64" s="35">
        <f t="shared" si="23"/>
        <v>0</v>
      </c>
      <c r="K64" s="35">
        <f t="shared" si="23"/>
        <v>0</v>
      </c>
      <c r="L64" s="35">
        <f t="shared" si="23"/>
        <v>0</v>
      </c>
      <c r="M64" s="35">
        <f t="shared" si="23"/>
        <v>0</v>
      </c>
      <c r="N64" s="35">
        <f t="shared" si="23"/>
        <v>0</v>
      </c>
    </row>
    <row r="65" spans="1:6">
      <c r="C65" s="71"/>
    </row>
    <row r="66" spans="1:6">
      <c r="C66" s="71"/>
    </row>
    <row r="67" spans="1:6">
      <c r="A67" s="103"/>
      <c r="C67" s="71"/>
      <c r="D67" s="71"/>
    </row>
    <row r="68" spans="1:6">
      <c r="A68" s="103"/>
    </row>
    <row r="69" spans="1:6">
      <c r="E69" s="71"/>
      <c r="F69" s="71"/>
    </row>
    <row r="70" spans="1:6">
      <c r="E70" s="71"/>
      <c r="F70" s="71"/>
    </row>
    <row r="71" spans="1:6">
      <c r="E71" s="71"/>
      <c r="F71" s="71"/>
    </row>
    <row r="72" spans="1:6">
      <c r="E72" s="71"/>
      <c r="F72" s="71"/>
    </row>
    <row r="73" spans="1:6">
      <c r="E73" s="35"/>
      <c r="F73" s="35"/>
    </row>
    <row r="74" spans="1:6">
      <c r="E74" s="35"/>
      <c r="F74" s="35"/>
    </row>
    <row r="75" spans="1:6">
      <c r="E75" s="71"/>
      <c r="F75" s="71"/>
    </row>
    <row r="76" spans="1:6">
      <c r="A76" s="103"/>
      <c r="E76" s="71"/>
    </row>
    <row r="77" spans="1:6">
      <c r="C77" s="71"/>
      <c r="D77" s="71"/>
      <c r="E77" s="216"/>
      <c r="F77" s="216"/>
    </row>
    <row r="78" spans="1:6">
      <c r="C78" s="71"/>
      <c r="D78" s="71"/>
      <c r="E78" s="216"/>
      <c r="F78" s="216"/>
    </row>
    <row r="79" spans="1:6">
      <c r="C79" s="71"/>
      <c r="D79" s="71"/>
      <c r="E79" s="216"/>
      <c r="F79" s="216"/>
    </row>
    <row r="81" spans="5:6">
      <c r="E81" s="216"/>
    </row>
    <row r="82" spans="5:6">
      <c r="E82" s="216"/>
    </row>
    <row r="83" spans="5:6">
      <c r="E83" s="71"/>
      <c r="F83" s="71"/>
    </row>
  </sheetData>
  <phoneticPr fontId="2" type="noConversion"/>
  <printOptions horizontalCentered="1"/>
  <pageMargins left="0.5" right="0.25" top="0.75" bottom="0.75" header="0.5" footer="0.5"/>
  <pageSetup scale="56" orientation="landscape" horizontalDpi="525" verticalDpi="525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zoomScaleNormal="100" workbookViewId="0"/>
  </sheetViews>
  <sheetFormatPr defaultRowHeight="12.75"/>
  <cols>
    <col min="1" max="1" width="28.85546875" customWidth="1"/>
    <col min="2" max="2" width="14" customWidth="1"/>
    <col min="3" max="3" width="1.7109375" customWidth="1"/>
    <col min="4" max="4" width="14" customWidth="1"/>
    <col min="5" max="5" width="9.7109375" customWidth="1"/>
    <col min="6" max="6" width="3.7109375" customWidth="1"/>
    <col min="7" max="7" width="29.28515625" customWidth="1"/>
    <col min="8" max="8" width="6.7109375" bestFit="1" customWidth="1"/>
    <col min="10" max="10" width="13.42578125" bestFit="1" customWidth="1"/>
    <col min="11" max="11" width="18.140625" bestFit="1" customWidth="1"/>
    <col min="12" max="12" width="11.7109375" customWidth="1"/>
  </cols>
  <sheetData>
    <row r="1" spans="1:12" s="4" customFormat="1" ht="18">
      <c r="A1" s="1" t="s">
        <v>0</v>
      </c>
      <c r="B1" s="2"/>
      <c r="C1" s="2"/>
      <c r="D1" s="2"/>
      <c r="E1" s="3"/>
    </row>
    <row r="2" spans="1:12" s="4" customFormat="1" ht="15.75">
      <c r="A2" s="5"/>
      <c r="B2" s="6" t="s">
        <v>1</v>
      </c>
      <c r="C2" s="6"/>
      <c r="D2" s="7" t="s">
        <v>2</v>
      </c>
      <c r="E2" s="5"/>
      <c r="G2" s="8" t="s">
        <v>3</v>
      </c>
      <c r="H2" s="9"/>
      <c r="I2" s="9"/>
      <c r="J2" s="9"/>
      <c r="K2" s="10"/>
      <c r="L2" s="11"/>
    </row>
    <row r="3" spans="1:12" s="4" customFormat="1" ht="15">
      <c r="A3" s="5"/>
      <c r="B3" s="6"/>
      <c r="C3" s="6"/>
      <c r="D3" s="7"/>
      <c r="E3" s="5"/>
      <c r="G3" s="12"/>
      <c r="H3" s="13"/>
      <c r="I3" s="14"/>
      <c r="J3" s="15" t="s">
        <v>4</v>
      </c>
      <c r="K3" s="16" t="s">
        <v>5</v>
      </c>
      <c r="L3" s="11"/>
    </row>
    <row r="4" spans="1:12">
      <c r="B4" s="17"/>
      <c r="D4" s="18"/>
      <c r="E4" s="19"/>
      <c r="G4" s="20" t="s">
        <v>6</v>
      </c>
      <c r="H4" s="21" t="s">
        <v>7</v>
      </c>
      <c r="I4" s="22"/>
      <c r="J4" s="23"/>
      <c r="K4" s="24">
        <v>0.2407</v>
      </c>
      <c r="L4" s="25"/>
    </row>
    <row r="5" spans="1:12" ht="13.5">
      <c r="A5" s="26" t="s">
        <v>8</v>
      </c>
      <c r="G5" s="27" t="s">
        <v>9</v>
      </c>
      <c r="H5" s="21"/>
      <c r="I5" s="28">
        <v>-1.7299999999999999E-2</v>
      </c>
      <c r="J5" s="23"/>
      <c r="K5" s="29"/>
    </row>
    <row r="6" spans="1:12">
      <c r="G6" s="27" t="s">
        <v>10</v>
      </c>
      <c r="H6" s="21"/>
      <c r="I6" s="28">
        <v>0.1827</v>
      </c>
      <c r="J6" s="23"/>
      <c r="K6" s="29"/>
    </row>
    <row r="7" spans="1:12">
      <c r="B7" s="30" t="s">
        <v>11</v>
      </c>
      <c r="C7" s="30"/>
      <c r="D7" s="30" t="s">
        <v>12</v>
      </c>
      <c r="G7" s="27" t="s">
        <v>13</v>
      </c>
      <c r="H7" s="31"/>
      <c r="I7" s="28">
        <v>4.4400000000000002E-2</v>
      </c>
      <c r="J7" s="23"/>
      <c r="K7" s="29"/>
    </row>
    <row r="8" spans="1:12" ht="14.25">
      <c r="A8" s="32" t="s">
        <v>14</v>
      </c>
      <c r="B8" s="33">
        <v>32132</v>
      </c>
      <c r="C8" s="34"/>
      <c r="D8" s="33">
        <v>80470</v>
      </c>
      <c r="F8" s="35"/>
      <c r="G8" s="36" t="s">
        <v>15</v>
      </c>
      <c r="H8" s="37"/>
      <c r="I8" s="38">
        <v>0.126</v>
      </c>
      <c r="J8" s="39"/>
      <c r="K8" s="40"/>
    </row>
    <row r="9" spans="1:12" ht="14.25">
      <c r="A9" s="32" t="s">
        <v>16</v>
      </c>
      <c r="B9" s="41">
        <v>0.75549999999999995</v>
      </c>
      <c r="C9" s="32"/>
      <c r="D9" s="41">
        <v>0.82099999999999995</v>
      </c>
      <c r="F9" s="35"/>
      <c r="G9" s="42" t="s">
        <v>17</v>
      </c>
      <c r="H9" s="21" t="s">
        <v>18</v>
      </c>
      <c r="I9" s="23">
        <f>SUM(I5:I8)</f>
        <v>0.33579999999999999</v>
      </c>
      <c r="J9" s="23"/>
      <c r="K9" s="43">
        <f>I9*(1+K4)</f>
        <v>0.41662705999999994</v>
      </c>
    </row>
    <row r="10" spans="1:12" s="46" customFormat="1" ht="12.75" customHeight="1">
      <c r="A10" s="44" t="s">
        <v>19</v>
      </c>
      <c r="B10" s="45">
        <f>+B8*B9</f>
        <v>24275.725999999999</v>
      </c>
      <c r="C10" s="45"/>
      <c r="D10" s="45">
        <f>+D8*D9</f>
        <v>66065.87</v>
      </c>
      <c r="F10" s="47"/>
      <c r="G10" s="27" t="s">
        <v>20</v>
      </c>
      <c r="H10" s="31" t="s">
        <v>21</v>
      </c>
      <c r="I10" s="28">
        <v>7.0300000000000001E-2</v>
      </c>
      <c r="J10" s="23">
        <f>I10*(1+I8)</f>
        <v>7.91578E-2</v>
      </c>
      <c r="K10" s="48">
        <f>J10*(1+K4)</f>
        <v>9.8211082459999988E-2</v>
      </c>
    </row>
    <row r="11" spans="1:12" ht="14.25">
      <c r="A11" s="32" t="s">
        <v>22</v>
      </c>
      <c r="B11" s="49">
        <v>0.50600000000000001</v>
      </c>
      <c r="C11" s="32"/>
      <c r="D11" s="49">
        <v>0.50600000000000001</v>
      </c>
      <c r="F11" s="35"/>
      <c r="G11" s="50" t="s">
        <v>16</v>
      </c>
      <c r="H11" s="21"/>
      <c r="I11" s="51"/>
      <c r="J11" s="51"/>
      <c r="K11" s="52">
        <f>SUM(K4:K10)</f>
        <v>0.75553814245999995</v>
      </c>
      <c r="L11" s="18"/>
    </row>
    <row r="12" spans="1:12" ht="14.25">
      <c r="A12" s="32" t="s">
        <v>23</v>
      </c>
      <c r="B12" s="53">
        <f>B8*B11</f>
        <v>16258.791999999999</v>
      </c>
      <c r="C12" s="54"/>
      <c r="D12" s="53">
        <f>D8*D11</f>
        <v>40717.82</v>
      </c>
      <c r="G12" s="55"/>
      <c r="H12" s="21"/>
      <c r="I12" s="51"/>
      <c r="J12" s="23"/>
      <c r="K12" s="29"/>
    </row>
    <row r="13" spans="1:12" ht="14.25">
      <c r="A13" s="32" t="s">
        <v>24</v>
      </c>
      <c r="B13" s="54">
        <f>+B10+B8+B12</f>
        <v>72666.517999999996</v>
      </c>
      <c r="C13" s="32"/>
      <c r="D13" s="54">
        <f>+D10+D8+D12</f>
        <v>187253.69</v>
      </c>
      <c r="E13" s="56"/>
      <c r="F13" s="57"/>
      <c r="G13" s="20" t="s">
        <v>25</v>
      </c>
      <c r="H13" s="21" t="s">
        <v>26</v>
      </c>
      <c r="I13" s="28">
        <v>0.4078</v>
      </c>
      <c r="J13" s="23"/>
      <c r="K13" s="58">
        <f>I13*(1+K4)</f>
        <v>0.50595745999999997</v>
      </c>
    </row>
    <row r="14" spans="1:12" ht="13.5" thickBot="1">
      <c r="G14" s="27" t="s">
        <v>27</v>
      </c>
      <c r="H14" s="21"/>
      <c r="I14" s="23"/>
      <c r="J14" s="51"/>
      <c r="K14" s="59">
        <f>SUM(K11:K13)</f>
        <v>1.2614956024599999</v>
      </c>
    </row>
    <row r="15" spans="1:12" ht="13.5" thickTop="1">
      <c r="A15" s="60" t="s">
        <v>28</v>
      </c>
      <c r="B15" s="61">
        <f>+B13/52/40/60</f>
        <v>0.58226376602564101</v>
      </c>
      <c r="C15" s="61"/>
      <c r="D15" s="62">
        <f>+D13/52/40/60</f>
        <v>1.5004302083333334</v>
      </c>
      <c r="F15" s="63"/>
      <c r="G15" s="64"/>
      <c r="H15" s="65"/>
      <c r="I15" s="66"/>
      <c r="J15" s="66"/>
      <c r="K15" s="67"/>
    </row>
    <row r="16" spans="1:12">
      <c r="A16" s="68" t="s">
        <v>29</v>
      </c>
      <c r="B16" s="69">
        <f>+B8/52/40/60</f>
        <v>0.2574679487179487</v>
      </c>
      <c r="C16" s="69"/>
      <c r="D16" s="70">
        <f>+D8/52/40/60</f>
        <v>0.64479166666666665</v>
      </c>
      <c r="F16" s="71"/>
    </row>
    <row r="17" spans="1:12" ht="13.5" thickBot="1">
      <c r="A17" s="72" t="s">
        <v>30</v>
      </c>
      <c r="B17" s="73">
        <f>B15-B16</f>
        <v>0.3247958173076923</v>
      </c>
      <c r="C17" s="74"/>
      <c r="D17" s="75">
        <f>D15-D16</f>
        <v>0.85563854166666675</v>
      </c>
    </row>
    <row r="18" spans="1:12" ht="13.5" thickBot="1">
      <c r="F18" s="76"/>
      <c r="H18" s="77"/>
      <c r="I18" s="77"/>
      <c r="J18" s="77"/>
      <c r="K18" s="77"/>
      <c r="L18" s="77"/>
    </row>
    <row r="19" spans="1:12" ht="15.75">
      <c r="A19" s="78" t="s">
        <v>31</v>
      </c>
      <c r="B19" s="79">
        <f>+B10/52/40/60</f>
        <v>0.19451703525641023</v>
      </c>
      <c r="C19" s="80"/>
      <c r="D19" s="81">
        <f>+D10/52/40/60</f>
        <v>0.52937395833333334</v>
      </c>
      <c r="F19" s="82"/>
      <c r="G19" s="8" t="s">
        <v>32</v>
      </c>
      <c r="H19" s="9"/>
      <c r="I19" s="9"/>
      <c r="J19" s="9"/>
      <c r="K19" s="10"/>
      <c r="L19" s="83"/>
    </row>
    <row r="20" spans="1:12" ht="13.5" thickBot="1">
      <c r="A20" s="84" t="s">
        <v>33</v>
      </c>
      <c r="B20" s="85">
        <f>+B12/52/40/60</f>
        <v>0.13027878205128204</v>
      </c>
      <c r="C20" s="86"/>
      <c r="D20" s="87">
        <f>+D12/52/40/60</f>
        <v>0.32626458333333336</v>
      </c>
      <c r="G20" s="88"/>
      <c r="H20" s="89"/>
      <c r="I20" s="14"/>
      <c r="J20" s="15" t="s">
        <v>4</v>
      </c>
      <c r="K20" s="16" t="s">
        <v>5</v>
      </c>
      <c r="L20" s="77"/>
    </row>
    <row r="21" spans="1:12" ht="12.75" customHeight="1">
      <c r="A21" s="77" t="s">
        <v>34</v>
      </c>
      <c r="B21" s="90">
        <f>SUM(B19:B20)</f>
        <v>0.32479581730769225</v>
      </c>
      <c r="D21" s="91">
        <f>SUM(D19:D20)</f>
        <v>0.85563854166666675</v>
      </c>
      <c r="G21" s="20" t="s">
        <v>6</v>
      </c>
      <c r="H21" s="21" t="s">
        <v>7</v>
      </c>
      <c r="I21" s="22"/>
      <c r="J21" s="23"/>
      <c r="K21" s="24">
        <f>K4</f>
        <v>0.2407</v>
      </c>
      <c r="L21" s="77"/>
    </row>
    <row r="22" spans="1:12">
      <c r="G22" s="27" t="s">
        <v>9</v>
      </c>
      <c r="H22" s="21"/>
      <c r="I22" s="28">
        <f>I5</f>
        <v>-1.7299999999999999E-2</v>
      </c>
      <c r="J22" s="23"/>
      <c r="K22" s="29"/>
      <c r="L22" s="77"/>
    </row>
    <row r="23" spans="1:12">
      <c r="G23" s="27" t="s">
        <v>10</v>
      </c>
      <c r="H23" s="21"/>
      <c r="I23" s="28">
        <f>I6</f>
        <v>0.1827</v>
      </c>
      <c r="J23" s="23"/>
      <c r="K23" s="29"/>
    </row>
    <row r="24" spans="1:12" ht="15">
      <c r="A24" s="5"/>
      <c r="B24" s="92"/>
      <c r="C24" s="92"/>
      <c r="D24" s="93"/>
      <c r="E24" s="92"/>
      <c r="G24" s="27" t="s">
        <v>13</v>
      </c>
      <c r="H24" s="31"/>
      <c r="I24" s="28">
        <f>I7</f>
        <v>4.4400000000000002E-2</v>
      </c>
      <c r="J24" s="23"/>
      <c r="K24" s="29"/>
    </row>
    <row r="25" spans="1:12" ht="14.25">
      <c r="A25" s="94"/>
      <c r="B25" s="92"/>
      <c r="C25" s="92"/>
      <c r="D25" s="93"/>
      <c r="E25" s="92"/>
      <c r="G25" s="36" t="s">
        <v>35</v>
      </c>
      <c r="H25" s="37"/>
      <c r="I25" s="38">
        <v>0.17530000000000001</v>
      </c>
      <c r="J25" s="39"/>
      <c r="K25" s="40"/>
    </row>
    <row r="26" spans="1:12">
      <c r="A26" s="95"/>
      <c r="B26" s="96"/>
      <c r="C26" s="95"/>
      <c r="D26" s="97"/>
      <c r="G26" s="42" t="s">
        <v>17</v>
      </c>
      <c r="H26" s="21" t="s">
        <v>18</v>
      </c>
      <c r="I26" s="23">
        <f>SUM(I22:I25)</f>
        <v>0.3851</v>
      </c>
      <c r="J26" s="23"/>
      <c r="K26" s="43">
        <f>I26*(1+K21)</f>
        <v>0.47779356999999995</v>
      </c>
    </row>
    <row r="27" spans="1:12">
      <c r="A27" s="95"/>
      <c r="B27" s="98"/>
      <c r="C27" s="95"/>
      <c r="D27" s="97"/>
      <c r="G27" s="27" t="s">
        <v>20</v>
      </c>
      <c r="H27" s="31" t="s">
        <v>21</v>
      </c>
      <c r="I27" s="28">
        <f>I10</f>
        <v>7.0300000000000001E-2</v>
      </c>
      <c r="J27" s="23">
        <f>I27*(1+I25)</f>
        <v>8.2623589999999997E-2</v>
      </c>
      <c r="K27" s="48">
        <f>J27*(1+K4)</f>
        <v>0.10251108811299998</v>
      </c>
    </row>
    <row r="28" spans="1:12">
      <c r="A28" s="95"/>
      <c r="B28" s="99"/>
      <c r="C28" s="95"/>
      <c r="D28" s="97"/>
      <c r="G28" s="20" t="s">
        <v>16</v>
      </c>
      <c r="H28" s="21"/>
      <c r="I28" s="51"/>
      <c r="J28" s="51"/>
      <c r="K28" s="52">
        <f>SUM(K21:K27)</f>
        <v>0.82100465811299994</v>
      </c>
    </row>
    <row r="29" spans="1:12">
      <c r="A29" s="95"/>
      <c r="B29" s="100"/>
      <c r="C29" s="95"/>
      <c r="D29" s="97"/>
      <c r="G29" s="55"/>
      <c r="H29" s="21"/>
      <c r="I29" s="51"/>
      <c r="J29" s="23"/>
      <c r="K29" s="29"/>
    </row>
    <row r="30" spans="1:12">
      <c r="A30" s="95"/>
      <c r="B30" s="99"/>
      <c r="C30" s="95"/>
      <c r="D30" s="97"/>
      <c r="G30" s="20" t="s">
        <v>25</v>
      </c>
      <c r="H30" s="21" t="s">
        <v>26</v>
      </c>
      <c r="I30" s="28">
        <f>I13</f>
        <v>0.4078</v>
      </c>
      <c r="J30" s="23"/>
      <c r="K30" s="58">
        <f>I30*(1+K21)</f>
        <v>0.50595745999999997</v>
      </c>
    </row>
    <row r="31" spans="1:12" ht="13.5" thickBot="1">
      <c r="A31" s="95"/>
      <c r="B31" s="100"/>
      <c r="C31" s="95"/>
      <c r="D31" s="97"/>
      <c r="G31" s="27" t="s">
        <v>27</v>
      </c>
      <c r="H31" s="21"/>
      <c r="I31" s="23"/>
      <c r="J31" s="51"/>
      <c r="K31" s="59">
        <f>SUM(K28:K30)</f>
        <v>1.3269621181129998</v>
      </c>
    </row>
    <row r="32" spans="1:12" ht="13.5" thickTop="1">
      <c r="A32" s="95"/>
      <c r="B32" s="98"/>
      <c r="C32" s="95"/>
      <c r="D32" s="97"/>
      <c r="G32" s="64"/>
      <c r="H32" s="65"/>
      <c r="I32" s="66"/>
      <c r="J32" s="66"/>
      <c r="K32" s="67"/>
    </row>
    <row r="33" spans="1:11">
      <c r="A33" s="95"/>
      <c r="B33" s="95"/>
      <c r="C33" s="95"/>
      <c r="D33" s="97"/>
    </row>
    <row r="34" spans="1:11">
      <c r="A34" s="92"/>
      <c r="B34" s="101"/>
      <c r="C34" s="95"/>
      <c r="D34" s="97"/>
    </row>
    <row r="35" spans="1:11">
      <c r="A35" s="92"/>
      <c r="B35" s="101"/>
      <c r="C35" s="95"/>
      <c r="D35" s="97"/>
      <c r="G35" s="71"/>
      <c r="K35" s="18"/>
    </row>
    <row r="36" spans="1:11">
      <c r="C36" s="101"/>
      <c r="D36" s="93"/>
    </row>
    <row r="37" spans="1:11">
      <c r="C37" s="101"/>
      <c r="D37" s="93"/>
    </row>
  </sheetData>
  <phoneticPr fontId="2" type="noConversion"/>
  <printOptions horizontalCentered="1"/>
  <pageMargins left="0.75" right="0.75" top="1" bottom="1" header="0.5" footer="0.5"/>
  <pageSetup scale="83" orientation="landscape" horizontalDpi="355" verticalDpi="355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2010 GP Connections, March-Dec</vt:lpstr>
      <vt:lpstr>2010 Fully Loaded Calculations</vt:lpstr>
      <vt:lpstr>2010 GP Connections, Jan-Feb</vt:lpstr>
      <vt:lpstr>2009 GP Connections, Mar-Dec</vt:lpstr>
      <vt:lpstr>2009 Fully Loaded Calculations</vt:lpstr>
      <vt:lpstr>Sheet1</vt:lpstr>
      <vt:lpstr>'2009 Fully Loaded Calculations'!Print_Area</vt:lpstr>
      <vt:lpstr>'2009 GP Connections, Mar-Dec'!Print_Area</vt:lpstr>
      <vt:lpstr>'2010 Fully Loaded Calculations'!Print_Area</vt:lpstr>
      <vt:lpstr>'2010 GP Connections, Jan-Feb'!Print_Area</vt:lpstr>
      <vt:lpstr>'2010 GP Connections, March-Dec'!Print_Area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ddangelo</dc:creator>
  <cp:lastModifiedBy>david e hindsman</cp:lastModifiedBy>
  <cp:lastPrinted>2010-10-06T14:33:02Z</cp:lastPrinted>
  <dcterms:created xsi:type="dcterms:W3CDTF">2010-03-12T21:21:10Z</dcterms:created>
  <dcterms:modified xsi:type="dcterms:W3CDTF">2011-09-13T21:30:15Z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367410654</vt:i4>
  </property>
  <property fmtid="{D5CDD505-2E9C-101B-9397-08002B2CF9AE}" pid="3" name="_NewReviewCycle">
    <vt:lpwstr/>
  </property>
  <property fmtid="{D5CDD505-2E9C-101B-9397-08002B2CF9AE}" pid="4" name="_EmailSubject">
    <vt:lpwstr>Gulf Connections Costs Journal</vt:lpwstr>
  </property>
  <property fmtid="{D5CDD505-2E9C-101B-9397-08002B2CF9AE}" pid="5" name="_AuthorEmail">
    <vt:lpwstr>DDANGELO@SOUTHERNCO.COM</vt:lpwstr>
  </property>
  <property fmtid="{D5CDD505-2E9C-101B-9397-08002B2CF9AE}" pid="6" name="_AuthorEmailDisplayName">
    <vt:lpwstr>Dangelo, Doug</vt:lpwstr>
  </property>
  <property fmtid="{D5CDD505-2E9C-101B-9397-08002B2CF9AE}" pid="7" name="_ReviewingToolsShownOnce">
    <vt:lpwstr/>
  </property>
</Properties>
</file>